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defaultThemeVersion="166925"/>
  <mc:AlternateContent xmlns:mc="http://schemas.openxmlformats.org/markup-compatibility/2006">
    <mc:Choice Requires="x15">
      <x15ac:absPath xmlns:x15ac="http://schemas.microsoft.com/office/spreadsheetml/2010/11/ac" url="E:\0-UPRT\1-UPRT.FR-SITE-WEB\ff-fiches-fabrications\ff-fiches-fabrication-maj-08-2020\"/>
    </mc:Choice>
  </mc:AlternateContent>
  <xr:revisionPtr revIDLastSave="0" documentId="13_ncr:1_{00E14DCA-616C-4471-B4B3-54555C3D5F5F}" xr6:coauthVersionLast="47" xr6:coauthVersionMax="47" xr10:uidLastSave="{00000000-0000-0000-0000-000000000000}"/>
  <bookViews>
    <workbookView xWindow="-120" yWindow="-120" windowWidth="29040" windowHeight="15840" xr2:uid="{1B5CFEA2-BCDC-40B3-A8C0-37B6DF41C405}"/>
  </bookViews>
  <sheets>
    <sheet name="Nota" sheetId="4" r:id="rId1"/>
    <sheet name="différence Portion et Poids" sheetId="5" r:id="rId2"/>
    <sheet name="O.R.T." sheetId="6" r:id="rId3"/>
    <sheet name="Modèle.FF.1restaurant" sheetId="3" r:id="rId4"/>
    <sheet name="Modèle.FF.2.collectivité" sheetId="1" r:id="rId5"/>
    <sheet name="Modèle.F3.collectivité" sheetId="2" r:id="rId6"/>
    <sheet name=".FF.1.Haricot de mouton" sheetId="19" r:id="rId7"/>
    <sheet name="FF.2.Aubergines.Egyptienne" sheetId="20" r:id="rId8"/>
    <sheet name="F3.Navarin.Agneau.Printanier" sheetId="21" r:id="rId9"/>
    <sheet name="F3.Haricot.de.mouton" sheetId="22" r:id="rId10"/>
    <sheet name="Navarin.Organigramme" sheetId="8" r:id="rId11"/>
    <sheet name="Classements" sheetId="7" r:id="rId12"/>
    <sheet name="Comprendre pour Transmettre" sheetId="9" r:id="rId13"/>
    <sheet name="Important" sheetId="10" r:id="rId14"/>
    <sheet name="Conversions en Kg" sheetId="11" r:id="rId15"/>
    <sheet name="Estimation des contenants" sheetId="18" r:id="rId16"/>
    <sheet name="Vocabulaire" sheetId="12" r:id="rId17"/>
    <sheet name="Polices de Symboles" sheetId="13" r:id="rId18"/>
    <sheet name="Emoticones " sheetId="14" r:id="rId19"/>
    <sheet name="Formats-Formules-Fonctions" sheetId="15" r:id="rId20"/>
    <sheet name="Tutos Youtube" sheetId="16" r:id="rId21"/>
    <sheet name="CODES COULEURS" sheetId="17" r:id="rId22"/>
  </sheets>
  <definedNames>
    <definedName name="_xlnm._FilterDatabase" localSheetId="0" hidden="1">Nota!#REF!</definedName>
    <definedName name="_xlnm._FilterDatabase" localSheetId="16" hidden="1">Vocabulaire!#REF!</definedName>
    <definedName name="_xlnm.Print_Titles" localSheetId="10">Navarin.Organigramme!$1:$7</definedName>
    <definedName name="_xlnm.Print_Area" localSheetId="12">'Comprendre pour Transmettre'!$A$17:$AK$39</definedName>
    <definedName name="_xlnm.Print_Area" localSheetId="10">Navarin.Organigramme!$A$1:$AW$173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Z1" i="22" l="1"/>
  <c r="AO1" i="22"/>
  <c r="B3" i="22"/>
  <c r="V3" i="22"/>
  <c r="X3" i="22"/>
  <c r="A4" i="22"/>
  <c r="C4" i="22"/>
  <c r="Y4" i="22"/>
  <c r="AJ7" i="22"/>
  <c r="AR7" i="22"/>
  <c r="AW7" i="22"/>
  <c r="BB7" i="22"/>
  <c r="BG7" i="22"/>
  <c r="V8" i="22"/>
  <c r="AM8" i="22"/>
  <c r="AW8" i="22"/>
  <c r="BB8" i="22"/>
  <c r="AW9" i="22"/>
  <c r="BB9" i="22"/>
  <c r="BG9" i="22"/>
  <c r="AA10" i="22"/>
  <c r="BA8" i="22" s="1"/>
  <c r="AK10" i="22"/>
  <c r="AL10" i="22"/>
  <c r="AM10" i="22"/>
  <c r="AN10" i="22"/>
  <c r="AW10" i="22"/>
  <c r="BB10" i="22"/>
  <c r="BG10" i="22"/>
  <c r="D11" i="22"/>
  <c r="W9" i="22" s="1"/>
  <c r="G11" i="22"/>
  <c r="J11" i="22"/>
  <c r="M11" i="22"/>
  <c r="P11" i="22"/>
  <c r="S11" i="22"/>
  <c r="AH11" i="22"/>
  <c r="AW11" i="22"/>
  <c r="BA11" i="22"/>
  <c r="BC11" i="22" s="1"/>
  <c r="BB11" i="22"/>
  <c r="BG11" i="22"/>
  <c r="AW12" i="22"/>
  <c r="BB12" i="22"/>
  <c r="B13" i="22"/>
  <c r="D13" i="22"/>
  <c r="E13" i="22"/>
  <c r="G13" i="22"/>
  <c r="H13" i="22"/>
  <c r="J13" i="22"/>
  <c r="K13" i="22"/>
  <c r="M13" i="22"/>
  <c r="N13" i="22"/>
  <c r="P13" i="22"/>
  <c r="Q13" i="22"/>
  <c r="S13" i="22"/>
  <c r="T13" i="22"/>
  <c r="AD13" i="22"/>
  <c r="U13" i="22" s="1"/>
  <c r="AI13" i="22"/>
  <c r="B14" i="22"/>
  <c r="D14" i="22"/>
  <c r="E14" i="22"/>
  <c r="G14" i="22"/>
  <c r="H14" i="22"/>
  <c r="J14" i="22"/>
  <c r="K14" i="22"/>
  <c r="M14" i="22"/>
  <c r="N14" i="22"/>
  <c r="P14" i="22"/>
  <c r="Q14" i="22"/>
  <c r="S14" i="22"/>
  <c r="T14" i="22"/>
  <c r="AD14" i="22"/>
  <c r="I14" i="22" s="1"/>
  <c r="AI14" i="22"/>
  <c r="B15" i="22"/>
  <c r="D15" i="22"/>
  <c r="E15" i="22"/>
  <c r="G15" i="22"/>
  <c r="H15" i="22"/>
  <c r="J15" i="22"/>
  <c r="K15" i="22"/>
  <c r="L15" i="22"/>
  <c r="M15" i="22"/>
  <c r="N15" i="22"/>
  <c r="P15" i="22"/>
  <c r="Q15" i="22"/>
  <c r="S15" i="22"/>
  <c r="T15" i="22"/>
  <c r="AD15" i="22"/>
  <c r="I15" i="22" s="1"/>
  <c r="AI15" i="22"/>
  <c r="B16" i="22"/>
  <c r="D16" i="22"/>
  <c r="E16" i="22"/>
  <c r="G16" i="22"/>
  <c r="H16" i="22"/>
  <c r="J16" i="22"/>
  <c r="K16" i="22"/>
  <c r="L16" i="22"/>
  <c r="M16" i="22"/>
  <c r="N16" i="22"/>
  <c r="P16" i="22"/>
  <c r="Q16" i="22"/>
  <c r="S16" i="22"/>
  <c r="T16" i="22"/>
  <c r="AD16" i="22"/>
  <c r="I16" i="22" s="1"/>
  <c r="AI16" i="22"/>
  <c r="B17" i="22"/>
  <c r="D17" i="22"/>
  <c r="E17" i="22"/>
  <c r="G17" i="22"/>
  <c r="H17" i="22"/>
  <c r="J17" i="22"/>
  <c r="K17" i="22"/>
  <c r="L17" i="22"/>
  <c r="M17" i="22"/>
  <c r="N17" i="22"/>
  <c r="P17" i="22"/>
  <c r="Q17" i="22"/>
  <c r="S17" i="22"/>
  <c r="T17" i="22"/>
  <c r="AD17" i="22"/>
  <c r="I17" i="22" s="1"/>
  <c r="AI17" i="22"/>
  <c r="B18" i="22"/>
  <c r="D18" i="22"/>
  <c r="E18" i="22"/>
  <c r="G18" i="22"/>
  <c r="H18" i="22"/>
  <c r="J18" i="22"/>
  <c r="K18" i="22"/>
  <c r="L18" i="22"/>
  <c r="M18" i="22"/>
  <c r="N18" i="22"/>
  <c r="P18" i="22"/>
  <c r="Q18" i="22"/>
  <c r="S18" i="22"/>
  <c r="T18" i="22"/>
  <c r="AD18" i="22"/>
  <c r="I18" i="22" s="1"/>
  <c r="AI18" i="22"/>
  <c r="B19" i="22"/>
  <c r="D19" i="22"/>
  <c r="E19" i="22"/>
  <c r="G19" i="22"/>
  <c r="H19" i="22"/>
  <c r="J19" i="22"/>
  <c r="K19" i="22"/>
  <c r="L19" i="22"/>
  <c r="M19" i="22"/>
  <c r="N19" i="22"/>
  <c r="P19" i="22"/>
  <c r="Q19" i="22"/>
  <c r="S19" i="22"/>
  <c r="T19" i="22"/>
  <c r="AD19" i="22"/>
  <c r="I19" i="22" s="1"/>
  <c r="AI19" i="22"/>
  <c r="AL19" i="22"/>
  <c r="B20" i="22"/>
  <c r="D20" i="22"/>
  <c r="E20" i="22"/>
  <c r="G20" i="22"/>
  <c r="H20" i="22"/>
  <c r="J20" i="22"/>
  <c r="K20" i="22"/>
  <c r="L20" i="22"/>
  <c r="M20" i="22"/>
  <c r="N20" i="22"/>
  <c r="P20" i="22"/>
  <c r="Q20" i="22"/>
  <c r="S20" i="22"/>
  <c r="T20" i="22"/>
  <c r="AD20" i="22"/>
  <c r="I20" i="22" s="1"/>
  <c r="AI20" i="22"/>
  <c r="B21" i="22"/>
  <c r="D21" i="22"/>
  <c r="E21" i="22"/>
  <c r="G21" i="22"/>
  <c r="H21" i="22"/>
  <c r="J21" i="22"/>
  <c r="K21" i="22"/>
  <c r="L21" i="22"/>
  <c r="M21" i="22"/>
  <c r="N21" i="22"/>
  <c r="P21" i="22"/>
  <c r="Q21" i="22"/>
  <c r="S21" i="22"/>
  <c r="T21" i="22"/>
  <c r="AD21" i="22"/>
  <c r="I21" i="22" s="1"/>
  <c r="AI21" i="22"/>
  <c r="B22" i="22"/>
  <c r="D22" i="22"/>
  <c r="E22" i="22"/>
  <c r="G22" i="22"/>
  <c r="H22" i="22"/>
  <c r="J22" i="22"/>
  <c r="K22" i="22"/>
  <c r="L22" i="22"/>
  <c r="M22" i="22"/>
  <c r="N22" i="22"/>
  <c r="P22" i="22"/>
  <c r="Q22" i="22"/>
  <c r="S22" i="22"/>
  <c r="T22" i="22"/>
  <c r="AD22" i="22"/>
  <c r="I22" i="22" s="1"/>
  <c r="AI22" i="22"/>
  <c r="AL22" i="22"/>
  <c r="AY22" i="22"/>
  <c r="B23" i="22"/>
  <c r="D23" i="22"/>
  <c r="E23" i="22"/>
  <c r="G23" i="22"/>
  <c r="H23" i="22"/>
  <c r="J23" i="22"/>
  <c r="K23" i="22"/>
  <c r="L23" i="22"/>
  <c r="M23" i="22"/>
  <c r="N23" i="22"/>
  <c r="O23" i="22"/>
  <c r="P23" i="22"/>
  <c r="Q23" i="22"/>
  <c r="R23" i="22"/>
  <c r="S23" i="22"/>
  <c r="T23" i="22"/>
  <c r="AD23" i="22"/>
  <c r="I23" i="22" s="1"/>
  <c r="AI23" i="22"/>
  <c r="AL23" i="22"/>
  <c r="AS23" i="22"/>
  <c r="AV23" i="22"/>
  <c r="BG23" i="22"/>
  <c r="B24" i="22"/>
  <c r="D24" i="22"/>
  <c r="E24" i="22"/>
  <c r="G24" i="22"/>
  <c r="H24" i="22"/>
  <c r="J24" i="22"/>
  <c r="K24" i="22"/>
  <c r="M24" i="22"/>
  <c r="N24" i="22"/>
  <c r="P24" i="22"/>
  <c r="Q24" i="22"/>
  <c r="S24" i="22"/>
  <c r="T24" i="22"/>
  <c r="AD24" i="22"/>
  <c r="L24" i="22" s="1"/>
  <c r="AI24" i="22"/>
  <c r="B25" i="22"/>
  <c r="D25" i="22"/>
  <c r="E25" i="22"/>
  <c r="G25" i="22"/>
  <c r="H25" i="22"/>
  <c r="J25" i="22"/>
  <c r="K25" i="22"/>
  <c r="M25" i="22"/>
  <c r="N25" i="22"/>
  <c r="O25" i="22"/>
  <c r="P25" i="22"/>
  <c r="Q25" i="22"/>
  <c r="R25" i="22"/>
  <c r="S25" i="22"/>
  <c r="T25" i="22"/>
  <c r="AD25" i="22"/>
  <c r="L25" i="22" s="1"/>
  <c r="AI25" i="22"/>
  <c r="B26" i="22"/>
  <c r="D26" i="22"/>
  <c r="E26" i="22"/>
  <c r="G26" i="22"/>
  <c r="H26" i="22"/>
  <c r="J26" i="22"/>
  <c r="K26" i="22"/>
  <c r="L26" i="22"/>
  <c r="M26" i="22"/>
  <c r="N26" i="22"/>
  <c r="P26" i="22"/>
  <c r="Q26" i="22"/>
  <c r="S26" i="22"/>
  <c r="T26" i="22"/>
  <c r="AD26" i="22"/>
  <c r="I26" i="22" s="1"/>
  <c r="AI26" i="22"/>
  <c r="B27" i="22"/>
  <c r="D27" i="22"/>
  <c r="E27" i="22"/>
  <c r="G27" i="22"/>
  <c r="H27" i="22"/>
  <c r="J27" i="22"/>
  <c r="K27" i="22"/>
  <c r="L27" i="22"/>
  <c r="M27" i="22"/>
  <c r="N27" i="22"/>
  <c r="P27" i="22"/>
  <c r="Q27" i="22"/>
  <c r="S27" i="22"/>
  <c r="T27" i="22"/>
  <c r="AD27" i="22"/>
  <c r="I27" i="22" s="1"/>
  <c r="AI27" i="22"/>
  <c r="AL27" i="22"/>
  <c r="B28" i="22"/>
  <c r="D28" i="22"/>
  <c r="E28" i="22"/>
  <c r="G28" i="22"/>
  <c r="H28" i="22"/>
  <c r="J28" i="22"/>
  <c r="K28" i="22"/>
  <c r="M28" i="22"/>
  <c r="N28" i="22"/>
  <c r="P28" i="22"/>
  <c r="Q28" i="22"/>
  <c r="S28" i="22"/>
  <c r="T28" i="22"/>
  <c r="AD28" i="22"/>
  <c r="AI28" i="22"/>
  <c r="B29" i="22"/>
  <c r="D29" i="22"/>
  <c r="E29" i="22"/>
  <c r="G29" i="22"/>
  <c r="H29" i="22"/>
  <c r="J29" i="22"/>
  <c r="K29" i="22"/>
  <c r="M29" i="22"/>
  <c r="N29" i="22"/>
  <c r="P29" i="22"/>
  <c r="Q29" i="22"/>
  <c r="S29" i="22"/>
  <c r="T29" i="22"/>
  <c r="AD29" i="22"/>
  <c r="L29" i="22" s="1"/>
  <c r="AI29" i="22"/>
  <c r="B30" i="22"/>
  <c r="D30" i="22"/>
  <c r="E30" i="22"/>
  <c r="G30" i="22"/>
  <c r="H30" i="22"/>
  <c r="J30" i="22"/>
  <c r="K30" i="22"/>
  <c r="M30" i="22"/>
  <c r="N30" i="22"/>
  <c r="P30" i="22"/>
  <c r="Q30" i="22"/>
  <c r="S30" i="22"/>
  <c r="T30" i="22"/>
  <c r="U30" i="22"/>
  <c r="AD30" i="22"/>
  <c r="F30" i="22" s="1"/>
  <c r="AI30" i="22"/>
  <c r="AL30" i="22"/>
  <c r="B31" i="22"/>
  <c r="D31" i="22"/>
  <c r="E31" i="22"/>
  <c r="G31" i="22"/>
  <c r="H31" i="22"/>
  <c r="J31" i="22"/>
  <c r="K31" i="22"/>
  <c r="M31" i="22"/>
  <c r="N31" i="22"/>
  <c r="P31" i="22"/>
  <c r="Q31" i="22"/>
  <c r="S31" i="22"/>
  <c r="T31" i="22"/>
  <c r="AD31" i="22"/>
  <c r="AI31" i="22"/>
  <c r="B32" i="22"/>
  <c r="D32" i="22"/>
  <c r="E32" i="22"/>
  <c r="G32" i="22"/>
  <c r="H32" i="22"/>
  <c r="J32" i="22"/>
  <c r="K32" i="22"/>
  <c r="M32" i="22"/>
  <c r="N32" i="22"/>
  <c r="P32" i="22"/>
  <c r="Q32" i="22"/>
  <c r="S32" i="22"/>
  <c r="T32" i="22"/>
  <c r="AD32" i="22"/>
  <c r="F32" i="22" s="1"/>
  <c r="AI32" i="22"/>
  <c r="B33" i="22"/>
  <c r="D33" i="22"/>
  <c r="E33" i="22"/>
  <c r="G33" i="22"/>
  <c r="H33" i="22"/>
  <c r="J33" i="22"/>
  <c r="K33" i="22"/>
  <c r="M33" i="22"/>
  <c r="N33" i="22"/>
  <c r="P33" i="22"/>
  <c r="Q33" i="22"/>
  <c r="S33" i="22"/>
  <c r="T33" i="22"/>
  <c r="AD33" i="22"/>
  <c r="R33" i="22" s="1"/>
  <c r="AI33" i="22"/>
  <c r="B34" i="22"/>
  <c r="D34" i="22"/>
  <c r="E34" i="22"/>
  <c r="G34" i="22"/>
  <c r="H34" i="22"/>
  <c r="J34" i="22"/>
  <c r="K34" i="22"/>
  <c r="M34" i="22"/>
  <c r="N34" i="22"/>
  <c r="P34" i="22"/>
  <c r="Q34" i="22"/>
  <c r="S34" i="22"/>
  <c r="T34" i="22"/>
  <c r="AD34" i="22"/>
  <c r="F34" i="22" s="1"/>
  <c r="AI34" i="22"/>
  <c r="B35" i="22"/>
  <c r="D35" i="22"/>
  <c r="E35" i="22"/>
  <c r="G35" i="22"/>
  <c r="H35" i="22"/>
  <c r="J35" i="22"/>
  <c r="K35" i="22"/>
  <c r="M35" i="22"/>
  <c r="N35" i="22"/>
  <c r="P35" i="22"/>
  <c r="Q35" i="22"/>
  <c r="S35" i="22"/>
  <c r="T35" i="22"/>
  <c r="AD35" i="22"/>
  <c r="I35" i="22" s="1"/>
  <c r="AI35" i="22"/>
  <c r="B36" i="22"/>
  <c r="D36" i="22"/>
  <c r="E36" i="22"/>
  <c r="G36" i="22"/>
  <c r="H36" i="22"/>
  <c r="J36" i="22"/>
  <c r="K36" i="22"/>
  <c r="M36" i="22"/>
  <c r="N36" i="22"/>
  <c r="P36" i="22"/>
  <c r="Q36" i="22"/>
  <c r="S36" i="22"/>
  <c r="T36" i="22"/>
  <c r="AD36" i="22"/>
  <c r="F36" i="22" s="1"/>
  <c r="AI36" i="22"/>
  <c r="AW36" i="22"/>
  <c r="B37" i="22"/>
  <c r="D37" i="22"/>
  <c r="W37" i="22" s="1"/>
  <c r="E37" i="22"/>
  <c r="G37" i="22"/>
  <c r="H37" i="22"/>
  <c r="J37" i="22"/>
  <c r="K37" i="22"/>
  <c r="M37" i="22"/>
  <c r="N37" i="22"/>
  <c r="P37" i="22"/>
  <c r="Q37" i="22"/>
  <c r="S37" i="22"/>
  <c r="T37" i="22"/>
  <c r="AD37" i="22"/>
  <c r="I37" i="22" s="1"/>
  <c r="AI37" i="22"/>
  <c r="AW37" i="22"/>
  <c r="AX37" i="22"/>
  <c r="B38" i="22"/>
  <c r="D38" i="22"/>
  <c r="E38" i="22"/>
  <c r="G38" i="22"/>
  <c r="H38" i="22"/>
  <c r="J38" i="22"/>
  <c r="K38" i="22"/>
  <c r="M38" i="22"/>
  <c r="N38" i="22"/>
  <c r="P38" i="22"/>
  <c r="Q38" i="22"/>
  <c r="S38" i="22"/>
  <c r="T38" i="22"/>
  <c r="AD38" i="22"/>
  <c r="F38" i="22" s="1"/>
  <c r="AI38" i="22"/>
  <c r="B39" i="22"/>
  <c r="D39" i="22"/>
  <c r="E39" i="22"/>
  <c r="G39" i="22"/>
  <c r="H39" i="22"/>
  <c r="J39" i="22"/>
  <c r="K39" i="22"/>
  <c r="M39" i="22"/>
  <c r="N39" i="22"/>
  <c r="P39" i="22"/>
  <c r="Q39" i="22"/>
  <c r="S39" i="22"/>
  <c r="T39" i="22"/>
  <c r="AD39" i="22"/>
  <c r="I39" i="22" s="1"/>
  <c r="AI39" i="22"/>
  <c r="AW39" i="22"/>
  <c r="B40" i="22"/>
  <c r="D40" i="22"/>
  <c r="E40" i="22"/>
  <c r="G40" i="22"/>
  <c r="H40" i="22"/>
  <c r="J40" i="22"/>
  <c r="K40" i="22"/>
  <c r="M40" i="22"/>
  <c r="N40" i="22"/>
  <c r="P40" i="22"/>
  <c r="Q40" i="22"/>
  <c r="S40" i="22"/>
  <c r="T40" i="22"/>
  <c r="AD40" i="22"/>
  <c r="AI40" i="22"/>
  <c r="BF40" i="22"/>
  <c r="BG40" i="22"/>
  <c r="B41" i="22"/>
  <c r="D41" i="22"/>
  <c r="E41" i="22"/>
  <c r="F41" i="22"/>
  <c r="G41" i="22"/>
  <c r="H41" i="22"/>
  <c r="J41" i="22"/>
  <c r="K41" i="22"/>
  <c r="M41" i="22"/>
  <c r="N41" i="22"/>
  <c r="O41" i="22"/>
  <c r="P41" i="22"/>
  <c r="Q41" i="22"/>
  <c r="R41" i="22"/>
  <c r="S41" i="22"/>
  <c r="T41" i="22"/>
  <c r="AD41" i="22"/>
  <c r="I41" i="22" s="1"/>
  <c r="AI41" i="22"/>
  <c r="AW41" i="22"/>
  <c r="AZ41" i="22"/>
  <c r="BG41" i="22"/>
  <c r="B42" i="22"/>
  <c r="D42" i="22"/>
  <c r="E42" i="22"/>
  <c r="G42" i="22"/>
  <c r="H42" i="22"/>
  <c r="J42" i="22"/>
  <c r="K42" i="22"/>
  <c r="M42" i="22"/>
  <c r="N42" i="22"/>
  <c r="P42" i="22"/>
  <c r="Q42" i="22"/>
  <c r="S42" i="22"/>
  <c r="T42" i="22"/>
  <c r="AD42" i="22"/>
  <c r="I42" i="22" s="1"/>
  <c r="AI42" i="22"/>
  <c r="AL42" i="22"/>
  <c r="BG42" i="22"/>
  <c r="B43" i="22"/>
  <c r="D43" i="22"/>
  <c r="E43" i="22"/>
  <c r="G43" i="22"/>
  <c r="H43" i="22"/>
  <c r="J43" i="22"/>
  <c r="K43" i="22"/>
  <c r="M43" i="22"/>
  <c r="N43" i="22"/>
  <c r="P43" i="22"/>
  <c r="Q43" i="22"/>
  <c r="S43" i="22"/>
  <c r="T43" i="22"/>
  <c r="AD43" i="22"/>
  <c r="I43" i="22" s="1"/>
  <c r="AI43" i="22"/>
  <c r="BG43" i="22"/>
  <c r="B44" i="22"/>
  <c r="D44" i="22"/>
  <c r="E44" i="22"/>
  <c r="G44" i="22"/>
  <c r="H44" i="22"/>
  <c r="J44" i="22"/>
  <c r="K44" i="22"/>
  <c r="M44" i="22"/>
  <c r="N44" i="22"/>
  <c r="P44" i="22"/>
  <c r="Q44" i="22"/>
  <c r="S44" i="22"/>
  <c r="T44" i="22"/>
  <c r="AD44" i="22"/>
  <c r="AI44" i="22"/>
  <c r="BG44" i="22"/>
  <c r="B45" i="22"/>
  <c r="D45" i="22"/>
  <c r="E45" i="22"/>
  <c r="G45" i="22"/>
  <c r="H45" i="22"/>
  <c r="J45" i="22"/>
  <c r="K45" i="22"/>
  <c r="M45" i="22"/>
  <c r="N45" i="22"/>
  <c r="P45" i="22"/>
  <c r="Q45" i="22"/>
  <c r="S45" i="22"/>
  <c r="T45" i="22"/>
  <c r="AD45" i="22"/>
  <c r="AI45" i="22"/>
  <c r="B46" i="22"/>
  <c r="D46" i="22"/>
  <c r="E46" i="22"/>
  <c r="G46" i="22"/>
  <c r="H46" i="22"/>
  <c r="J46" i="22"/>
  <c r="K46" i="22"/>
  <c r="M46" i="22"/>
  <c r="N46" i="22"/>
  <c r="P46" i="22"/>
  <c r="Q46" i="22"/>
  <c r="S46" i="22"/>
  <c r="T46" i="22"/>
  <c r="AD46" i="22"/>
  <c r="AI46" i="22"/>
  <c r="B47" i="22"/>
  <c r="D47" i="22"/>
  <c r="E47" i="22"/>
  <c r="G47" i="22"/>
  <c r="H47" i="22"/>
  <c r="J47" i="22"/>
  <c r="K47" i="22"/>
  <c r="M47" i="22"/>
  <c r="N47" i="22"/>
  <c r="P47" i="22"/>
  <c r="Q47" i="22"/>
  <c r="S47" i="22"/>
  <c r="T47" i="22"/>
  <c r="U47" i="22"/>
  <c r="AD47" i="22"/>
  <c r="AL47" i="22" s="1"/>
  <c r="AI47" i="22"/>
  <c r="B48" i="22"/>
  <c r="D48" i="22"/>
  <c r="E48" i="22"/>
  <c r="G48" i="22"/>
  <c r="H48" i="22"/>
  <c r="J48" i="22"/>
  <c r="K48" i="22"/>
  <c r="M48" i="22"/>
  <c r="N48" i="22"/>
  <c r="P48" i="22"/>
  <c r="Q48" i="22"/>
  <c r="S48" i="22"/>
  <c r="T48" i="22"/>
  <c r="AD48" i="22"/>
  <c r="L48" i="22" s="1"/>
  <c r="AI48" i="22"/>
  <c r="AL48" i="22"/>
  <c r="BI48" i="22"/>
  <c r="BJ48" i="22"/>
  <c r="BK48" i="22"/>
  <c r="B49" i="22"/>
  <c r="D49" i="22"/>
  <c r="E49" i="22"/>
  <c r="F49" i="22"/>
  <c r="G49" i="22"/>
  <c r="H49" i="22"/>
  <c r="J49" i="22"/>
  <c r="K49" i="22"/>
  <c r="M49" i="22"/>
  <c r="N49" i="22"/>
  <c r="P49" i="22"/>
  <c r="Q49" i="22"/>
  <c r="S49" i="22"/>
  <c r="T49" i="22"/>
  <c r="AD49" i="22"/>
  <c r="AI49" i="22"/>
  <c r="B50" i="22"/>
  <c r="D50" i="22"/>
  <c r="E50" i="22"/>
  <c r="F50" i="22"/>
  <c r="G50" i="22"/>
  <c r="H50" i="22"/>
  <c r="J50" i="22"/>
  <c r="K50" i="22"/>
  <c r="M50" i="22"/>
  <c r="N50" i="22"/>
  <c r="P50" i="22"/>
  <c r="Q50" i="22"/>
  <c r="S50" i="22"/>
  <c r="T50" i="22"/>
  <c r="U50" i="22"/>
  <c r="AD50" i="22"/>
  <c r="R50" i="22" s="1"/>
  <c r="AI50" i="22"/>
  <c r="AL50" i="22"/>
  <c r="B51" i="22"/>
  <c r="D51" i="22"/>
  <c r="E51" i="22"/>
  <c r="G51" i="22"/>
  <c r="H51" i="22"/>
  <c r="J51" i="22"/>
  <c r="K51" i="22"/>
  <c r="M51" i="22"/>
  <c r="N51" i="22"/>
  <c r="P51" i="22"/>
  <c r="Q51" i="22"/>
  <c r="S51" i="22"/>
  <c r="T51" i="22"/>
  <c r="AD51" i="22"/>
  <c r="F51" i="22" s="1"/>
  <c r="AI51" i="22"/>
  <c r="B52" i="22"/>
  <c r="D52" i="22"/>
  <c r="E52" i="22"/>
  <c r="G52" i="22"/>
  <c r="H52" i="22"/>
  <c r="J52" i="22"/>
  <c r="K52" i="22"/>
  <c r="M52" i="22"/>
  <c r="N52" i="22"/>
  <c r="P52" i="22"/>
  <c r="Q52" i="22"/>
  <c r="S52" i="22"/>
  <c r="T52" i="22"/>
  <c r="AD52" i="22"/>
  <c r="I52" i="22" s="1"/>
  <c r="AI52" i="22"/>
  <c r="B53" i="22"/>
  <c r="D53" i="22"/>
  <c r="E53" i="22"/>
  <c r="G53" i="22"/>
  <c r="H53" i="22"/>
  <c r="J53" i="22"/>
  <c r="K53" i="22"/>
  <c r="M53" i="22"/>
  <c r="N53" i="22"/>
  <c r="P53" i="22"/>
  <c r="Q53" i="22"/>
  <c r="S53" i="22"/>
  <c r="T53" i="22"/>
  <c r="AD53" i="22"/>
  <c r="F53" i="22" s="1"/>
  <c r="AI53" i="22"/>
  <c r="BK53" i="22"/>
  <c r="B54" i="22"/>
  <c r="D54" i="22"/>
  <c r="E54" i="22"/>
  <c r="G54" i="22"/>
  <c r="H54" i="22"/>
  <c r="J54" i="22"/>
  <c r="K54" i="22"/>
  <c r="M54" i="22"/>
  <c r="N54" i="22"/>
  <c r="P54" i="22"/>
  <c r="Q54" i="22"/>
  <c r="S54" i="22"/>
  <c r="T54" i="22"/>
  <c r="U54" i="22"/>
  <c r="AD54" i="22"/>
  <c r="L54" i="22" s="1"/>
  <c r="AI54" i="22"/>
  <c r="AL54" i="22"/>
  <c r="B55" i="22"/>
  <c r="D55" i="22"/>
  <c r="E55" i="22"/>
  <c r="G55" i="22"/>
  <c r="H55" i="22"/>
  <c r="J55" i="22"/>
  <c r="K55" i="22"/>
  <c r="M55" i="22"/>
  <c r="N55" i="22"/>
  <c r="P55" i="22"/>
  <c r="Q55" i="22"/>
  <c r="S55" i="22"/>
  <c r="T55" i="22"/>
  <c r="AD55" i="22"/>
  <c r="AI55" i="22"/>
  <c r="AL55" i="22"/>
  <c r="B56" i="22"/>
  <c r="D56" i="22"/>
  <c r="E56" i="22"/>
  <c r="G56" i="22"/>
  <c r="H56" i="22"/>
  <c r="J56" i="22"/>
  <c r="K56" i="22"/>
  <c r="M56" i="22"/>
  <c r="N56" i="22"/>
  <c r="P56" i="22"/>
  <c r="Q56" i="22"/>
  <c r="S56" i="22"/>
  <c r="T56" i="22"/>
  <c r="AD56" i="22"/>
  <c r="O56" i="22" s="1"/>
  <c r="AI56" i="22"/>
  <c r="B57" i="22"/>
  <c r="D57" i="22"/>
  <c r="E57" i="22"/>
  <c r="G57" i="22"/>
  <c r="H57" i="22"/>
  <c r="J57" i="22"/>
  <c r="K57" i="22"/>
  <c r="M57" i="22"/>
  <c r="N57" i="22"/>
  <c r="P57" i="22"/>
  <c r="Q57" i="22"/>
  <c r="S57" i="22"/>
  <c r="T57" i="22"/>
  <c r="AD57" i="22"/>
  <c r="O57" i="22" s="1"/>
  <c r="AI57" i="22"/>
  <c r="AL57" i="22"/>
  <c r="B58" i="22"/>
  <c r="D58" i="22"/>
  <c r="E58" i="22"/>
  <c r="G58" i="22"/>
  <c r="H58" i="22"/>
  <c r="J58" i="22"/>
  <c r="K58" i="22"/>
  <c r="M58" i="22"/>
  <c r="N58" i="22"/>
  <c r="P58" i="22"/>
  <c r="Q58" i="22"/>
  <c r="R58" i="22"/>
  <c r="S58" i="22"/>
  <c r="T58" i="22"/>
  <c r="AD58" i="22"/>
  <c r="O58" i="22" s="1"/>
  <c r="AI58" i="22"/>
  <c r="BJ58" i="22"/>
  <c r="BK58" i="22"/>
  <c r="B59" i="22"/>
  <c r="D59" i="22"/>
  <c r="E59" i="22"/>
  <c r="G59" i="22"/>
  <c r="H59" i="22"/>
  <c r="J59" i="22"/>
  <c r="K59" i="22"/>
  <c r="M59" i="22"/>
  <c r="N59" i="22"/>
  <c r="P59" i="22"/>
  <c r="Q59" i="22"/>
  <c r="S59" i="22"/>
  <c r="T59" i="22"/>
  <c r="AD59" i="22"/>
  <c r="I59" i="22" s="1"/>
  <c r="AI59" i="22"/>
  <c r="BG59" i="22"/>
  <c r="B60" i="22"/>
  <c r="D60" i="22"/>
  <c r="E60" i="22"/>
  <c r="G60" i="22"/>
  <c r="H60" i="22"/>
  <c r="J60" i="22"/>
  <c r="K60" i="22"/>
  <c r="L60" i="22"/>
  <c r="M60" i="22"/>
  <c r="N60" i="22"/>
  <c r="P60" i="22"/>
  <c r="Q60" i="22"/>
  <c r="S60" i="22"/>
  <c r="T60" i="22"/>
  <c r="AD60" i="22"/>
  <c r="I60" i="22" s="1"/>
  <c r="AI60" i="22"/>
  <c r="BG60" i="22"/>
  <c r="B61" i="22"/>
  <c r="D61" i="22"/>
  <c r="E61" i="22"/>
  <c r="G61" i="22"/>
  <c r="H61" i="22"/>
  <c r="J61" i="22"/>
  <c r="K61" i="22"/>
  <c r="M61" i="22"/>
  <c r="N61" i="22"/>
  <c r="P61" i="22"/>
  <c r="Q61" i="22"/>
  <c r="S61" i="22"/>
  <c r="T61" i="22"/>
  <c r="AD61" i="22"/>
  <c r="O61" i="22" s="1"/>
  <c r="AI61" i="22"/>
  <c r="B62" i="22"/>
  <c r="D62" i="22"/>
  <c r="E62" i="22"/>
  <c r="G62" i="22"/>
  <c r="H62" i="22"/>
  <c r="J62" i="22"/>
  <c r="K62" i="22"/>
  <c r="M62" i="22"/>
  <c r="N62" i="22"/>
  <c r="P62" i="22"/>
  <c r="Q62" i="22"/>
  <c r="R62" i="22"/>
  <c r="S62" i="22"/>
  <c r="T62" i="22"/>
  <c r="AD62" i="22"/>
  <c r="O62" i="22" s="1"/>
  <c r="AI62" i="22"/>
  <c r="AL62" i="22"/>
  <c r="BG62" i="22"/>
  <c r="Y63" i="22"/>
  <c r="AO63" i="22"/>
  <c r="AB64" i="22"/>
  <c r="F65" i="22"/>
  <c r="F10" i="22" s="1"/>
  <c r="I65" i="22"/>
  <c r="I10" i="22" s="1"/>
  <c r="L65" i="22"/>
  <c r="L10" i="22" s="1"/>
  <c r="O65" i="22"/>
  <c r="O10" i="22" s="1"/>
  <c r="R65" i="22"/>
  <c r="R10" i="22" s="1"/>
  <c r="U65" i="22"/>
  <c r="U10" i="22" s="1"/>
  <c r="R66" i="22"/>
  <c r="R11" i="22" s="1"/>
  <c r="E67" i="22"/>
  <c r="F67" i="22"/>
  <c r="H67" i="22"/>
  <c r="I67" i="22"/>
  <c r="K67" i="22"/>
  <c r="L67" i="22"/>
  <c r="N67" i="22"/>
  <c r="O67" i="22"/>
  <c r="Q67" i="22"/>
  <c r="R67" i="22"/>
  <c r="T67" i="22"/>
  <c r="U67" i="22"/>
  <c r="D68" i="22"/>
  <c r="E68" i="22"/>
  <c r="G68" i="22"/>
  <c r="H68" i="22"/>
  <c r="J68" i="22"/>
  <c r="K68" i="22"/>
  <c r="M68" i="22"/>
  <c r="N68" i="22"/>
  <c r="P68" i="22"/>
  <c r="Q68" i="22"/>
  <c r="S68" i="22"/>
  <c r="T68" i="22"/>
  <c r="AO68" i="22"/>
  <c r="BG68" i="22"/>
  <c r="B71" i="22"/>
  <c r="N73" i="22"/>
  <c r="O73" i="22"/>
  <c r="AA73" i="22"/>
  <c r="AH73" i="22"/>
  <c r="C77" i="22"/>
  <c r="D77" i="22"/>
  <c r="C78" i="22"/>
  <c r="E78" i="22" s="1"/>
  <c r="D78" i="22"/>
  <c r="BG78" i="22"/>
  <c r="C79" i="22"/>
  <c r="D79" i="22"/>
  <c r="C80" i="22"/>
  <c r="D80" i="22"/>
  <c r="E80" i="22"/>
  <c r="AH80" i="22"/>
  <c r="BG80" i="22"/>
  <c r="C81" i="22"/>
  <c r="D81" i="22"/>
  <c r="E81" i="22" s="1"/>
  <c r="AH81" i="22"/>
  <c r="C82" i="22"/>
  <c r="D82" i="22"/>
  <c r="E82" i="22" s="1"/>
  <c r="AA82" i="22"/>
  <c r="AH83" i="22"/>
  <c r="AA84" i="22"/>
  <c r="AH85" i="22"/>
  <c r="AA86" i="22"/>
  <c r="AH86" i="22"/>
  <c r="AH87" i="22"/>
  <c r="BG87" i="22"/>
  <c r="B88" i="22"/>
  <c r="N90" i="22"/>
  <c r="O90" i="22"/>
  <c r="BE90" i="22"/>
  <c r="BF90" i="22"/>
  <c r="BG90" i="22"/>
  <c r="C91" i="22"/>
  <c r="AA91" i="22"/>
  <c r="AH93" i="22"/>
  <c r="C94" i="22"/>
  <c r="E94" i="22" s="1"/>
  <c r="F94" i="22"/>
  <c r="AA94" i="22"/>
  <c r="AH94" i="22"/>
  <c r="C95" i="22"/>
  <c r="E95" i="22"/>
  <c r="F95" i="22"/>
  <c r="G95" i="22"/>
  <c r="C96" i="22"/>
  <c r="E96" i="22" s="1"/>
  <c r="G96" i="22" s="1"/>
  <c r="I96" i="22" s="1"/>
  <c r="J96" i="22" s="1"/>
  <c r="F96" i="22"/>
  <c r="AH96" i="22"/>
  <c r="C97" i="22"/>
  <c r="E97" i="22" s="1"/>
  <c r="G97" i="22" s="1"/>
  <c r="F97" i="22"/>
  <c r="AH97" i="22"/>
  <c r="C98" i="22"/>
  <c r="E98" i="22" s="1"/>
  <c r="F98" i="22"/>
  <c r="AH98" i="22"/>
  <c r="C99" i="22"/>
  <c r="E99" i="22" s="1"/>
  <c r="F99" i="22"/>
  <c r="AH99" i="22"/>
  <c r="AA100" i="22"/>
  <c r="AH100" i="22"/>
  <c r="K101" i="22"/>
  <c r="AA101" i="22"/>
  <c r="AH101" i="22"/>
  <c r="I102" i="22"/>
  <c r="Z1" i="21"/>
  <c r="AO1" i="21"/>
  <c r="B3" i="21"/>
  <c r="A4" i="21" s="1"/>
  <c r="V3" i="21"/>
  <c r="X3" i="21"/>
  <c r="C4" i="21"/>
  <c r="Y4" i="21"/>
  <c r="AJ7" i="21"/>
  <c r="AM10" i="21" s="1"/>
  <c r="AR7" i="21"/>
  <c r="AW7" i="21"/>
  <c r="BB7" i="21"/>
  <c r="BG7" i="21"/>
  <c r="V8" i="21"/>
  <c r="AM8" i="21"/>
  <c r="AW8" i="21"/>
  <c r="BB8" i="21"/>
  <c r="H67" i="21" s="1"/>
  <c r="AW9" i="21"/>
  <c r="BB9" i="21"/>
  <c r="BG9" i="21"/>
  <c r="AA10" i="21"/>
  <c r="BA8" i="21" s="1"/>
  <c r="BC8" i="21" s="1"/>
  <c r="AK10" i="21"/>
  <c r="AL10" i="21"/>
  <c r="AN10" i="21"/>
  <c r="AW10" i="21"/>
  <c r="BA10" i="21"/>
  <c r="BC10" i="21" s="1"/>
  <c r="BB10" i="21"/>
  <c r="BG10" i="21"/>
  <c r="D11" i="21"/>
  <c r="G11" i="21"/>
  <c r="W9" i="21" s="1"/>
  <c r="J11" i="21"/>
  <c r="M11" i="21"/>
  <c r="P11" i="21"/>
  <c r="S11" i="21"/>
  <c r="S68" i="21" s="1"/>
  <c r="AH11" i="21"/>
  <c r="AW11" i="21"/>
  <c r="BB11" i="21"/>
  <c r="BG11" i="21"/>
  <c r="AW12" i="21"/>
  <c r="BB12" i="21"/>
  <c r="T67" i="21" s="1"/>
  <c r="B13" i="21"/>
  <c r="D13" i="21"/>
  <c r="E13" i="21"/>
  <c r="G13" i="21"/>
  <c r="H13" i="21"/>
  <c r="J13" i="21"/>
  <c r="K13" i="21"/>
  <c r="M13" i="21"/>
  <c r="N13" i="21"/>
  <c r="P13" i="21"/>
  <c r="Q13" i="21"/>
  <c r="S13" i="21"/>
  <c r="T13" i="21"/>
  <c r="AD13" i="21"/>
  <c r="I13" i="21" s="1"/>
  <c r="AI13" i="21"/>
  <c r="B14" i="21"/>
  <c r="D14" i="21"/>
  <c r="W14" i="21" s="1"/>
  <c r="E14" i="21"/>
  <c r="G14" i="21"/>
  <c r="H14" i="21"/>
  <c r="J14" i="21"/>
  <c r="K14" i="21"/>
  <c r="M14" i="21"/>
  <c r="N14" i="21"/>
  <c r="P14" i="21"/>
  <c r="Q14" i="21"/>
  <c r="S14" i="21"/>
  <c r="T14" i="21"/>
  <c r="AD14" i="21"/>
  <c r="I14" i="21" s="1"/>
  <c r="AI14" i="21"/>
  <c r="B15" i="21"/>
  <c r="D15" i="21"/>
  <c r="E15" i="21"/>
  <c r="G15" i="21"/>
  <c r="H15" i="21"/>
  <c r="J15" i="21"/>
  <c r="K15" i="21"/>
  <c r="M15" i="21"/>
  <c r="W15" i="21" s="1"/>
  <c r="N15" i="21"/>
  <c r="O15" i="21"/>
  <c r="P15" i="21"/>
  <c r="Q15" i="21"/>
  <c r="S15" i="21"/>
  <c r="T15" i="21"/>
  <c r="AD15" i="21"/>
  <c r="I15" i="21" s="1"/>
  <c r="AI15" i="21"/>
  <c r="B16" i="21"/>
  <c r="D16" i="21"/>
  <c r="W16" i="21" s="1"/>
  <c r="E16" i="21"/>
  <c r="G16" i="21"/>
  <c r="H16" i="21"/>
  <c r="J16" i="21"/>
  <c r="K16" i="21"/>
  <c r="M16" i="21"/>
  <c r="N16" i="21"/>
  <c r="P16" i="21"/>
  <c r="Q16" i="21"/>
  <c r="S16" i="21"/>
  <c r="T16" i="21"/>
  <c r="AD16" i="21"/>
  <c r="I16" i="21" s="1"/>
  <c r="AI16" i="21"/>
  <c r="B17" i="21"/>
  <c r="D17" i="21"/>
  <c r="E17" i="21"/>
  <c r="G17" i="21"/>
  <c r="H17" i="21"/>
  <c r="J17" i="21"/>
  <c r="K17" i="21"/>
  <c r="M17" i="21"/>
  <c r="W17" i="21" s="1"/>
  <c r="N17" i="21"/>
  <c r="P17" i="21"/>
  <c r="Q17" i="21"/>
  <c r="S17" i="21"/>
  <c r="T17" i="21"/>
  <c r="U17" i="21"/>
  <c r="AD17" i="21"/>
  <c r="L17" i="21" s="1"/>
  <c r="AI17" i="21"/>
  <c r="B18" i="21"/>
  <c r="D18" i="21"/>
  <c r="E18" i="21"/>
  <c r="G18" i="21"/>
  <c r="H18" i="21"/>
  <c r="I18" i="21"/>
  <c r="J18" i="21"/>
  <c r="K18" i="21"/>
  <c r="M18" i="21"/>
  <c r="N18" i="21"/>
  <c r="P18" i="21"/>
  <c r="Q18" i="21"/>
  <c r="S18" i="21"/>
  <c r="T18" i="21"/>
  <c r="U18" i="21"/>
  <c r="AD18" i="21"/>
  <c r="L18" i="21" s="1"/>
  <c r="AI18" i="21"/>
  <c r="B19" i="21"/>
  <c r="D19" i="21"/>
  <c r="E19" i="21"/>
  <c r="G19" i="21"/>
  <c r="H19" i="21"/>
  <c r="J19" i="21"/>
  <c r="K19" i="21"/>
  <c r="M19" i="21"/>
  <c r="N19" i="21"/>
  <c r="P19" i="21"/>
  <c r="Q19" i="21"/>
  <c r="S19" i="21"/>
  <c r="T19" i="21"/>
  <c r="AD19" i="21"/>
  <c r="AI19" i="21"/>
  <c r="B20" i="21"/>
  <c r="D20" i="21"/>
  <c r="E20" i="21"/>
  <c r="G20" i="21"/>
  <c r="H20" i="21"/>
  <c r="J20" i="21"/>
  <c r="K20" i="21"/>
  <c r="M20" i="21"/>
  <c r="N20" i="21"/>
  <c r="P20" i="21"/>
  <c r="Q20" i="21"/>
  <c r="S20" i="21"/>
  <c r="T20" i="21"/>
  <c r="AD20" i="21"/>
  <c r="O20" i="21" s="1"/>
  <c r="AI20" i="21"/>
  <c r="B21" i="21"/>
  <c r="D21" i="21"/>
  <c r="E21" i="21"/>
  <c r="G21" i="21"/>
  <c r="H21" i="21"/>
  <c r="J21" i="21"/>
  <c r="K21" i="21"/>
  <c r="M21" i="21"/>
  <c r="N21" i="21"/>
  <c r="P21" i="21"/>
  <c r="Q21" i="21"/>
  <c r="S21" i="21"/>
  <c r="T21" i="21"/>
  <c r="AD21" i="21"/>
  <c r="U21" i="21" s="1"/>
  <c r="AI21" i="21"/>
  <c r="B22" i="21"/>
  <c r="D22" i="21"/>
  <c r="E22" i="21"/>
  <c r="G22" i="21"/>
  <c r="H22" i="21"/>
  <c r="J22" i="21"/>
  <c r="K22" i="21"/>
  <c r="M22" i="21"/>
  <c r="N22" i="21"/>
  <c r="P22" i="21"/>
  <c r="Q22" i="21"/>
  <c r="S22" i="21"/>
  <c r="T22" i="21"/>
  <c r="AD22" i="21"/>
  <c r="L22" i="21" s="1"/>
  <c r="AI22" i="21"/>
  <c r="AY22" i="21"/>
  <c r="B23" i="21"/>
  <c r="D23" i="21"/>
  <c r="E23" i="21"/>
  <c r="F23" i="21"/>
  <c r="G23" i="21"/>
  <c r="H23" i="21"/>
  <c r="J23" i="21"/>
  <c r="K23" i="21"/>
  <c r="L23" i="21"/>
  <c r="M23" i="21"/>
  <c r="N23" i="21"/>
  <c r="O23" i="21"/>
  <c r="P23" i="21"/>
  <c r="Q23" i="21"/>
  <c r="S23" i="21"/>
  <c r="W23" i="21" s="1"/>
  <c r="T23" i="21"/>
  <c r="AD23" i="21"/>
  <c r="I23" i="21" s="1"/>
  <c r="AI23" i="21"/>
  <c r="AS23" i="21"/>
  <c r="AV23" i="21"/>
  <c r="BG23" i="21"/>
  <c r="B24" i="21"/>
  <c r="D24" i="21"/>
  <c r="E24" i="21"/>
  <c r="G24" i="21"/>
  <c r="H24" i="21"/>
  <c r="J24" i="21"/>
  <c r="K24" i="21"/>
  <c r="M24" i="21"/>
  <c r="N24" i="21"/>
  <c r="P24" i="21"/>
  <c r="Q24" i="21"/>
  <c r="S24" i="21"/>
  <c r="T24" i="21"/>
  <c r="AD24" i="21"/>
  <c r="U24" i="21" s="1"/>
  <c r="AI24" i="21"/>
  <c r="B25" i="21"/>
  <c r="D25" i="21"/>
  <c r="E25" i="21"/>
  <c r="G25" i="21"/>
  <c r="W25" i="21" s="1"/>
  <c r="H25" i="21"/>
  <c r="J25" i="21"/>
  <c r="K25" i="21"/>
  <c r="M25" i="21"/>
  <c r="N25" i="21"/>
  <c r="P25" i="21"/>
  <c r="Q25" i="21"/>
  <c r="S25" i="21"/>
  <c r="T25" i="21"/>
  <c r="AD25" i="21"/>
  <c r="O25" i="21" s="1"/>
  <c r="AI25" i="21"/>
  <c r="B26" i="21"/>
  <c r="D26" i="21"/>
  <c r="E26" i="21"/>
  <c r="G26" i="21"/>
  <c r="H26" i="21"/>
  <c r="I26" i="21"/>
  <c r="J26" i="21"/>
  <c r="K26" i="21"/>
  <c r="M26" i="21"/>
  <c r="N26" i="21"/>
  <c r="P26" i="21"/>
  <c r="Q26" i="21"/>
  <c r="S26" i="21"/>
  <c r="T26" i="21"/>
  <c r="AD26" i="21"/>
  <c r="L26" i="21" s="1"/>
  <c r="AI26" i="21"/>
  <c r="B27" i="21"/>
  <c r="D27" i="21"/>
  <c r="E27" i="21"/>
  <c r="G27" i="21"/>
  <c r="H27" i="21"/>
  <c r="J27" i="21"/>
  <c r="K27" i="21"/>
  <c r="M27" i="21"/>
  <c r="N27" i="21"/>
  <c r="P27" i="21"/>
  <c r="Q27" i="21"/>
  <c r="S27" i="21"/>
  <c r="T27" i="21"/>
  <c r="AD27" i="21"/>
  <c r="AI27" i="21"/>
  <c r="B28" i="21"/>
  <c r="D28" i="21"/>
  <c r="E28" i="21"/>
  <c r="G28" i="21"/>
  <c r="H28" i="21"/>
  <c r="J28" i="21"/>
  <c r="K28" i="21"/>
  <c r="M28" i="21"/>
  <c r="N28" i="21"/>
  <c r="P28" i="21"/>
  <c r="Q28" i="21"/>
  <c r="S28" i="21"/>
  <c r="T28" i="21"/>
  <c r="AD28" i="21"/>
  <c r="O28" i="21" s="1"/>
  <c r="AI28" i="21"/>
  <c r="B29" i="21"/>
  <c r="D29" i="21"/>
  <c r="E29" i="21"/>
  <c r="G29" i="21"/>
  <c r="H29" i="21"/>
  <c r="J29" i="21"/>
  <c r="K29" i="21"/>
  <c r="M29" i="21"/>
  <c r="W29" i="21" s="1"/>
  <c r="N29" i="21"/>
  <c r="O29" i="21"/>
  <c r="P29" i="21"/>
  <c r="Q29" i="21"/>
  <c r="S29" i="21"/>
  <c r="T29" i="21"/>
  <c r="AD29" i="21"/>
  <c r="I29" i="21" s="1"/>
  <c r="AI29" i="21"/>
  <c r="AL29" i="21"/>
  <c r="B30" i="21"/>
  <c r="D30" i="21"/>
  <c r="E30" i="21"/>
  <c r="G30" i="21"/>
  <c r="H30" i="21"/>
  <c r="J30" i="21"/>
  <c r="K30" i="21"/>
  <c r="L30" i="21"/>
  <c r="M30" i="21"/>
  <c r="N30" i="21"/>
  <c r="P30" i="21"/>
  <c r="Q30" i="21"/>
  <c r="S30" i="21"/>
  <c r="T30" i="21"/>
  <c r="W30" i="21"/>
  <c r="AD30" i="21"/>
  <c r="I30" i="21" s="1"/>
  <c r="AI30" i="21"/>
  <c r="B31" i="21"/>
  <c r="D31" i="21"/>
  <c r="E31" i="21"/>
  <c r="G31" i="21"/>
  <c r="H31" i="21"/>
  <c r="J31" i="21"/>
  <c r="K31" i="21"/>
  <c r="M31" i="21"/>
  <c r="N31" i="21"/>
  <c r="O31" i="21"/>
  <c r="P31" i="21"/>
  <c r="Q31" i="21"/>
  <c r="S31" i="21"/>
  <c r="T31" i="21"/>
  <c r="AD31" i="21"/>
  <c r="I31" i="21" s="1"/>
  <c r="AI31" i="21"/>
  <c r="AL31" i="21"/>
  <c r="B32" i="21"/>
  <c r="D32" i="21"/>
  <c r="E32" i="21"/>
  <c r="G32" i="21"/>
  <c r="H32" i="21"/>
  <c r="J32" i="21"/>
  <c r="K32" i="21"/>
  <c r="M32" i="21"/>
  <c r="N32" i="21"/>
  <c r="O32" i="21"/>
  <c r="P32" i="21"/>
  <c r="Q32" i="21"/>
  <c r="S32" i="21"/>
  <c r="T32" i="21"/>
  <c r="AD32" i="21"/>
  <c r="I32" i="21" s="1"/>
  <c r="AI32" i="21"/>
  <c r="B33" i="21"/>
  <c r="D33" i="21"/>
  <c r="W33" i="21" s="1"/>
  <c r="E33" i="21"/>
  <c r="G33" i="21"/>
  <c r="H33" i="21"/>
  <c r="J33" i="21"/>
  <c r="K33" i="21"/>
  <c r="M33" i="21"/>
  <c r="N33" i="21"/>
  <c r="P33" i="21"/>
  <c r="Q33" i="21"/>
  <c r="S33" i="21"/>
  <c r="T33" i="21"/>
  <c r="AD33" i="21"/>
  <c r="I33" i="21" s="1"/>
  <c r="AI33" i="21"/>
  <c r="B34" i="21"/>
  <c r="D34" i="21"/>
  <c r="W34" i="21" s="1"/>
  <c r="E34" i="21"/>
  <c r="G34" i="21"/>
  <c r="H34" i="21"/>
  <c r="J34" i="21"/>
  <c r="K34" i="21"/>
  <c r="L34" i="21"/>
  <c r="M34" i="21"/>
  <c r="N34" i="21"/>
  <c r="O34" i="21"/>
  <c r="P34" i="21"/>
  <c r="Q34" i="21"/>
  <c r="S34" i="21"/>
  <c r="T34" i="21"/>
  <c r="AD34" i="21"/>
  <c r="I34" i="21" s="1"/>
  <c r="AI34" i="21"/>
  <c r="AL34" i="21"/>
  <c r="B35" i="21"/>
  <c r="D35" i="21"/>
  <c r="E35" i="21"/>
  <c r="G35" i="21"/>
  <c r="H35" i="21"/>
  <c r="J35" i="21"/>
  <c r="K35" i="21"/>
  <c r="M35" i="21"/>
  <c r="N35" i="21"/>
  <c r="O35" i="21"/>
  <c r="P35" i="21"/>
  <c r="Q35" i="21"/>
  <c r="S35" i="21"/>
  <c r="T35" i="21"/>
  <c r="AD35" i="21"/>
  <c r="I35" i="21" s="1"/>
  <c r="AI35" i="21"/>
  <c r="B36" i="21"/>
  <c r="D36" i="21"/>
  <c r="E36" i="21"/>
  <c r="G36" i="21"/>
  <c r="H36" i="21"/>
  <c r="J36" i="21"/>
  <c r="K36" i="21"/>
  <c r="M36" i="21"/>
  <c r="N36" i="21"/>
  <c r="O36" i="21"/>
  <c r="P36" i="21"/>
  <c r="Q36" i="21"/>
  <c r="S36" i="21"/>
  <c r="T36" i="21"/>
  <c r="AD36" i="21"/>
  <c r="I36" i="21" s="1"/>
  <c r="AI36" i="21"/>
  <c r="AL36" i="21"/>
  <c r="AW36" i="21"/>
  <c r="B37" i="21"/>
  <c r="D37" i="21"/>
  <c r="E37" i="21"/>
  <c r="G37" i="21"/>
  <c r="H37" i="21"/>
  <c r="J37" i="21"/>
  <c r="K37" i="21"/>
  <c r="M37" i="21"/>
  <c r="N37" i="21"/>
  <c r="P37" i="21"/>
  <c r="Q37" i="21"/>
  <c r="R37" i="21"/>
  <c r="S37" i="21"/>
  <c r="T37" i="21"/>
  <c r="AD37" i="21"/>
  <c r="F37" i="21" s="1"/>
  <c r="AI37" i="21"/>
  <c r="AW37" i="21"/>
  <c r="AX37" i="21"/>
  <c r="B38" i="21"/>
  <c r="D38" i="21"/>
  <c r="E38" i="21"/>
  <c r="G38" i="21"/>
  <c r="H38" i="21"/>
  <c r="J38" i="21"/>
  <c r="K38" i="21"/>
  <c r="M38" i="21"/>
  <c r="N38" i="21"/>
  <c r="O38" i="21"/>
  <c r="P38" i="21"/>
  <c r="Q38" i="21"/>
  <c r="S38" i="21"/>
  <c r="T38" i="21"/>
  <c r="AD38" i="21"/>
  <c r="I38" i="21" s="1"/>
  <c r="AI38" i="21"/>
  <c r="B39" i="21"/>
  <c r="D39" i="21"/>
  <c r="E39" i="21"/>
  <c r="G39" i="21"/>
  <c r="H39" i="21"/>
  <c r="J39" i="21"/>
  <c r="K39" i="21"/>
  <c r="M39" i="21"/>
  <c r="N39" i="21"/>
  <c r="O39" i="21"/>
  <c r="P39" i="21"/>
  <c r="Q39" i="21"/>
  <c r="S39" i="21"/>
  <c r="T39" i="21"/>
  <c r="AD39" i="21"/>
  <c r="I39" i="21" s="1"/>
  <c r="AI39" i="21"/>
  <c r="AL39" i="21"/>
  <c r="AW39" i="21"/>
  <c r="B40" i="21"/>
  <c r="D40" i="21"/>
  <c r="W40" i="21" s="1"/>
  <c r="E40" i="21"/>
  <c r="G40" i="21"/>
  <c r="H40" i="21"/>
  <c r="J40" i="21"/>
  <c r="K40" i="21"/>
  <c r="M40" i="21"/>
  <c r="N40" i="21"/>
  <c r="P40" i="21"/>
  <c r="Q40" i="21"/>
  <c r="S40" i="21"/>
  <c r="T40" i="21"/>
  <c r="AD40" i="21"/>
  <c r="L40" i="21" s="1"/>
  <c r="AI40" i="21"/>
  <c r="BF40" i="21"/>
  <c r="BG40" i="21"/>
  <c r="B41" i="21"/>
  <c r="D41" i="21"/>
  <c r="E41" i="21"/>
  <c r="G41" i="21"/>
  <c r="H41" i="21"/>
  <c r="J41" i="21"/>
  <c r="K41" i="21"/>
  <c r="L41" i="21"/>
  <c r="M41" i="21"/>
  <c r="N41" i="21"/>
  <c r="P41" i="21"/>
  <c r="Q41" i="21"/>
  <c r="S41" i="21"/>
  <c r="T41" i="21"/>
  <c r="AD41" i="21"/>
  <c r="U41" i="21" s="1"/>
  <c r="AI41" i="21"/>
  <c r="AL41" i="21"/>
  <c r="AW41" i="21"/>
  <c r="AZ41" i="21"/>
  <c r="BG41" i="21"/>
  <c r="B42" i="21"/>
  <c r="D42" i="21"/>
  <c r="E42" i="21"/>
  <c r="G42" i="21"/>
  <c r="H42" i="21"/>
  <c r="J42" i="21"/>
  <c r="K42" i="21"/>
  <c r="M42" i="21"/>
  <c r="N42" i="21"/>
  <c r="P42" i="21"/>
  <c r="Q42" i="21"/>
  <c r="S42" i="21"/>
  <c r="T42" i="21"/>
  <c r="AD42" i="21"/>
  <c r="F42" i="21" s="1"/>
  <c r="AI42" i="21"/>
  <c r="BG42" i="21"/>
  <c r="B43" i="21"/>
  <c r="D43" i="21"/>
  <c r="E43" i="21"/>
  <c r="G43" i="21"/>
  <c r="H43" i="21"/>
  <c r="J43" i="21"/>
  <c r="K43" i="21"/>
  <c r="M43" i="21"/>
  <c r="N43" i="21"/>
  <c r="P43" i="21"/>
  <c r="Q43" i="21"/>
  <c r="S43" i="21"/>
  <c r="T43" i="21"/>
  <c r="AD43" i="21"/>
  <c r="U43" i="21" s="1"/>
  <c r="AI43" i="21"/>
  <c r="AL43" i="21"/>
  <c r="BG43" i="21"/>
  <c r="B44" i="21"/>
  <c r="D44" i="21"/>
  <c r="E44" i="21"/>
  <c r="G44" i="21"/>
  <c r="H44" i="21"/>
  <c r="J44" i="21"/>
  <c r="K44" i="21"/>
  <c r="M44" i="21"/>
  <c r="W44" i="21" s="1"/>
  <c r="N44" i="21"/>
  <c r="O44" i="21"/>
  <c r="P44" i="21"/>
  <c r="Q44" i="21"/>
  <c r="S44" i="21"/>
  <c r="T44" i="21"/>
  <c r="AD44" i="21"/>
  <c r="I44" i="21" s="1"/>
  <c r="AI44" i="21"/>
  <c r="AL44" i="21"/>
  <c r="BG44" i="21"/>
  <c r="B45" i="21"/>
  <c r="D45" i="21"/>
  <c r="E45" i="21"/>
  <c r="F45" i="21"/>
  <c r="G45" i="21"/>
  <c r="H45" i="21"/>
  <c r="J45" i="21"/>
  <c r="K45" i="21"/>
  <c r="L45" i="21"/>
  <c r="M45" i="21"/>
  <c r="N45" i="21"/>
  <c r="O45" i="21"/>
  <c r="P45" i="21"/>
  <c r="Q45" i="21"/>
  <c r="R45" i="21"/>
  <c r="S45" i="21"/>
  <c r="T45" i="21"/>
  <c r="AD45" i="21"/>
  <c r="I45" i="21" s="1"/>
  <c r="AI45" i="21"/>
  <c r="AL45" i="21"/>
  <c r="B46" i="21"/>
  <c r="D46" i="21"/>
  <c r="E46" i="21"/>
  <c r="G46" i="21"/>
  <c r="H46" i="21"/>
  <c r="J46" i="21"/>
  <c r="K46" i="21"/>
  <c r="M46" i="21"/>
  <c r="N46" i="21"/>
  <c r="O46" i="21"/>
  <c r="P46" i="21"/>
  <c r="Q46" i="21"/>
  <c r="S46" i="21"/>
  <c r="T46" i="21"/>
  <c r="AD46" i="21"/>
  <c r="L46" i="21" s="1"/>
  <c r="AI46" i="21"/>
  <c r="AL46" i="21"/>
  <c r="B47" i="21"/>
  <c r="D47" i="21"/>
  <c r="W47" i="21" s="1"/>
  <c r="E47" i="21"/>
  <c r="F47" i="21"/>
  <c r="G47" i="21"/>
  <c r="H47" i="21"/>
  <c r="J47" i="21"/>
  <c r="K47" i="21"/>
  <c r="M47" i="21"/>
  <c r="N47" i="21"/>
  <c r="P47" i="21"/>
  <c r="Q47" i="21"/>
  <c r="S47" i="21"/>
  <c r="T47" i="21"/>
  <c r="AD47" i="21"/>
  <c r="L47" i="21" s="1"/>
  <c r="AI47" i="21"/>
  <c r="AL47" i="21"/>
  <c r="B48" i="21"/>
  <c r="D48" i="21"/>
  <c r="E48" i="21"/>
  <c r="F48" i="21"/>
  <c r="G48" i="21"/>
  <c r="H48" i="21"/>
  <c r="J48" i="21"/>
  <c r="K48" i="21"/>
  <c r="M48" i="21"/>
  <c r="N48" i="21"/>
  <c r="P48" i="21"/>
  <c r="Q48" i="21"/>
  <c r="R48" i="21"/>
  <c r="S48" i="21"/>
  <c r="T48" i="21"/>
  <c r="AD48" i="21"/>
  <c r="L48" i="21" s="1"/>
  <c r="AI48" i="21"/>
  <c r="BI48" i="21"/>
  <c r="BJ48" i="21"/>
  <c r="BK48" i="21"/>
  <c r="B49" i="21"/>
  <c r="D49" i="21"/>
  <c r="E49" i="21"/>
  <c r="G49" i="21"/>
  <c r="H49" i="21"/>
  <c r="J49" i="21"/>
  <c r="K49" i="21"/>
  <c r="M49" i="21"/>
  <c r="N49" i="21"/>
  <c r="P49" i="21"/>
  <c r="Q49" i="21"/>
  <c r="S49" i="21"/>
  <c r="T49" i="21"/>
  <c r="AD49" i="21"/>
  <c r="I49" i="21" s="1"/>
  <c r="AI49" i="21"/>
  <c r="AL49" i="21"/>
  <c r="B50" i="21"/>
  <c r="D50" i="21"/>
  <c r="W50" i="21" s="1"/>
  <c r="E50" i="21"/>
  <c r="G50" i="21"/>
  <c r="H50" i="21"/>
  <c r="J50" i="21"/>
  <c r="K50" i="21"/>
  <c r="M50" i="21"/>
  <c r="N50" i="21"/>
  <c r="P50" i="21"/>
  <c r="Q50" i="21"/>
  <c r="S50" i="21"/>
  <c r="T50" i="21"/>
  <c r="AD50" i="21"/>
  <c r="O50" i="21" s="1"/>
  <c r="AI50" i="21"/>
  <c r="B51" i="21"/>
  <c r="D51" i="21"/>
  <c r="E51" i="21"/>
  <c r="G51" i="21"/>
  <c r="H51" i="21"/>
  <c r="J51" i="21"/>
  <c r="K51" i="21"/>
  <c r="M51" i="21"/>
  <c r="N51" i="21"/>
  <c r="P51" i="21"/>
  <c r="Q51" i="21"/>
  <c r="S51" i="21"/>
  <c r="W51" i="21" s="1"/>
  <c r="T51" i="21"/>
  <c r="AD51" i="21"/>
  <c r="I51" i="21" s="1"/>
  <c r="AI51" i="21"/>
  <c r="AL51" i="21"/>
  <c r="B52" i="21"/>
  <c r="D52" i="21"/>
  <c r="E52" i="21"/>
  <c r="G52" i="21"/>
  <c r="H52" i="21"/>
  <c r="J52" i="21"/>
  <c r="K52" i="21"/>
  <c r="M52" i="21"/>
  <c r="N52" i="21"/>
  <c r="P52" i="21"/>
  <c r="Q52" i="21"/>
  <c r="S52" i="21"/>
  <c r="T52" i="21"/>
  <c r="AD52" i="21"/>
  <c r="I52" i="21" s="1"/>
  <c r="AI52" i="21"/>
  <c r="B53" i="21"/>
  <c r="D53" i="21"/>
  <c r="W53" i="21" s="1"/>
  <c r="E53" i="21"/>
  <c r="G53" i="21"/>
  <c r="H53" i="21"/>
  <c r="J53" i="21"/>
  <c r="K53" i="21"/>
  <c r="L53" i="21"/>
  <c r="M53" i="21"/>
  <c r="N53" i="21"/>
  <c r="O53" i="21"/>
  <c r="P53" i="21"/>
  <c r="Q53" i="21"/>
  <c r="S53" i="21"/>
  <c r="T53" i="21"/>
  <c r="AD53" i="21"/>
  <c r="I53" i="21" s="1"/>
  <c r="AI53" i="21"/>
  <c r="AL53" i="21"/>
  <c r="BK53" i="21"/>
  <c r="B54" i="21"/>
  <c r="D54" i="21"/>
  <c r="E54" i="21"/>
  <c r="G54" i="21"/>
  <c r="H54" i="21"/>
  <c r="J54" i="21"/>
  <c r="K54" i="21"/>
  <c r="M54" i="21"/>
  <c r="N54" i="21"/>
  <c r="P54" i="21"/>
  <c r="Q54" i="21"/>
  <c r="S54" i="21"/>
  <c r="T54" i="21"/>
  <c r="AD54" i="21"/>
  <c r="I54" i="21" s="1"/>
  <c r="AI54" i="21"/>
  <c r="B55" i="21"/>
  <c r="D55" i="21"/>
  <c r="E55" i="21"/>
  <c r="G55" i="21"/>
  <c r="H55" i="21"/>
  <c r="J55" i="21"/>
  <c r="K55" i="21"/>
  <c r="M55" i="21"/>
  <c r="N55" i="21"/>
  <c r="P55" i="21"/>
  <c r="Q55" i="21"/>
  <c r="S55" i="21"/>
  <c r="T55" i="21"/>
  <c r="AD55" i="21"/>
  <c r="I55" i="21" s="1"/>
  <c r="AI55" i="21"/>
  <c r="B56" i="21"/>
  <c r="D56" i="21"/>
  <c r="E56" i="21"/>
  <c r="G56" i="21"/>
  <c r="H56" i="21"/>
  <c r="J56" i="21"/>
  <c r="K56" i="21"/>
  <c r="M56" i="21"/>
  <c r="N56" i="21"/>
  <c r="P56" i="21"/>
  <c r="Q56" i="21"/>
  <c r="S56" i="21"/>
  <c r="T56" i="21"/>
  <c r="AD56" i="21"/>
  <c r="I56" i="21" s="1"/>
  <c r="AI56" i="21"/>
  <c r="B57" i="21"/>
  <c r="D57" i="21"/>
  <c r="E57" i="21"/>
  <c r="G57" i="21"/>
  <c r="H57" i="21"/>
  <c r="J57" i="21"/>
  <c r="K57" i="21"/>
  <c r="M57" i="21"/>
  <c r="N57" i="21"/>
  <c r="P57" i="21"/>
  <c r="Q57" i="21"/>
  <c r="S57" i="21"/>
  <c r="T57" i="21"/>
  <c r="AD57" i="21"/>
  <c r="I57" i="21" s="1"/>
  <c r="AI57" i="21"/>
  <c r="B58" i="21"/>
  <c r="D58" i="21"/>
  <c r="E58" i="21"/>
  <c r="G58" i="21"/>
  <c r="H58" i="21"/>
  <c r="J58" i="21"/>
  <c r="K58" i="21"/>
  <c r="M58" i="21"/>
  <c r="N58" i="21"/>
  <c r="P58" i="21"/>
  <c r="Q58" i="21"/>
  <c r="S58" i="21"/>
  <c r="T58" i="21"/>
  <c r="AD58" i="21"/>
  <c r="I58" i="21" s="1"/>
  <c r="AI58" i="21"/>
  <c r="BJ58" i="21"/>
  <c r="BK58" i="21"/>
  <c r="B59" i="21"/>
  <c r="D59" i="21"/>
  <c r="E59" i="21"/>
  <c r="G59" i="21"/>
  <c r="H59" i="21"/>
  <c r="J59" i="21"/>
  <c r="K59" i="21"/>
  <c r="L59" i="21"/>
  <c r="M59" i="21"/>
  <c r="N59" i="21"/>
  <c r="P59" i="21"/>
  <c r="Q59" i="21"/>
  <c r="S59" i="21"/>
  <c r="T59" i="21"/>
  <c r="AD59" i="21"/>
  <c r="I59" i="21" s="1"/>
  <c r="AI59" i="21"/>
  <c r="AL59" i="21"/>
  <c r="BG59" i="21"/>
  <c r="B60" i="21"/>
  <c r="D60" i="21"/>
  <c r="E60" i="21"/>
  <c r="G60" i="21"/>
  <c r="H60" i="21"/>
  <c r="J60" i="21"/>
  <c r="K60" i="21"/>
  <c r="M60" i="21"/>
  <c r="N60" i="21"/>
  <c r="P60" i="21"/>
  <c r="Q60" i="21"/>
  <c r="S60" i="21"/>
  <c r="W60" i="21" s="1"/>
  <c r="T60" i="21"/>
  <c r="AD60" i="21"/>
  <c r="I60" i="21" s="1"/>
  <c r="AI60" i="21"/>
  <c r="AL60" i="21"/>
  <c r="BG60" i="21"/>
  <c r="B61" i="21"/>
  <c r="D61" i="21"/>
  <c r="E61" i="21"/>
  <c r="F61" i="21"/>
  <c r="G61" i="21"/>
  <c r="H61" i="21"/>
  <c r="J61" i="21"/>
  <c r="K61" i="21"/>
  <c r="L61" i="21"/>
  <c r="M61" i="21"/>
  <c r="N61" i="21"/>
  <c r="O61" i="21"/>
  <c r="P61" i="21"/>
  <c r="Q61" i="21"/>
  <c r="R61" i="21"/>
  <c r="S61" i="21"/>
  <c r="T61" i="21"/>
  <c r="AD61" i="21"/>
  <c r="I61" i="21" s="1"/>
  <c r="AI61" i="21"/>
  <c r="AL61" i="21"/>
  <c r="B62" i="21"/>
  <c r="D62" i="21"/>
  <c r="E62" i="21"/>
  <c r="F62" i="21"/>
  <c r="G62" i="21"/>
  <c r="H62" i="21"/>
  <c r="J62" i="21"/>
  <c r="K62" i="21"/>
  <c r="L62" i="21"/>
  <c r="M62" i="21"/>
  <c r="N62" i="21"/>
  <c r="O62" i="21"/>
  <c r="P62" i="21"/>
  <c r="Q62" i="21"/>
  <c r="R62" i="21"/>
  <c r="S62" i="21"/>
  <c r="T62" i="21"/>
  <c r="AD62" i="21"/>
  <c r="I62" i="21" s="1"/>
  <c r="AI62" i="21"/>
  <c r="AL62" i="21"/>
  <c r="BG62" i="21"/>
  <c r="Y63" i="21"/>
  <c r="AO63" i="21"/>
  <c r="AB64" i="21"/>
  <c r="F65" i="21"/>
  <c r="F10" i="21" s="1"/>
  <c r="I65" i="21"/>
  <c r="I10" i="21" s="1"/>
  <c r="L65" i="21"/>
  <c r="L10" i="21" s="1"/>
  <c r="O65" i="21"/>
  <c r="O10" i="21" s="1"/>
  <c r="R65" i="21"/>
  <c r="R10" i="21" s="1"/>
  <c r="U65" i="21"/>
  <c r="U10" i="21" s="1"/>
  <c r="I66" i="21"/>
  <c r="I11" i="21" s="1"/>
  <c r="E67" i="21"/>
  <c r="F67" i="21"/>
  <c r="I67" i="21"/>
  <c r="K67" i="21"/>
  <c r="L67" i="21"/>
  <c r="N67" i="21"/>
  <c r="O67" i="21"/>
  <c r="Q67" i="21"/>
  <c r="R67" i="21"/>
  <c r="U67" i="21"/>
  <c r="D68" i="21"/>
  <c r="E68" i="21"/>
  <c r="H68" i="21"/>
  <c r="J68" i="21"/>
  <c r="K68" i="21"/>
  <c r="M68" i="21"/>
  <c r="N68" i="21"/>
  <c r="P68" i="21"/>
  <c r="Q68" i="21"/>
  <c r="T68" i="21"/>
  <c r="AO68" i="21"/>
  <c r="BG68" i="21"/>
  <c r="B71" i="21"/>
  <c r="N73" i="21"/>
  <c r="O73" i="21"/>
  <c r="AA73" i="21"/>
  <c r="AH73" i="21"/>
  <c r="AA74" i="21"/>
  <c r="AH74" i="21"/>
  <c r="AH75" i="21"/>
  <c r="AH76" i="21"/>
  <c r="C77" i="21"/>
  <c r="D77" i="21"/>
  <c r="AA77" i="21"/>
  <c r="AH77" i="21"/>
  <c r="C78" i="21"/>
  <c r="D78" i="21"/>
  <c r="E78" i="21" s="1"/>
  <c r="G78" i="21" s="1"/>
  <c r="AA78" i="21"/>
  <c r="AH78" i="21"/>
  <c r="BG78" i="21"/>
  <c r="C79" i="21"/>
  <c r="E79" i="21" s="1"/>
  <c r="G79" i="21" s="1"/>
  <c r="D79" i="21"/>
  <c r="AA79" i="21"/>
  <c r="AH79" i="21"/>
  <c r="C80" i="21"/>
  <c r="E80" i="21" s="1"/>
  <c r="D80" i="21"/>
  <c r="AA80" i="21"/>
  <c r="BG80" i="21"/>
  <c r="C81" i="21"/>
  <c r="E81" i="21" s="1"/>
  <c r="D81" i="21"/>
  <c r="AA81" i="21"/>
  <c r="C82" i="21"/>
  <c r="E82" i="21" s="1"/>
  <c r="D82" i="21"/>
  <c r="AA82" i="21"/>
  <c r="AH82" i="21"/>
  <c r="AA83" i="21"/>
  <c r="AH83" i="21"/>
  <c r="AA84" i="21"/>
  <c r="AH84" i="21"/>
  <c r="AA85" i="21"/>
  <c r="AH85" i="21"/>
  <c r="AA86" i="21"/>
  <c r="AH86" i="21"/>
  <c r="AA87" i="21"/>
  <c r="AH87" i="21"/>
  <c r="BG87" i="21"/>
  <c r="B88" i="21"/>
  <c r="AA88" i="21"/>
  <c r="AH88" i="21"/>
  <c r="AA89" i="21"/>
  <c r="AH89" i="21"/>
  <c r="N90" i="21"/>
  <c r="O90" i="21"/>
  <c r="AA90" i="21"/>
  <c r="AH90" i="21"/>
  <c r="BE90" i="21"/>
  <c r="BF90" i="21"/>
  <c r="BG90" i="21"/>
  <c r="C91" i="21"/>
  <c r="AA91" i="21"/>
  <c r="AH91" i="21"/>
  <c r="AA92" i="21"/>
  <c r="AH92" i="21"/>
  <c r="AA93" i="21"/>
  <c r="AH93" i="21"/>
  <c r="C94" i="21"/>
  <c r="E94" i="21"/>
  <c r="G94" i="21" s="1"/>
  <c r="F94" i="21"/>
  <c r="AA94" i="21"/>
  <c r="AH94" i="21"/>
  <c r="C95" i="21"/>
  <c r="E95" i="21" s="1"/>
  <c r="F95" i="21"/>
  <c r="AA95" i="21"/>
  <c r="AH95" i="21"/>
  <c r="C96" i="21"/>
  <c r="E96" i="21" s="1"/>
  <c r="F96" i="21"/>
  <c r="AA96" i="21"/>
  <c r="AH96" i="21"/>
  <c r="C97" i="21"/>
  <c r="E97" i="21" s="1"/>
  <c r="G97" i="21" s="1"/>
  <c r="F97" i="21"/>
  <c r="AA97" i="21"/>
  <c r="AH97" i="21"/>
  <c r="C98" i="21"/>
  <c r="E98" i="21" s="1"/>
  <c r="F98" i="21"/>
  <c r="AA98" i="21"/>
  <c r="AH98" i="21"/>
  <c r="C99" i="21"/>
  <c r="E99" i="21" s="1"/>
  <c r="F99" i="21"/>
  <c r="AA99" i="21"/>
  <c r="AH99" i="21"/>
  <c r="AA100" i="21"/>
  <c r="AH100" i="21"/>
  <c r="K101" i="21"/>
  <c r="AA101" i="21"/>
  <c r="AH101" i="21"/>
  <c r="I102" i="21"/>
  <c r="AS66" i="20"/>
  <c r="AR66" i="20"/>
  <c r="AO66" i="20"/>
  <c r="B1" i="20"/>
  <c r="Q1" i="20"/>
  <c r="A2" i="20"/>
  <c r="A3" i="20"/>
  <c r="AO7" i="20"/>
  <c r="Y8" i="20"/>
  <c r="AO9" i="20"/>
  <c r="H10" i="20"/>
  <c r="V10" i="20" s="1"/>
  <c r="AO57" i="20" s="1"/>
  <c r="S10" i="20"/>
  <c r="X10" i="20" s="1"/>
  <c r="AO10" i="20"/>
  <c r="AO11" i="20"/>
  <c r="I12" i="20"/>
  <c r="K12" i="20"/>
  <c r="M12" i="20"/>
  <c r="O12" i="20"/>
  <c r="Q12" i="20"/>
  <c r="S12" i="20"/>
  <c r="AJ13" i="20"/>
  <c r="AC8" i="20" s="1"/>
  <c r="W7" i="20" s="1"/>
  <c r="E15" i="20"/>
  <c r="F15" i="20"/>
  <c r="W15" i="20"/>
  <c r="AD15" i="20"/>
  <c r="AE15" i="20"/>
  <c r="AJ15" i="20" s="1"/>
  <c r="AF15" i="20"/>
  <c r="AF18" i="20" s="1"/>
  <c r="AG15" i="20"/>
  <c r="AH15" i="20"/>
  <c r="AI15" i="20"/>
  <c r="AI18" i="20" s="1"/>
  <c r="E16" i="20"/>
  <c r="W16" i="20"/>
  <c r="E17" i="20"/>
  <c r="W17" i="20"/>
  <c r="AD17" i="20"/>
  <c r="AD19" i="20" s="1"/>
  <c r="AE17" i="20"/>
  <c r="AE19" i="20" s="1"/>
  <c r="AF17" i="20"/>
  <c r="AG17" i="20"/>
  <c r="AH17" i="20"/>
  <c r="AI17" i="20"/>
  <c r="AI19" i="20" s="1"/>
  <c r="E18" i="20"/>
  <c r="W18" i="20"/>
  <c r="AD18" i="20"/>
  <c r="AG18" i="20"/>
  <c r="AH18" i="20"/>
  <c r="E19" i="20"/>
  <c r="F19" i="20"/>
  <c r="U19" i="20"/>
  <c r="W19" i="20"/>
  <c r="AF19" i="20"/>
  <c r="AG19" i="20"/>
  <c r="AH19" i="20"/>
  <c r="AJ19" i="20"/>
  <c r="E20" i="20"/>
  <c r="W20" i="20"/>
  <c r="E21" i="20"/>
  <c r="U21" i="20"/>
  <c r="W21" i="20"/>
  <c r="E22" i="20"/>
  <c r="U22" i="20" s="1"/>
  <c r="H22" i="20" s="1"/>
  <c r="W22" i="20"/>
  <c r="AA22" i="20"/>
  <c r="AA24" i="20" s="1"/>
  <c r="E23" i="20"/>
  <c r="W23" i="20"/>
  <c r="AA23" i="20"/>
  <c r="AO23" i="20"/>
  <c r="E24" i="20"/>
  <c r="F24" i="20"/>
  <c r="U24" i="20"/>
  <c r="W24" i="20"/>
  <c r="AO24" i="20"/>
  <c r="E25" i="20"/>
  <c r="F25" i="20"/>
  <c r="W25" i="20"/>
  <c r="E26" i="20"/>
  <c r="F26" i="20"/>
  <c r="W26" i="20"/>
  <c r="AA26" i="20"/>
  <c r="E27" i="20"/>
  <c r="F27" i="20"/>
  <c r="W27" i="20"/>
  <c r="E28" i="20"/>
  <c r="F28" i="20"/>
  <c r="W28" i="20"/>
  <c r="AA28" i="20"/>
  <c r="E29" i="20"/>
  <c r="F29" i="20"/>
  <c r="W29" i="20"/>
  <c r="E30" i="20"/>
  <c r="F30" i="20"/>
  <c r="U30" i="20"/>
  <c r="J30" i="20" s="1"/>
  <c r="W30" i="20"/>
  <c r="E31" i="20"/>
  <c r="U31" i="20" s="1"/>
  <c r="F31" i="20"/>
  <c r="W31" i="20"/>
  <c r="AA31" i="20"/>
  <c r="E32" i="20"/>
  <c r="F32" i="20"/>
  <c r="W32" i="20"/>
  <c r="AA32" i="20"/>
  <c r="E33" i="20"/>
  <c r="F33" i="20"/>
  <c r="W33" i="20"/>
  <c r="E34" i="20"/>
  <c r="F34" i="20"/>
  <c r="W34" i="20"/>
  <c r="E35" i="20"/>
  <c r="F35" i="20"/>
  <c r="W35" i="20"/>
  <c r="AA35" i="20"/>
  <c r="E36" i="20"/>
  <c r="F36" i="20"/>
  <c r="W36" i="20"/>
  <c r="AA36" i="20"/>
  <c r="AO36" i="20"/>
  <c r="E37" i="20"/>
  <c r="F37" i="20"/>
  <c r="U37" i="20"/>
  <c r="W37" i="20"/>
  <c r="AA37" i="20"/>
  <c r="AO37" i="20"/>
  <c r="E38" i="20"/>
  <c r="F38" i="20"/>
  <c r="U38" i="20"/>
  <c r="H38" i="20" s="1"/>
  <c r="W38" i="20"/>
  <c r="AA38" i="20"/>
  <c r="E39" i="20"/>
  <c r="F39" i="20"/>
  <c r="U39" i="20"/>
  <c r="H39" i="20" s="1"/>
  <c r="W39" i="20"/>
  <c r="AA39" i="20"/>
  <c r="AO39" i="20"/>
  <c r="E40" i="20"/>
  <c r="U40" i="20" s="1"/>
  <c r="F40" i="20"/>
  <c r="W40" i="20"/>
  <c r="AA40" i="20"/>
  <c r="AO40" i="20"/>
  <c r="E41" i="20"/>
  <c r="F41" i="20"/>
  <c r="W41" i="20"/>
  <c r="E42" i="20"/>
  <c r="F42" i="20"/>
  <c r="W42" i="20"/>
  <c r="AO42" i="20"/>
  <c r="E43" i="20"/>
  <c r="F43" i="20"/>
  <c r="U43" i="20"/>
  <c r="W43" i="20"/>
  <c r="AA43" i="20"/>
  <c r="E44" i="20"/>
  <c r="F44" i="20"/>
  <c r="U44" i="20"/>
  <c r="W44" i="20"/>
  <c r="AA44" i="20"/>
  <c r="E45" i="20"/>
  <c r="F45" i="20"/>
  <c r="U45" i="20"/>
  <c r="P45" i="20" s="1"/>
  <c r="W45" i="20"/>
  <c r="AA45" i="20"/>
  <c r="E46" i="20"/>
  <c r="F46" i="20"/>
  <c r="W46" i="20"/>
  <c r="E47" i="20"/>
  <c r="F47" i="20"/>
  <c r="W47" i="20"/>
  <c r="E48" i="20"/>
  <c r="F48" i="20"/>
  <c r="W48" i="20"/>
  <c r="E49" i="20"/>
  <c r="F49" i="20"/>
  <c r="W49" i="20"/>
  <c r="AA49" i="20"/>
  <c r="E50" i="20"/>
  <c r="F50" i="20"/>
  <c r="W50" i="20"/>
  <c r="AA50" i="20"/>
  <c r="E51" i="20"/>
  <c r="F51" i="20"/>
  <c r="W51" i="20"/>
  <c r="AA51" i="20"/>
  <c r="AK51" i="20"/>
  <c r="E52" i="20"/>
  <c r="F52" i="20"/>
  <c r="U52" i="20"/>
  <c r="W52" i="20"/>
  <c r="AA52" i="20"/>
  <c r="AA53" i="20"/>
  <c r="AA54" i="20"/>
  <c r="B55" i="20"/>
  <c r="C55" i="20"/>
  <c r="D55" i="20"/>
  <c r="E55" i="20"/>
  <c r="F55" i="20"/>
  <c r="G55" i="20"/>
  <c r="H55" i="20"/>
  <c r="I55" i="20"/>
  <c r="J55" i="20"/>
  <c r="K55" i="20"/>
  <c r="L55" i="20"/>
  <c r="M55" i="20"/>
  <c r="N55" i="20"/>
  <c r="O55" i="20"/>
  <c r="P55" i="20"/>
  <c r="Q55" i="20"/>
  <c r="R55" i="20"/>
  <c r="S55" i="20"/>
  <c r="T55" i="20"/>
  <c r="U55" i="20"/>
  <c r="V55" i="20"/>
  <c r="W55" i="20"/>
  <c r="X55" i="20"/>
  <c r="Y55" i="20"/>
  <c r="Z55" i="20"/>
  <c r="AA55" i="20"/>
  <c r="AB55" i="20"/>
  <c r="AC55" i="20"/>
  <c r="AD55" i="20"/>
  <c r="AE55" i="20"/>
  <c r="AF55" i="20"/>
  <c r="AG55" i="20"/>
  <c r="AH55" i="20"/>
  <c r="AI55" i="20"/>
  <c r="AJ55" i="20"/>
  <c r="B57" i="20"/>
  <c r="AN58" i="20"/>
  <c r="AO58" i="20"/>
  <c r="W59" i="20"/>
  <c r="X59" i="20"/>
  <c r="AN59" i="20"/>
  <c r="AM61" i="20"/>
  <c r="AN61" i="20"/>
  <c r="AO61" i="20"/>
  <c r="C63" i="20"/>
  <c r="D63" i="20"/>
  <c r="C64" i="20"/>
  <c r="D64" i="20"/>
  <c r="E64" i="20" s="1"/>
  <c r="G64" i="20" s="1"/>
  <c r="C65" i="20"/>
  <c r="D65" i="20"/>
  <c r="E65" i="20" s="1"/>
  <c r="C66" i="20"/>
  <c r="D66" i="20"/>
  <c r="C67" i="20"/>
  <c r="E67" i="20" s="1"/>
  <c r="G67" i="20" s="1"/>
  <c r="D67" i="20"/>
  <c r="C68" i="20"/>
  <c r="D68" i="20"/>
  <c r="B1" i="19"/>
  <c r="Q1" i="19"/>
  <c r="A4" i="19"/>
  <c r="L7" i="19"/>
  <c r="O10" i="19" s="1"/>
  <c r="AA7" i="19"/>
  <c r="AF7" i="19"/>
  <c r="O8" i="19"/>
  <c r="U8" i="19"/>
  <c r="X8" i="19"/>
  <c r="AF9" i="19"/>
  <c r="C10" i="19"/>
  <c r="M10" i="19"/>
  <c r="N10" i="19"/>
  <c r="P10" i="19"/>
  <c r="AF10" i="19"/>
  <c r="J11" i="19"/>
  <c r="AF11" i="19"/>
  <c r="F13" i="19"/>
  <c r="K13" i="19"/>
  <c r="F14" i="19"/>
  <c r="N14" i="19" s="1"/>
  <c r="K14" i="19"/>
  <c r="F15" i="19"/>
  <c r="K15" i="19"/>
  <c r="F16" i="19"/>
  <c r="K16" i="19"/>
  <c r="F17" i="19"/>
  <c r="K17" i="19"/>
  <c r="F18" i="19"/>
  <c r="K18" i="19"/>
  <c r="F19" i="19"/>
  <c r="N19" i="19" s="1"/>
  <c r="K19" i="19"/>
  <c r="F20" i="19"/>
  <c r="K20" i="19"/>
  <c r="F21" i="19"/>
  <c r="K21" i="19"/>
  <c r="Y21" i="19"/>
  <c r="F22" i="19"/>
  <c r="K22" i="19"/>
  <c r="N22" i="19"/>
  <c r="Y22" i="19"/>
  <c r="Z22" i="19"/>
  <c r="F23" i="19"/>
  <c r="N23" i="19" s="1"/>
  <c r="K23" i="19"/>
  <c r="AF23" i="19"/>
  <c r="F24" i="19"/>
  <c r="K24" i="19"/>
  <c r="Y24" i="19"/>
  <c r="F25" i="19"/>
  <c r="K25" i="19"/>
  <c r="F26" i="19"/>
  <c r="K26" i="19"/>
  <c r="Y26" i="19"/>
  <c r="F27" i="19"/>
  <c r="N27" i="19" s="1"/>
  <c r="K27" i="19"/>
  <c r="F28" i="19"/>
  <c r="K28" i="19"/>
  <c r="F29" i="19"/>
  <c r="K29" i="19"/>
  <c r="N29" i="19"/>
  <c r="F30" i="19"/>
  <c r="N30" i="19" s="1"/>
  <c r="K30" i="19"/>
  <c r="F31" i="19"/>
  <c r="K31" i="19"/>
  <c r="F32" i="19"/>
  <c r="K32" i="19"/>
  <c r="F33" i="19"/>
  <c r="K33" i="19"/>
  <c r="F34" i="19"/>
  <c r="K34" i="19"/>
  <c r="F35" i="19"/>
  <c r="K35" i="19"/>
  <c r="F36" i="19"/>
  <c r="K36" i="19"/>
  <c r="F37" i="19"/>
  <c r="K37" i="19"/>
  <c r="F38" i="19"/>
  <c r="K38" i="19"/>
  <c r="F39" i="19"/>
  <c r="N39" i="19" s="1"/>
  <c r="K39" i="19"/>
  <c r="F40" i="19"/>
  <c r="K40" i="19"/>
  <c r="AE40" i="19"/>
  <c r="AF40" i="19"/>
  <c r="F41" i="19"/>
  <c r="K41" i="19"/>
  <c r="AF41" i="19"/>
  <c r="F42" i="19"/>
  <c r="N42" i="19" s="1"/>
  <c r="K42" i="19"/>
  <c r="V42" i="19"/>
  <c r="Y42" i="19"/>
  <c r="Z42" i="19"/>
  <c r="AF42" i="19"/>
  <c r="F43" i="19"/>
  <c r="N43" i="19" s="1"/>
  <c r="K43" i="19"/>
  <c r="AF43" i="19"/>
  <c r="F44" i="19"/>
  <c r="N44" i="19" s="1"/>
  <c r="K44" i="19"/>
  <c r="AF44" i="19"/>
  <c r="F45" i="19"/>
  <c r="N45" i="19" s="1"/>
  <c r="K45" i="19"/>
  <c r="F46" i="19"/>
  <c r="N46" i="19" s="1"/>
  <c r="K46" i="19"/>
  <c r="F47" i="19"/>
  <c r="K47" i="19"/>
  <c r="N47" i="19"/>
  <c r="F48" i="19"/>
  <c r="K48" i="19"/>
  <c r="N48" i="19"/>
  <c r="F49" i="19"/>
  <c r="N49" i="19" s="1"/>
  <c r="K49" i="19"/>
  <c r="F50" i="19"/>
  <c r="N50" i="19" s="1"/>
  <c r="K50" i="19"/>
  <c r="F51" i="19"/>
  <c r="K51" i="19"/>
  <c r="N51" i="19"/>
  <c r="F52" i="19"/>
  <c r="K52" i="19"/>
  <c r="N52" i="19"/>
  <c r="F53" i="19"/>
  <c r="N53" i="19" s="1"/>
  <c r="K53" i="19"/>
  <c r="F54" i="19"/>
  <c r="N54" i="19" s="1"/>
  <c r="K54" i="19"/>
  <c r="F55" i="19"/>
  <c r="K55" i="19"/>
  <c r="N55" i="19"/>
  <c r="F56" i="19"/>
  <c r="K56" i="19"/>
  <c r="N56" i="19"/>
  <c r="F57" i="19"/>
  <c r="N57" i="19" s="1"/>
  <c r="K57" i="19"/>
  <c r="F58" i="19"/>
  <c r="N58" i="19" s="1"/>
  <c r="K58" i="19"/>
  <c r="F59" i="19"/>
  <c r="K59" i="19"/>
  <c r="N59" i="19"/>
  <c r="AF59" i="19"/>
  <c r="F60" i="19"/>
  <c r="K60" i="19"/>
  <c r="N60" i="19"/>
  <c r="AF60" i="19"/>
  <c r="F61" i="19"/>
  <c r="K61" i="19"/>
  <c r="N61" i="19"/>
  <c r="F62" i="19"/>
  <c r="N62" i="19" s="1"/>
  <c r="K62" i="19"/>
  <c r="AF62" i="19"/>
  <c r="Q63" i="19"/>
  <c r="D64" i="19"/>
  <c r="Q68" i="19"/>
  <c r="AF68" i="19"/>
  <c r="C73" i="19"/>
  <c r="C74" i="19" s="1"/>
  <c r="J73" i="19"/>
  <c r="AF78" i="19"/>
  <c r="J80" i="19"/>
  <c r="AF80" i="19"/>
  <c r="J81" i="19"/>
  <c r="C82" i="19"/>
  <c r="J83" i="19"/>
  <c r="C84" i="19"/>
  <c r="J85" i="19"/>
  <c r="C86" i="19"/>
  <c r="J86" i="19"/>
  <c r="J87" i="19"/>
  <c r="AD88" i="19"/>
  <c r="AE88" i="19"/>
  <c r="AF88" i="19"/>
  <c r="C91" i="19"/>
  <c r="J93" i="19"/>
  <c r="C94" i="19"/>
  <c r="J94" i="19"/>
  <c r="J96" i="19"/>
  <c r="J97" i="19"/>
  <c r="J98" i="19"/>
  <c r="J99" i="19"/>
  <c r="C100" i="19"/>
  <c r="J100" i="19"/>
  <c r="C101" i="19"/>
  <c r="J101" i="19"/>
  <c r="C104" i="19"/>
  <c r="Q105" i="19"/>
  <c r="I107" i="19"/>
  <c r="H108" i="19"/>
  <c r="I108" i="19" s="1"/>
  <c r="J108" i="19"/>
  <c r="L108" i="19"/>
  <c r="C110" i="19"/>
  <c r="O112" i="19"/>
  <c r="P112" i="19"/>
  <c r="C113" i="19"/>
  <c r="E113" i="19"/>
  <c r="F113" i="19" s="1"/>
  <c r="F116" i="19"/>
  <c r="H116" i="19" s="1"/>
  <c r="F117" i="19"/>
  <c r="F118" i="19"/>
  <c r="H118" i="19" s="1"/>
  <c r="J118" i="19" s="1"/>
  <c r="F119" i="19"/>
  <c r="H119" i="19" s="1"/>
  <c r="J119" i="19" s="1"/>
  <c r="F120" i="19"/>
  <c r="H120" i="19" s="1"/>
  <c r="F121" i="19"/>
  <c r="C127" i="19"/>
  <c r="O129" i="19"/>
  <c r="P129" i="19"/>
  <c r="C130" i="19"/>
  <c r="E130" i="19"/>
  <c r="F133" i="19"/>
  <c r="G133" i="19"/>
  <c r="F134" i="19"/>
  <c r="H134" i="19" s="1"/>
  <c r="G134" i="19"/>
  <c r="F135" i="19"/>
  <c r="G135" i="19"/>
  <c r="F136" i="19"/>
  <c r="G136" i="19"/>
  <c r="H136" i="19"/>
  <c r="F137" i="19"/>
  <c r="G137" i="19"/>
  <c r="F138" i="19"/>
  <c r="G138" i="19"/>
  <c r="H138" i="19"/>
  <c r="L140" i="19"/>
  <c r="J142" i="19"/>
  <c r="N10" i="18"/>
  <c r="O10" i="18"/>
  <c r="B11" i="18"/>
  <c r="D11" i="18"/>
  <c r="E14" i="18"/>
  <c r="G14" i="18"/>
  <c r="I14" i="18" s="1"/>
  <c r="E15" i="18"/>
  <c r="G15" i="18" s="1"/>
  <c r="I15" i="18"/>
  <c r="E16" i="18"/>
  <c r="I16" i="18" s="1"/>
  <c r="G16" i="18"/>
  <c r="E17" i="18"/>
  <c r="E18" i="18"/>
  <c r="G18" i="18"/>
  <c r="I18" i="18" s="1"/>
  <c r="M18" i="18"/>
  <c r="N18" i="18" s="1"/>
  <c r="E19" i="18"/>
  <c r="G19" i="18" s="1"/>
  <c r="I19" i="18" s="1"/>
  <c r="K29" i="18"/>
  <c r="L29" i="18"/>
  <c r="O29" i="18" s="1"/>
  <c r="M29" i="18"/>
  <c r="K36" i="18"/>
  <c r="M36" i="18"/>
  <c r="N36" i="18"/>
  <c r="C44" i="18"/>
  <c r="G53" i="18"/>
  <c r="I53" i="18"/>
  <c r="K53" i="18"/>
  <c r="G54" i="18"/>
  <c r="K54" i="18" s="1"/>
  <c r="K60" i="18" s="1"/>
  <c r="I54" i="18"/>
  <c r="G55" i="18"/>
  <c r="K55" i="18" s="1"/>
  <c r="I55" i="18"/>
  <c r="D56" i="18"/>
  <c r="G56" i="18"/>
  <c r="K56" i="18" s="1"/>
  <c r="I56" i="18"/>
  <c r="G57" i="18"/>
  <c r="I57" i="18"/>
  <c r="G75" i="18" s="1"/>
  <c r="K57" i="18"/>
  <c r="G58" i="18"/>
  <c r="I58" i="18"/>
  <c r="I76" i="18" s="1"/>
  <c r="J76" i="18" s="1"/>
  <c r="K58" i="18"/>
  <c r="C60" i="18"/>
  <c r="C71" i="18"/>
  <c r="F71" i="18"/>
  <c r="L71" i="18"/>
  <c r="M71" i="18"/>
  <c r="N71" i="18" s="1"/>
  <c r="O71" i="18"/>
  <c r="C72" i="18"/>
  <c r="F72" i="18"/>
  <c r="G72" i="18"/>
  <c r="H72" i="18"/>
  <c r="L72" i="18"/>
  <c r="L78" i="18" s="1"/>
  <c r="M72" i="18"/>
  <c r="C73" i="18"/>
  <c r="F73" i="18"/>
  <c r="L73" i="18"/>
  <c r="M73" i="18"/>
  <c r="N73" i="18" s="1"/>
  <c r="O73" i="18"/>
  <c r="C74" i="18"/>
  <c r="F74" i="18"/>
  <c r="H74" i="18"/>
  <c r="L74" i="18"/>
  <c r="M74" i="18"/>
  <c r="N74" i="18" s="1"/>
  <c r="O74" i="18" s="1"/>
  <c r="C75" i="18"/>
  <c r="F75" i="18"/>
  <c r="L75" i="18"/>
  <c r="M75" i="18"/>
  <c r="N75" i="18" s="1"/>
  <c r="O75" i="18"/>
  <c r="C76" i="18"/>
  <c r="F76" i="18"/>
  <c r="G76" i="18"/>
  <c r="H76" i="18"/>
  <c r="L76" i="18"/>
  <c r="M76" i="18"/>
  <c r="N76" i="18" s="1"/>
  <c r="O76" i="18" s="1"/>
  <c r="C78" i="18"/>
  <c r="C85" i="18"/>
  <c r="F85" i="18"/>
  <c r="K85" i="18" s="1"/>
  <c r="H85" i="18"/>
  <c r="I85" i="18"/>
  <c r="C86" i="18"/>
  <c r="I86" i="18" s="1"/>
  <c r="H86" i="18"/>
  <c r="L99" i="18" s="1"/>
  <c r="M99" i="18" s="1"/>
  <c r="C87" i="18"/>
  <c r="M100" i="18" s="1"/>
  <c r="N100" i="18" s="1"/>
  <c r="O100" i="18" s="1"/>
  <c r="F87" i="18"/>
  <c r="K87" i="18" s="1"/>
  <c r="H87" i="18"/>
  <c r="I87" i="18"/>
  <c r="C88" i="18"/>
  <c r="H88" i="18"/>
  <c r="C89" i="18"/>
  <c r="F89" i="18"/>
  <c r="K89" i="18" s="1"/>
  <c r="H89" i="18"/>
  <c r="I89" i="18"/>
  <c r="C90" i="18"/>
  <c r="I90" i="18" s="1"/>
  <c r="H90" i="18"/>
  <c r="L103" i="18" s="1"/>
  <c r="M103" i="18" s="1"/>
  <c r="C98" i="18"/>
  <c r="F98" i="18" s="1"/>
  <c r="L98" i="18"/>
  <c r="C99" i="18"/>
  <c r="N99" i="18"/>
  <c r="O99" i="18" s="1"/>
  <c r="C100" i="18"/>
  <c r="F100" i="18" s="1"/>
  <c r="G100" i="18"/>
  <c r="L100" i="18"/>
  <c r="C102" i="18"/>
  <c r="F102" i="18" s="1"/>
  <c r="G102" i="18"/>
  <c r="L102" i="18"/>
  <c r="M102" i="18" s="1"/>
  <c r="N102" i="18" s="1"/>
  <c r="O102" i="18" s="1"/>
  <c r="C103" i="18"/>
  <c r="F103" i="18" s="1"/>
  <c r="C110" i="18"/>
  <c r="I110" i="18" s="1"/>
  <c r="G110" i="18"/>
  <c r="K110" i="18" s="1"/>
  <c r="C111" i="18"/>
  <c r="I111" i="18" s="1"/>
  <c r="G111" i="18"/>
  <c r="K111" i="18" s="1"/>
  <c r="C112" i="18"/>
  <c r="I112" i="18" s="1"/>
  <c r="G112" i="18"/>
  <c r="K112" i="18" s="1"/>
  <c r="C113" i="18"/>
  <c r="I113" i="18" s="1"/>
  <c r="G113" i="18"/>
  <c r="K113" i="18" s="1"/>
  <c r="C114" i="18"/>
  <c r="I114" i="18" s="1"/>
  <c r="G114" i="18"/>
  <c r="K114" i="18" s="1"/>
  <c r="C115" i="18"/>
  <c r="I115" i="18" s="1"/>
  <c r="G115" i="18"/>
  <c r="K115" i="18" s="1"/>
  <c r="C116" i="18"/>
  <c r="C123" i="18"/>
  <c r="F123" i="18" s="1"/>
  <c r="G123" i="18"/>
  <c r="L123" i="18"/>
  <c r="M123" i="18"/>
  <c r="C124" i="18"/>
  <c r="F124" i="18"/>
  <c r="L124" i="18"/>
  <c r="C125" i="18"/>
  <c r="F125" i="18" s="1"/>
  <c r="M125" i="18"/>
  <c r="N125" i="18" s="1"/>
  <c r="O125" i="18" s="1"/>
  <c r="L126" i="18"/>
  <c r="M126" i="18"/>
  <c r="N126" i="18"/>
  <c r="O126" i="18" s="1"/>
  <c r="C127" i="18"/>
  <c r="F127" i="18"/>
  <c r="G127" i="18"/>
  <c r="L127" i="18"/>
  <c r="M127" i="18"/>
  <c r="C128" i="18"/>
  <c r="F128" i="18"/>
  <c r="L128" i="18"/>
  <c r="B135" i="18"/>
  <c r="C135" i="18"/>
  <c r="D135" i="18"/>
  <c r="E135" i="18"/>
  <c r="F135" i="18"/>
  <c r="G135" i="18"/>
  <c r="H135" i="18"/>
  <c r="I135" i="18"/>
  <c r="J135" i="18"/>
  <c r="K135" i="18"/>
  <c r="L135" i="18"/>
  <c r="M135" i="18"/>
  <c r="N135" i="18"/>
  <c r="O135" i="18"/>
  <c r="C137" i="18"/>
  <c r="C142" i="18"/>
  <c r="B147" i="18"/>
  <c r="C147" i="18"/>
  <c r="D147" i="18"/>
  <c r="E147" i="18"/>
  <c r="F147" i="18"/>
  <c r="G147" i="18"/>
  <c r="H147" i="18"/>
  <c r="I147" i="18"/>
  <c r="J147" i="18"/>
  <c r="K147" i="18"/>
  <c r="L147" i="18"/>
  <c r="P147" i="18"/>
  <c r="Q147" i="18"/>
  <c r="R147" i="18"/>
  <c r="S147" i="18"/>
  <c r="T147" i="18"/>
  <c r="U147" i="18"/>
  <c r="V147" i="18"/>
  <c r="B148" i="18"/>
  <c r="V156" i="18"/>
  <c r="I157" i="18"/>
  <c r="S157" i="18" s="1"/>
  <c r="O157" i="18"/>
  <c r="P157" i="18"/>
  <c r="Q157" i="18"/>
  <c r="R157" i="18"/>
  <c r="V157" i="18" s="1"/>
  <c r="T157" i="18"/>
  <c r="U157" i="18"/>
  <c r="P158" i="18"/>
  <c r="I160" i="18"/>
  <c r="S160" i="18" s="1"/>
  <c r="O160" i="18"/>
  <c r="P160" i="18"/>
  <c r="Q160" i="18"/>
  <c r="R160" i="18"/>
  <c r="T160" i="18"/>
  <c r="U160" i="18"/>
  <c r="V160" i="18"/>
  <c r="I161" i="18"/>
  <c r="O161" i="18"/>
  <c r="P161" i="18"/>
  <c r="Q161" i="18"/>
  <c r="V161" i="18" s="1"/>
  <c r="R161" i="18"/>
  <c r="S161" i="18"/>
  <c r="T161" i="18"/>
  <c r="U161" i="18"/>
  <c r="I162" i="18"/>
  <c r="S162" i="18" s="1"/>
  <c r="O162" i="18"/>
  <c r="P162" i="18"/>
  <c r="Q162" i="18"/>
  <c r="R162" i="18"/>
  <c r="T162" i="18"/>
  <c r="U162" i="18"/>
  <c r="V162" i="18"/>
  <c r="I163" i="18"/>
  <c r="O163" i="18"/>
  <c r="P163" i="18"/>
  <c r="Q163" i="18"/>
  <c r="R163" i="18"/>
  <c r="S163" i="18"/>
  <c r="T163" i="18"/>
  <c r="U163" i="18"/>
  <c r="I164" i="18"/>
  <c r="S164" i="18" s="1"/>
  <c r="O164" i="18"/>
  <c r="P164" i="18"/>
  <c r="Q164" i="18"/>
  <c r="R164" i="18"/>
  <c r="T164" i="18"/>
  <c r="U164" i="18"/>
  <c r="V164" i="18"/>
  <c r="I165" i="18"/>
  <c r="O165" i="18"/>
  <c r="P165" i="18"/>
  <c r="Q165" i="18"/>
  <c r="V165" i="18" s="1"/>
  <c r="R165" i="18"/>
  <c r="S165" i="18"/>
  <c r="T165" i="18"/>
  <c r="U165" i="18"/>
  <c r="I166" i="18"/>
  <c r="S166" i="18" s="1"/>
  <c r="O166" i="18"/>
  <c r="P166" i="18"/>
  <c r="Q166" i="18"/>
  <c r="R166" i="18"/>
  <c r="T166" i="18"/>
  <c r="U166" i="18"/>
  <c r="V166" i="18"/>
  <c r="I167" i="18"/>
  <c r="O167" i="18"/>
  <c r="P167" i="18"/>
  <c r="Q167" i="18"/>
  <c r="R167" i="18"/>
  <c r="S167" i="18"/>
  <c r="T167" i="18"/>
  <c r="U167" i="18"/>
  <c r="I168" i="18"/>
  <c r="S168" i="18" s="1"/>
  <c r="O168" i="18"/>
  <c r="P168" i="18"/>
  <c r="Q168" i="18"/>
  <c r="R168" i="18"/>
  <c r="T168" i="18"/>
  <c r="U168" i="18"/>
  <c r="V168" i="18"/>
  <c r="I169" i="18"/>
  <c r="O169" i="18"/>
  <c r="P169" i="18"/>
  <c r="Q169" i="18"/>
  <c r="V169" i="18" s="1"/>
  <c r="R169" i="18"/>
  <c r="S169" i="18"/>
  <c r="T169" i="18"/>
  <c r="U169" i="18"/>
  <c r="I170" i="18"/>
  <c r="S170" i="18" s="1"/>
  <c r="O170" i="18"/>
  <c r="P170" i="18"/>
  <c r="Q170" i="18"/>
  <c r="R170" i="18"/>
  <c r="T170" i="18"/>
  <c r="U170" i="18"/>
  <c r="V170" i="18"/>
  <c r="I171" i="18"/>
  <c r="O171" i="18"/>
  <c r="P171" i="18"/>
  <c r="Q171" i="18"/>
  <c r="R171" i="18"/>
  <c r="S171" i="18"/>
  <c r="T171" i="18"/>
  <c r="U171" i="18"/>
  <c r="I172" i="18"/>
  <c r="O172" i="18"/>
  <c r="P172" i="18"/>
  <c r="V172" i="18" s="1"/>
  <c r="Q172" i="18"/>
  <c r="R172" i="18"/>
  <c r="S172" i="18"/>
  <c r="T172" i="18"/>
  <c r="U172" i="18"/>
  <c r="P173" i="18"/>
  <c r="I175" i="18"/>
  <c r="S175" i="18" s="1"/>
  <c r="O175" i="18"/>
  <c r="P175" i="18"/>
  <c r="Q175" i="18"/>
  <c r="R175" i="18"/>
  <c r="V175" i="18" s="1"/>
  <c r="T175" i="18"/>
  <c r="U175" i="18"/>
  <c r="I176" i="18"/>
  <c r="O176" i="18"/>
  <c r="P176" i="18"/>
  <c r="Q176" i="18"/>
  <c r="R176" i="18"/>
  <c r="S176" i="18"/>
  <c r="T176" i="18"/>
  <c r="U176" i="18"/>
  <c r="I177" i="18"/>
  <c r="O177" i="18"/>
  <c r="P177" i="18"/>
  <c r="Q177" i="18"/>
  <c r="R177" i="18"/>
  <c r="S177" i="18"/>
  <c r="V177" i="18" s="1"/>
  <c r="T177" i="18"/>
  <c r="U177" i="18"/>
  <c r="I178" i="18"/>
  <c r="S178" i="18" s="1"/>
  <c r="V178" i="18" s="1"/>
  <c r="O178" i="18"/>
  <c r="P178" i="18"/>
  <c r="Q178" i="18"/>
  <c r="R178" i="18"/>
  <c r="T178" i="18"/>
  <c r="U178" i="18"/>
  <c r="I179" i="18"/>
  <c r="S179" i="18" s="1"/>
  <c r="O179" i="18"/>
  <c r="P179" i="18"/>
  <c r="Q179" i="18"/>
  <c r="R179" i="18"/>
  <c r="T179" i="18"/>
  <c r="U179" i="18"/>
  <c r="V179" i="18"/>
  <c r="I180" i="18"/>
  <c r="O180" i="18"/>
  <c r="P180" i="18"/>
  <c r="V180" i="18" s="1"/>
  <c r="Q180" i="18"/>
  <c r="R180" i="18"/>
  <c r="S180" i="18"/>
  <c r="T180" i="18"/>
  <c r="U180" i="18"/>
  <c r="I181" i="18"/>
  <c r="O181" i="18"/>
  <c r="P181" i="18"/>
  <c r="V181" i="18" s="1"/>
  <c r="Q181" i="18"/>
  <c r="R181" i="18"/>
  <c r="S181" i="18"/>
  <c r="T181" i="18"/>
  <c r="U181" i="18"/>
  <c r="I182" i="18"/>
  <c r="O182" i="18"/>
  <c r="P182" i="18"/>
  <c r="Q182" i="18"/>
  <c r="R182" i="18"/>
  <c r="S182" i="18"/>
  <c r="V182" i="18" s="1"/>
  <c r="T182" i="18"/>
  <c r="U182" i="18"/>
  <c r="I183" i="18"/>
  <c r="S183" i="18" s="1"/>
  <c r="V183" i="18" s="1"/>
  <c r="O183" i="18"/>
  <c r="P183" i="18"/>
  <c r="Q183" i="18"/>
  <c r="R183" i="18"/>
  <c r="T183" i="18"/>
  <c r="U183" i="18"/>
  <c r="I184" i="18"/>
  <c r="O184" i="18"/>
  <c r="P184" i="18"/>
  <c r="V184" i="18" s="1"/>
  <c r="Q184" i="18"/>
  <c r="R184" i="18"/>
  <c r="S184" i="18"/>
  <c r="T184" i="18"/>
  <c r="U184" i="18"/>
  <c r="I185" i="18"/>
  <c r="O185" i="18"/>
  <c r="P185" i="18"/>
  <c r="V185" i="18" s="1"/>
  <c r="Q185" i="18"/>
  <c r="R185" i="18"/>
  <c r="S185" i="18"/>
  <c r="T185" i="18"/>
  <c r="U185" i="18"/>
  <c r="I186" i="18"/>
  <c r="O186" i="18"/>
  <c r="P186" i="18"/>
  <c r="Q186" i="18"/>
  <c r="R186" i="18"/>
  <c r="S186" i="18"/>
  <c r="V186" i="18" s="1"/>
  <c r="T186" i="18"/>
  <c r="U186" i="18"/>
  <c r="I187" i="18"/>
  <c r="S187" i="18" s="1"/>
  <c r="V187" i="18" s="1"/>
  <c r="O187" i="18"/>
  <c r="P187" i="18"/>
  <c r="Q187" i="18"/>
  <c r="R187" i="18"/>
  <c r="T187" i="18"/>
  <c r="U187" i="18"/>
  <c r="I188" i="18"/>
  <c r="O188" i="18"/>
  <c r="P188" i="18"/>
  <c r="V188" i="18" s="1"/>
  <c r="Q188" i="18"/>
  <c r="R188" i="18"/>
  <c r="S188" i="18"/>
  <c r="T188" i="18"/>
  <c r="U188" i="18"/>
  <c r="I189" i="18"/>
  <c r="O189" i="18"/>
  <c r="P189" i="18"/>
  <c r="V189" i="18" s="1"/>
  <c r="Q189" i="18"/>
  <c r="R189" i="18"/>
  <c r="S189" i="18"/>
  <c r="T189" i="18"/>
  <c r="U189" i="18"/>
  <c r="P190" i="18"/>
  <c r="I192" i="18"/>
  <c r="P192" i="18"/>
  <c r="Q192" i="18"/>
  <c r="R192" i="18"/>
  <c r="S192" i="18"/>
  <c r="V192" i="18" s="1"/>
  <c r="T192" i="18"/>
  <c r="U192" i="18"/>
  <c r="P193" i="18"/>
  <c r="I195" i="18"/>
  <c r="O195" i="18"/>
  <c r="P195" i="18"/>
  <c r="V195" i="18" s="1"/>
  <c r="Q195" i="18"/>
  <c r="R195" i="18"/>
  <c r="S195" i="18"/>
  <c r="T195" i="18"/>
  <c r="U195" i="18"/>
  <c r="I196" i="18"/>
  <c r="O196" i="18"/>
  <c r="P196" i="18"/>
  <c r="V196" i="18" s="1"/>
  <c r="Q196" i="18"/>
  <c r="R196" i="18"/>
  <c r="S196" i="18"/>
  <c r="T196" i="18"/>
  <c r="U196" i="18"/>
  <c r="I197" i="18"/>
  <c r="O197" i="18"/>
  <c r="P197" i="18"/>
  <c r="Q197" i="18"/>
  <c r="R197" i="18"/>
  <c r="S197" i="18"/>
  <c r="V197" i="18" s="1"/>
  <c r="T197" i="18"/>
  <c r="U197" i="18"/>
  <c r="I198" i="18"/>
  <c r="S198" i="18" s="1"/>
  <c r="V198" i="18" s="1"/>
  <c r="O198" i="18"/>
  <c r="P198" i="18"/>
  <c r="Q198" i="18"/>
  <c r="R198" i="18"/>
  <c r="T198" i="18"/>
  <c r="U198" i="18"/>
  <c r="I199" i="18"/>
  <c r="O199" i="18"/>
  <c r="P199" i="18"/>
  <c r="V199" i="18" s="1"/>
  <c r="Q199" i="18"/>
  <c r="R199" i="18"/>
  <c r="S199" i="18"/>
  <c r="T199" i="18"/>
  <c r="U199" i="18"/>
  <c r="I200" i="18"/>
  <c r="O200" i="18"/>
  <c r="P200" i="18"/>
  <c r="V200" i="18" s="1"/>
  <c r="Q200" i="18"/>
  <c r="R200" i="18"/>
  <c r="S200" i="18"/>
  <c r="T200" i="18"/>
  <c r="U200" i="18"/>
  <c r="I201" i="18"/>
  <c r="O201" i="18"/>
  <c r="P201" i="18"/>
  <c r="Q201" i="18"/>
  <c r="R201" i="18"/>
  <c r="S201" i="18"/>
  <c r="V201" i="18" s="1"/>
  <c r="T201" i="18"/>
  <c r="U201" i="18"/>
  <c r="I202" i="18"/>
  <c r="S202" i="18" s="1"/>
  <c r="V202" i="18" s="1"/>
  <c r="O202" i="18"/>
  <c r="P202" i="18"/>
  <c r="Q202" i="18"/>
  <c r="R202" i="18"/>
  <c r="T202" i="18"/>
  <c r="U202" i="18"/>
  <c r="I203" i="18"/>
  <c r="O203" i="18"/>
  <c r="P203" i="18"/>
  <c r="V203" i="18" s="1"/>
  <c r="Q203" i="18"/>
  <c r="R203" i="18"/>
  <c r="S203" i="18"/>
  <c r="T203" i="18"/>
  <c r="U203" i="18"/>
  <c r="I204" i="18"/>
  <c r="O204" i="18"/>
  <c r="P204" i="18"/>
  <c r="V204" i="18" s="1"/>
  <c r="Q204" i="18"/>
  <c r="R204" i="18"/>
  <c r="S204" i="18"/>
  <c r="T204" i="18"/>
  <c r="U204" i="18"/>
  <c r="I205" i="18"/>
  <c r="O205" i="18"/>
  <c r="P205" i="18"/>
  <c r="Q205" i="18"/>
  <c r="R205" i="18"/>
  <c r="S205" i="18"/>
  <c r="V205" i="18" s="1"/>
  <c r="T205" i="18"/>
  <c r="U205" i="18"/>
  <c r="O206" i="18"/>
  <c r="P206" i="18"/>
  <c r="Q206" i="18"/>
  <c r="R206" i="18"/>
  <c r="S206" i="18"/>
  <c r="V206" i="18" s="1"/>
  <c r="T206" i="18"/>
  <c r="U206" i="18"/>
  <c r="P207" i="18"/>
  <c r="I209" i="18"/>
  <c r="O209" i="18"/>
  <c r="P209" i="18"/>
  <c r="V209" i="18" s="1"/>
  <c r="Q209" i="18"/>
  <c r="R209" i="18"/>
  <c r="S209" i="18"/>
  <c r="T209" i="18"/>
  <c r="U209" i="18"/>
  <c r="I210" i="18"/>
  <c r="O210" i="18"/>
  <c r="P210" i="18"/>
  <c r="V210" i="18" s="1"/>
  <c r="Q210" i="18"/>
  <c r="R210" i="18"/>
  <c r="S210" i="18"/>
  <c r="T210" i="18"/>
  <c r="U210" i="18"/>
  <c r="I211" i="18"/>
  <c r="O211" i="18"/>
  <c r="P211" i="18"/>
  <c r="Q211" i="18"/>
  <c r="R211" i="18"/>
  <c r="V211" i="18" s="1"/>
  <c r="S211" i="18"/>
  <c r="T211" i="18"/>
  <c r="U211" i="18"/>
  <c r="I212" i="18"/>
  <c r="S212" i="18" s="1"/>
  <c r="V212" i="18" s="1"/>
  <c r="O212" i="18"/>
  <c r="P212" i="18"/>
  <c r="Q212" i="18"/>
  <c r="R212" i="18"/>
  <c r="T212" i="18"/>
  <c r="U212" i="18"/>
  <c r="I213" i="18"/>
  <c r="O213" i="18"/>
  <c r="P213" i="18"/>
  <c r="V213" i="18" s="1"/>
  <c r="Q213" i="18"/>
  <c r="R213" i="18"/>
  <c r="S213" i="18"/>
  <c r="T213" i="18"/>
  <c r="U213" i="18"/>
  <c r="I214" i="18"/>
  <c r="O214" i="18"/>
  <c r="P214" i="18"/>
  <c r="V214" i="18" s="1"/>
  <c r="Q214" i="18"/>
  <c r="R214" i="18"/>
  <c r="S214" i="18"/>
  <c r="T214" i="18"/>
  <c r="U214" i="18"/>
  <c r="P215" i="18"/>
  <c r="P217" i="18"/>
  <c r="I219" i="18"/>
  <c r="O219" i="18"/>
  <c r="P219" i="18"/>
  <c r="V219" i="18" s="1"/>
  <c r="Q219" i="18"/>
  <c r="R219" i="18"/>
  <c r="S219" i="18"/>
  <c r="T219" i="18"/>
  <c r="U219" i="18"/>
  <c r="I220" i="18"/>
  <c r="O220" i="18"/>
  <c r="P220" i="18"/>
  <c r="V220" i="18" s="1"/>
  <c r="Q220" i="18"/>
  <c r="R220" i="18"/>
  <c r="S220" i="18"/>
  <c r="T220" i="18"/>
  <c r="U220" i="18"/>
  <c r="I221" i="18"/>
  <c r="O221" i="18"/>
  <c r="P221" i="18"/>
  <c r="Q221" i="18"/>
  <c r="R221" i="18"/>
  <c r="S221" i="18"/>
  <c r="V221" i="18" s="1"/>
  <c r="T221" i="18"/>
  <c r="U221" i="18"/>
  <c r="I222" i="18"/>
  <c r="S222" i="18" s="1"/>
  <c r="V222" i="18" s="1"/>
  <c r="O222" i="18"/>
  <c r="P222" i="18"/>
  <c r="Q222" i="18"/>
  <c r="R222" i="18"/>
  <c r="T222" i="18"/>
  <c r="U222" i="18"/>
  <c r="I223" i="18"/>
  <c r="O223" i="18"/>
  <c r="P223" i="18"/>
  <c r="V223" i="18" s="1"/>
  <c r="Q223" i="18"/>
  <c r="R223" i="18"/>
  <c r="S223" i="18"/>
  <c r="T223" i="18"/>
  <c r="U223" i="18"/>
  <c r="I224" i="18"/>
  <c r="O224" i="18"/>
  <c r="P224" i="18"/>
  <c r="V224" i="18" s="1"/>
  <c r="Q224" i="18"/>
  <c r="R224" i="18"/>
  <c r="S224" i="18"/>
  <c r="T224" i="18"/>
  <c r="U224" i="18"/>
  <c r="I225" i="18"/>
  <c r="O225" i="18"/>
  <c r="P225" i="18"/>
  <c r="Q225" i="18"/>
  <c r="R225" i="18"/>
  <c r="S225" i="18"/>
  <c r="V225" i="18" s="1"/>
  <c r="T225" i="18"/>
  <c r="U225" i="18"/>
  <c r="P226" i="18"/>
  <c r="I228" i="18"/>
  <c r="O228" i="18"/>
  <c r="P228" i="18"/>
  <c r="V228" i="18" s="1"/>
  <c r="Q228" i="18"/>
  <c r="R228" i="18"/>
  <c r="S228" i="18"/>
  <c r="T228" i="18"/>
  <c r="U228" i="18"/>
  <c r="I229" i="18"/>
  <c r="O229" i="18"/>
  <c r="P229" i="18"/>
  <c r="V229" i="18" s="1"/>
  <c r="Q229" i="18"/>
  <c r="R229" i="18"/>
  <c r="S229" i="18"/>
  <c r="T229" i="18"/>
  <c r="U229" i="18"/>
  <c r="I230" i="18"/>
  <c r="O230" i="18"/>
  <c r="P230" i="18"/>
  <c r="Q230" i="18"/>
  <c r="R230" i="18"/>
  <c r="S230" i="18"/>
  <c r="V230" i="18" s="1"/>
  <c r="T230" i="18"/>
  <c r="U230" i="18"/>
  <c r="I231" i="18"/>
  <c r="S231" i="18" s="1"/>
  <c r="V231" i="18" s="1"/>
  <c r="O231" i="18"/>
  <c r="P231" i="18"/>
  <c r="Q231" i="18"/>
  <c r="R231" i="18"/>
  <c r="T231" i="18"/>
  <c r="U231" i="18"/>
  <c r="I232" i="18"/>
  <c r="O232" i="18"/>
  <c r="P232" i="18"/>
  <c r="V232" i="18" s="1"/>
  <c r="Q232" i="18"/>
  <c r="R232" i="18"/>
  <c r="S232" i="18"/>
  <c r="T232" i="18"/>
  <c r="U232" i="18"/>
  <c r="P233" i="18"/>
  <c r="I235" i="18"/>
  <c r="O235" i="18"/>
  <c r="P235" i="18"/>
  <c r="Q235" i="18"/>
  <c r="R235" i="18"/>
  <c r="S235" i="18"/>
  <c r="V235" i="18" s="1"/>
  <c r="T235" i="18"/>
  <c r="U235" i="18"/>
  <c r="I236" i="18"/>
  <c r="S236" i="18" s="1"/>
  <c r="V236" i="18" s="1"/>
  <c r="O236" i="18"/>
  <c r="P236" i="18"/>
  <c r="Q236" i="18"/>
  <c r="R236" i="18"/>
  <c r="T236" i="18"/>
  <c r="U236" i="18"/>
  <c r="I237" i="18"/>
  <c r="O237" i="18"/>
  <c r="P237" i="18"/>
  <c r="V237" i="18" s="1"/>
  <c r="Q237" i="18"/>
  <c r="R237" i="18"/>
  <c r="S237" i="18"/>
  <c r="T237" i="18"/>
  <c r="U237" i="18"/>
  <c r="I238" i="18"/>
  <c r="O238" i="18"/>
  <c r="P238" i="18"/>
  <c r="V238" i="18" s="1"/>
  <c r="Q238" i="18"/>
  <c r="R238" i="18"/>
  <c r="S238" i="18"/>
  <c r="T238" i="18"/>
  <c r="U238" i="18"/>
  <c r="I239" i="18"/>
  <c r="O239" i="18"/>
  <c r="P239" i="18"/>
  <c r="Q239" i="18"/>
  <c r="R239" i="18"/>
  <c r="S239" i="18"/>
  <c r="V239" i="18" s="1"/>
  <c r="T239" i="18"/>
  <c r="U239" i="18"/>
  <c r="I240" i="18"/>
  <c r="S240" i="18" s="1"/>
  <c r="V240" i="18" s="1"/>
  <c r="O240" i="18"/>
  <c r="P240" i="18"/>
  <c r="Q240" i="18"/>
  <c r="R240" i="18"/>
  <c r="T240" i="18"/>
  <c r="U240" i="18"/>
  <c r="I241" i="18"/>
  <c r="O241" i="18"/>
  <c r="P241" i="18"/>
  <c r="V241" i="18" s="1"/>
  <c r="Q241" i="18"/>
  <c r="R241" i="18"/>
  <c r="S241" i="18"/>
  <c r="T241" i="18"/>
  <c r="U241" i="18"/>
  <c r="P242" i="18"/>
  <c r="I244" i="18"/>
  <c r="O244" i="18"/>
  <c r="P244" i="18"/>
  <c r="Q244" i="18"/>
  <c r="R244" i="18"/>
  <c r="S244" i="18"/>
  <c r="V244" i="18" s="1"/>
  <c r="T244" i="18"/>
  <c r="U244" i="18"/>
  <c r="I245" i="18"/>
  <c r="S245" i="18" s="1"/>
  <c r="V245" i="18" s="1"/>
  <c r="O245" i="18"/>
  <c r="P245" i="18"/>
  <c r="Q245" i="18"/>
  <c r="R245" i="18"/>
  <c r="T245" i="18"/>
  <c r="U245" i="18"/>
  <c r="I246" i="18"/>
  <c r="O246" i="18"/>
  <c r="P246" i="18"/>
  <c r="V246" i="18" s="1"/>
  <c r="Q246" i="18"/>
  <c r="R246" i="18"/>
  <c r="S246" i="18"/>
  <c r="T246" i="18"/>
  <c r="U246" i="18"/>
  <c r="I247" i="18"/>
  <c r="O247" i="18"/>
  <c r="P247" i="18"/>
  <c r="V247" i="18" s="1"/>
  <c r="Q247" i="18"/>
  <c r="R247" i="18"/>
  <c r="S247" i="18"/>
  <c r="T247" i="18"/>
  <c r="U247" i="18"/>
  <c r="I248" i="18"/>
  <c r="O248" i="18"/>
  <c r="P248" i="18"/>
  <c r="Q248" i="18"/>
  <c r="R248" i="18"/>
  <c r="V248" i="18" s="1"/>
  <c r="S248" i="18"/>
  <c r="T248" i="18"/>
  <c r="U248" i="18"/>
  <c r="I249" i="18"/>
  <c r="S249" i="18" s="1"/>
  <c r="V249" i="18" s="1"/>
  <c r="O249" i="18"/>
  <c r="P249" i="18"/>
  <c r="Q249" i="18"/>
  <c r="R249" i="18"/>
  <c r="T249" i="18"/>
  <c r="U249" i="18"/>
  <c r="I250" i="18"/>
  <c r="O250" i="18"/>
  <c r="P250" i="18"/>
  <c r="V250" i="18" s="1"/>
  <c r="Q250" i="18"/>
  <c r="R250" i="18"/>
  <c r="S250" i="18"/>
  <c r="T250" i="18"/>
  <c r="U250" i="18"/>
  <c r="I251" i="18"/>
  <c r="O251" i="18"/>
  <c r="P251" i="18"/>
  <c r="V251" i="18" s="1"/>
  <c r="Q251" i="18"/>
  <c r="R251" i="18"/>
  <c r="S251" i="18"/>
  <c r="T251" i="18"/>
  <c r="U251" i="18"/>
  <c r="I252" i="18"/>
  <c r="O252" i="18"/>
  <c r="P252" i="18"/>
  <c r="Q252" i="18"/>
  <c r="R252" i="18"/>
  <c r="V252" i="18" s="1"/>
  <c r="S252" i="18"/>
  <c r="T252" i="18"/>
  <c r="U252" i="18"/>
  <c r="I253" i="18"/>
  <c r="S253" i="18" s="1"/>
  <c r="V253" i="18" s="1"/>
  <c r="O253" i="18"/>
  <c r="P253" i="18"/>
  <c r="Q253" i="18"/>
  <c r="R253" i="18"/>
  <c r="T253" i="18"/>
  <c r="U253" i="18"/>
  <c r="P254" i="18"/>
  <c r="I256" i="18"/>
  <c r="O256" i="18"/>
  <c r="P256" i="18"/>
  <c r="V256" i="18" s="1"/>
  <c r="Q256" i="18"/>
  <c r="R256" i="18"/>
  <c r="S256" i="18"/>
  <c r="T256" i="18"/>
  <c r="U256" i="18"/>
  <c r="I257" i="18"/>
  <c r="O257" i="18"/>
  <c r="P257" i="18"/>
  <c r="Q257" i="18"/>
  <c r="R257" i="18"/>
  <c r="S257" i="18"/>
  <c r="V257" i="18" s="1"/>
  <c r="T257" i="18"/>
  <c r="U257" i="18"/>
  <c r="I258" i="18"/>
  <c r="S258" i="18" s="1"/>
  <c r="V258" i="18" s="1"/>
  <c r="O258" i="18"/>
  <c r="P258" i="18"/>
  <c r="Q258" i="18"/>
  <c r="R258" i="18"/>
  <c r="T258" i="18"/>
  <c r="U258" i="18"/>
  <c r="I259" i="18"/>
  <c r="O259" i="18"/>
  <c r="P259" i="18"/>
  <c r="V259" i="18" s="1"/>
  <c r="Q259" i="18"/>
  <c r="R259" i="18"/>
  <c r="S259" i="18"/>
  <c r="T259" i="18"/>
  <c r="U259" i="18"/>
  <c r="I260" i="18"/>
  <c r="O260" i="18"/>
  <c r="P260" i="18"/>
  <c r="V260" i="18" s="1"/>
  <c r="Q260" i="18"/>
  <c r="R260" i="18"/>
  <c r="S260" i="18"/>
  <c r="T260" i="18"/>
  <c r="U260" i="18"/>
  <c r="I261" i="18"/>
  <c r="O261" i="18"/>
  <c r="P261" i="18"/>
  <c r="Q261" i="18"/>
  <c r="R261" i="18"/>
  <c r="S261" i="18"/>
  <c r="V261" i="18" s="1"/>
  <c r="T261" i="18"/>
  <c r="U261" i="18"/>
  <c r="I262" i="18"/>
  <c r="S262" i="18" s="1"/>
  <c r="V262" i="18" s="1"/>
  <c r="O262" i="18"/>
  <c r="P262" i="18"/>
  <c r="Q262" i="18"/>
  <c r="R262" i="18"/>
  <c r="T262" i="18"/>
  <c r="U262" i="18"/>
  <c r="I263" i="18"/>
  <c r="O263" i="18"/>
  <c r="P263" i="18"/>
  <c r="V263" i="18" s="1"/>
  <c r="Q263" i="18"/>
  <c r="R263" i="18"/>
  <c r="S263" i="18"/>
  <c r="T263" i="18"/>
  <c r="U263" i="18"/>
  <c r="I264" i="18"/>
  <c r="O264" i="18"/>
  <c r="P264" i="18"/>
  <c r="V264" i="18" s="1"/>
  <c r="Q264" i="18"/>
  <c r="R264" i="18"/>
  <c r="S264" i="18"/>
  <c r="T264" i="18"/>
  <c r="U264" i="18"/>
  <c r="I265" i="18"/>
  <c r="O265" i="18"/>
  <c r="P265" i="18"/>
  <c r="Q265" i="18"/>
  <c r="R265" i="18"/>
  <c r="S265" i="18"/>
  <c r="V265" i="18" s="1"/>
  <c r="T265" i="18"/>
  <c r="U265" i="18"/>
  <c r="I266" i="18"/>
  <c r="S266" i="18" s="1"/>
  <c r="V266" i="18" s="1"/>
  <c r="O266" i="18"/>
  <c r="P266" i="18"/>
  <c r="Q266" i="18"/>
  <c r="R266" i="18"/>
  <c r="T266" i="18"/>
  <c r="U266" i="18"/>
  <c r="I267" i="18"/>
  <c r="O267" i="18"/>
  <c r="P267" i="18"/>
  <c r="V267" i="18" s="1"/>
  <c r="Q267" i="18"/>
  <c r="R267" i="18"/>
  <c r="S267" i="18"/>
  <c r="T267" i="18"/>
  <c r="U267" i="18"/>
  <c r="I268" i="18"/>
  <c r="O268" i="18"/>
  <c r="P268" i="18"/>
  <c r="V268" i="18" s="1"/>
  <c r="Q268" i="18"/>
  <c r="R268" i="18"/>
  <c r="S268" i="18"/>
  <c r="T268" i="18"/>
  <c r="U268" i="18"/>
  <c r="I269" i="18"/>
  <c r="O269" i="18"/>
  <c r="P269" i="18"/>
  <c r="Q269" i="18"/>
  <c r="R269" i="18"/>
  <c r="S269" i="18"/>
  <c r="V269" i="18" s="1"/>
  <c r="T269" i="18"/>
  <c r="U269" i="18"/>
  <c r="I270" i="18"/>
  <c r="S270" i="18" s="1"/>
  <c r="O270" i="18"/>
  <c r="P270" i="18"/>
  <c r="Q270" i="18"/>
  <c r="R270" i="18"/>
  <c r="V270" i="18" s="1"/>
  <c r="T270" i="18"/>
  <c r="U270" i="18"/>
  <c r="P271" i="18"/>
  <c r="I273" i="18"/>
  <c r="O273" i="18"/>
  <c r="P273" i="18"/>
  <c r="V273" i="18" s="1"/>
  <c r="Q273" i="18"/>
  <c r="R273" i="18"/>
  <c r="S273" i="18"/>
  <c r="T273" i="18"/>
  <c r="U273" i="18"/>
  <c r="I274" i="18"/>
  <c r="O274" i="18"/>
  <c r="P274" i="18"/>
  <c r="Q274" i="18"/>
  <c r="R274" i="18"/>
  <c r="S274" i="18"/>
  <c r="V274" i="18" s="1"/>
  <c r="T274" i="18"/>
  <c r="U274" i="18"/>
  <c r="P275" i="18"/>
  <c r="I277" i="18"/>
  <c r="O277" i="18"/>
  <c r="P277" i="18"/>
  <c r="V277" i="18" s="1"/>
  <c r="Q277" i="18"/>
  <c r="R277" i="18"/>
  <c r="S277" i="18"/>
  <c r="T277" i="18"/>
  <c r="U277" i="18"/>
  <c r="I278" i="18"/>
  <c r="O278" i="18"/>
  <c r="P278" i="18"/>
  <c r="V278" i="18" s="1"/>
  <c r="Q278" i="18"/>
  <c r="R278" i="18"/>
  <c r="S278" i="18"/>
  <c r="T278" i="18"/>
  <c r="U278" i="18"/>
  <c r="P279" i="18"/>
  <c r="I281" i="18"/>
  <c r="S281" i="18" s="1"/>
  <c r="V281" i="18" s="1"/>
  <c r="O281" i="18"/>
  <c r="P281" i="18"/>
  <c r="Q281" i="18"/>
  <c r="R281" i="18"/>
  <c r="T281" i="18"/>
  <c r="U281" i="18"/>
  <c r="I282" i="18"/>
  <c r="O282" i="18"/>
  <c r="P282" i="18"/>
  <c r="V282" i="18" s="1"/>
  <c r="Q282" i="18"/>
  <c r="R282" i="18"/>
  <c r="S282" i="18"/>
  <c r="T282" i="18"/>
  <c r="U282" i="18"/>
  <c r="I283" i="18"/>
  <c r="O283" i="18"/>
  <c r="P283" i="18"/>
  <c r="V283" i="18" s="1"/>
  <c r="Q283" i="18"/>
  <c r="R283" i="18"/>
  <c r="S283" i="18"/>
  <c r="T283" i="18"/>
  <c r="U283" i="18"/>
  <c r="I284" i="18"/>
  <c r="O284" i="18"/>
  <c r="P284" i="18"/>
  <c r="Q284" i="18"/>
  <c r="R284" i="18"/>
  <c r="S284" i="18"/>
  <c r="V284" i="18" s="1"/>
  <c r="T284" i="18"/>
  <c r="U284" i="18"/>
  <c r="I285" i="18"/>
  <c r="S285" i="18" s="1"/>
  <c r="V285" i="18" s="1"/>
  <c r="O285" i="18"/>
  <c r="P285" i="18"/>
  <c r="Q285" i="18"/>
  <c r="R285" i="18"/>
  <c r="T285" i="18"/>
  <c r="U285" i="18"/>
  <c r="P286" i="18"/>
  <c r="I288" i="18"/>
  <c r="O288" i="18"/>
  <c r="P288" i="18"/>
  <c r="V288" i="18" s="1"/>
  <c r="Q288" i="18"/>
  <c r="R288" i="18"/>
  <c r="S288" i="18"/>
  <c r="T288" i="18"/>
  <c r="U288" i="18"/>
  <c r="I289" i="18"/>
  <c r="O289" i="18"/>
  <c r="P289" i="18"/>
  <c r="Q289" i="18"/>
  <c r="R289" i="18"/>
  <c r="S289" i="18"/>
  <c r="V289" i="18" s="1"/>
  <c r="T289" i="18"/>
  <c r="U289" i="18"/>
  <c r="I290" i="18"/>
  <c r="S290" i="18" s="1"/>
  <c r="V290" i="18" s="1"/>
  <c r="O290" i="18"/>
  <c r="P290" i="18"/>
  <c r="Q290" i="18"/>
  <c r="R290" i="18"/>
  <c r="T290" i="18"/>
  <c r="U290" i="18"/>
  <c r="I291" i="18"/>
  <c r="O291" i="18"/>
  <c r="P291" i="18"/>
  <c r="V291" i="18" s="1"/>
  <c r="Q291" i="18"/>
  <c r="R291" i="18"/>
  <c r="S291" i="18"/>
  <c r="T291" i="18"/>
  <c r="U291" i="18"/>
  <c r="I292" i="18"/>
  <c r="O292" i="18"/>
  <c r="P292" i="18"/>
  <c r="V292" i="18" s="1"/>
  <c r="Q292" i="18"/>
  <c r="R292" i="18"/>
  <c r="S292" i="18"/>
  <c r="T292" i="18"/>
  <c r="U292" i="18"/>
  <c r="I293" i="18"/>
  <c r="O293" i="18"/>
  <c r="P293" i="18"/>
  <c r="Q293" i="18"/>
  <c r="R293" i="18"/>
  <c r="V293" i="18" s="1"/>
  <c r="S293" i="18"/>
  <c r="T293" i="18"/>
  <c r="U293" i="18"/>
  <c r="I294" i="18"/>
  <c r="S294" i="18" s="1"/>
  <c r="O294" i="18"/>
  <c r="P294" i="18"/>
  <c r="Q294" i="18"/>
  <c r="R294" i="18"/>
  <c r="V294" i="18" s="1"/>
  <c r="T294" i="18"/>
  <c r="U294" i="18"/>
  <c r="I295" i="18"/>
  <c r="O295" i="18"/>
  <c r="P295" i="18"/>
  <c r="V295" i="18" s="1"/>
  <c r="Q295" i="18"/>
  <c r="R295" i="18"/>
  <c r="S295" i="18"/>
  <c r="T295" i="18"/>
  <c r="U295" i="18"/>
  <c r="P296" i="18"/>
  <c r="I298" i="18"/>
  <c r="O298" i="18"/>
  <c r="P298" i="18"/>
  <c r="Q298" i="18"/>
  <c r="R298" i="18"/>
  <c r="S298" i="18"/>
  <c r="V298" i="18" s="1"/>
  <c r="T298" i="18"/>
  <c r="U298" i="18"/>
  <c r="I299" i="18"/>
  <c r="S299" i="18" s="1"/>
  <c r="V299" i="18" s="1"/>
  <c r="O299" i="18"/>
  <c r="P299" i="18"/>
  <c r="Q299" i="18"/>
  <c r="R299" i="18"/>
  <c r="T299" i="18"/>
  <c r="U299" i="18"/>
  <c r="I300" i="18"/>
  <c r="O300" i="18"/>
  <c r="P300" i="18"/>
  <c r="V300" i="18" s="1"/>
  <c r="Q300" i="18"/>
  <c r="R300" i="18"/>
  <c r="S300" i="18"/>
  <c r="T300" i="18"/>
  <c r="U300" i="18"/>
  <c r="I301" i="18"/>
  <c r="O301" i="18"/>
  <c r="P301" i="18"/>
  <c r="V301" i="18" s="1"/>
  <c r="Q301" i="18"/>
  <c r="R301" i="18"/>
  <c r="S301" i="18"/>
  <c r="T301" i="18"/>
  <c r="U301" i="18"/>
  <c r="I302" i="18"/>
  <c r="O302" i="18"/>
  <c r="P302" i="18"/>
  <c r="Q302" i="18"/>
  <c r="R302" i="18"/>
  <c r="S302" i="18"/>
  <c r="V302" i="18" s="1"/>
  <c r="T302" i="18"/>
  <c r="U302" i="18"/>
  <c r="I303" i="18"/>
  <c r="S303" i="18" s="1"/>
  <c r="V303" i="18" s="1"/>
  <c r="O303" i="18"/>
  <c r="P303" i="18"/>
  <c r="Q303" i="18"/>
  <c r="R303" i="18"/>
  <c r="T303" i="18"/>
  <c r="U303" i="18"/>
  <c r="I304" i="18"/>
  <c r="O304" i="18"/>
  <c r="P304" i="18"/>
  <c r="V304" i="18" s="1"/>
  <c r="Q304" i="18"/>
  <c r="R304" i="18"/>
  <c r="S304" i="18"/>
  <c r="T304" i="18"/>
  <c r="U304" i="18"/>
  <c r="I305" i="18"/>
  <c r="O305" i="18"/>
  <c r="P305" i="18"/>
  <c r="V305" i="18" s="1"/>
  <c r="Q305" i="18"/>
  <c r="R305" i="18"/>
  <c r="S305" i="18"/>
  <c r="T305" i="18"/>
  <c r="U305" i="18"/>
  <c r="I306" i="18"/>
  <c r="O306" i="18"/>
  <c r="P306" i="18"/>
  <c r="Q306" i="18"/>
  <c r="R306" i="18"/>
  <c r="S306" i="18"/>
  <c r="V306" i="18" s="1"/>
  <c r="T306" i="18"/>
  <c r="U306" i="18"/>
  <c r="I307" i="18"/>
  <c r="S307" i="18" s="1"/>
  <c r="V307" i="18" s="1"/>
  <c r="O307" i="18"/>
  <c r="P307" i="18"/>
  <c r="Q307" i="18"/>
  <c r="R307" i="18"/>
  <c r="T307" i="18"/>
  <c r="U307" i="18"/>
  <c r="P308" i="18"/>
  <c r="I310" i="18"/>
  <c r="O310" i="18"/>
  <c r="P310" i="18"/>
  <c r="V310" i="18" s="1"/>
  <c r="Q310" i="18"/>
  <c r="R310" i="18"/>
  <c r="S310" i="18"/>
  <c r="T310" i="18"/>
  <c r="U310" i="18"/>
  <c r="I311" i="18"/>
  <c r="O311" i="18"/>
  <c r="P311" i="18"/>
  <c r="Q311" i="18"/>
  <c r="R311" i="18"/>
  <c r="S311" i="18"/>
  <c r="V311" i="18" s="1"/>
  <c r="T311" i="18"/>
  <c r="U311" i="18"/>
  <c r="I312" i="18"/>
  <c r="S312" i="18" s="1"/>
  <c r="V312" i="18" s="1"/>
  <c r="O312" i="18"/>
  <c r="P312" i="18"/>
  <c r="Q312" i="18"/>
  <c r="R312" i="18"/>
  <c r="T312" i="18"/>
  <c r="U312" i="18"/>
  <c r="I313" i="18"/>
  <c r="O313" i="18"/>
  <c r="P313" i="18"/>
  <c r="V313" i="18" s="1"/>
  <c r="Q313" i="18"/>
  <c r="R313" i="18"/>
  <c r="S313" i="18"/>
  <c r="T313" i="18"/>
  <c r="U313" i="18"/>
  <c r="P314" i="18"/>
  <c r="I316" i="18"/>
  <c r="O316" i="18"/>
  <c r="P316" i="18"/>
  <c r="Q316" i="18"/>
  <c r="R316" i="18"/>
  <c r="S316" i="18"/>
  <c r="V316" i="18" s="1"/>
  <c r="T316" i="18"/>
  <c r="U316" i="18"/>
  <c r="I317" i="18"/>
  <c r="S317" i="18" s="1"/>
  <c r="V317" i="18" s="1"/>
  <c r="O317" i="18"/>
  <c r="P317" i="18"/>
  <c r="Q317" i="18"/>
  <c r="R317" i="18"/>
  <c r="T317" i="18"/>
  <c r="U317" i="18"/>
  <c r="I318" i="18"/>
  <c r="O318" i="18"/>
  <c r="P318" i="18"/>
  <c r="V318" i="18" s="1"/>
  <c r="Q318" i="18"/>
  <c r="R318" i="18"/>
  <c r="S318" i="18"/>
  <c r="T318" i="18"/>
  <c r="U318" i="18"/>
  <c r="I319" i="18"/>
  <c r="O319" i="18"/>
  <c r="P319" i="18"/>
  <c r="V319" i="18" s="1"/>
  <c r="Q319" i="18"/>
  <c r="R319" i="18"/>
  <c r="S319" i="18"/>
  <c r="T319" i="18"/>
  <c r="U319" i="18"/>
  <c r="I320" i="18"/>
  <c r="O320" i="18"/>
  <c r="P320" i="18"/>
  <c r="Q320" i="18"/>
  <c r="R320" i="18"/>
  <c r="S320" i="18"/>
  <c r="V320" i="18" s="1"/>
  <c r="T320" i="18"/>
  <c r="U320" i="18"/>
  <c r="I321" i="18"/>
  <c r="S321" i="18" s="1"/>
  <c r="V321" i="18" s="1"/>
  <c r="O321" i="18"/>
  <c r="P321" i="18"/>
  <c r="Q321" i="18"/>
  <c r="R321" i="18"/>
  <c r="T321" i="18"/>
  <c r="U321" i="18"/>
  <c r="I322" i="18"/>
  <c r="O322" i="18"/>
  <c r="P322" i="18"/>
  <c r="V322" i="18" s="1"/>
  <c r="Q322" i="18"/>
  <c r="R322" i="18"/>
  <c r="S322" i="18"/>
  <c r="T322" i="18"/>
  <c r="U322" i="18"/>
  <c r="I323" i="18"/>
  <c r="O323" i="18"/>
  <c r="P323" i="18"/>
  <c r="V323" i="18" s="1"/>
  <c r="Q323" i="18"/>
  <c r="R323" i="18"/>
  <c r="S323" i="18"/>
  <c r="T323" i="18"/>
  <c r="U323" i="18"/>
  <c r="P324" i="18"/>
  <c r="I326" i="18"/>
  <c r="S326" i="18" s="1"/>
  <c r="V326" i="18" s="1"/>
  <c r="O326" i="18"/>
  <c r="P326" i="18"/>
  <c r="Q326" i="18"/>
  <c r="R326" i="18"/>
  <c r="T326" i="18"/>
  <c r="U326" i="18"/>
  <c r="P327" i="18"/>
  <c r="I329" i="18"/>
  <c r="O329" i="18"/>
  <c r="P329" i="18"/>
  <c r="V329" i="18" s="1"/>
  <c r="Q329" i="18"/>
  <c r="R329" i="18"/>
  <c r="S329" i="18"/>
  <c r="T329" i="18"/>
  <c r="U329" i="18"/>
  <c r="I330" i="18"/>
  <c r="O330" i="18"/>
  <c r="P330" i="18"/>
  <c r="Q330" i="18"/>
  <c r="R330" i="18"/>
  <c r="V330" i="18" s="1"/>
  <c r="S330" i="18"/>
  <c r="T330" i="18"/>
  <c r="U330" i="18"/>
  <c r="I331" i="18"/>
  <c r="S331" i="18" s="1"/>
  <c r="V331" i="18" s="1"/>
  <c r="O331" i="18"/>
  <c r="P331" i="18"/>
  <c r="Q331" i="18"/>
  <c r="R331" i="18"/>
  <c r="T331" i="18"/>
  <c r="U331" i="18"/>
  <c r="I332" i="18"/>
  <c r="O332" i="18"/>
  <c r="P332" i="18"/>
  <c r="V332" i="18" s="1"/>
  <c r="Q332" i="18"/>
  <c r="R332" i="18"/>
  <c r="S332" i="18"/>
  <c r="T332" i="18"/>
  <c r="U332" i="18"/>
  <c r="I333" i="18"/>
  <c r="O333" i="18"/>
  <c r="P333" i="18"/>
  <c r="V333" i="18" s="1"/>
  <c r="Q333" i="18"/>
  <c r="R333" i="18"/>
  <c r="S333" i="18"/>
  <c r="T333" i="18"/>
  <c r="U333" i="18"/>
  <c r="I334" i="18"/>
  <c r="O334" i="18"/>
  <c r="P334" i="18"/>
  <c r="Q334" i="18"/>
  <c r="R334" i="18"/>
  <c r="S334" i="18"/>
  <c r="V334" i="18" s="1"/>
  <c r="T334" i="18"/>
  <c r="U334" i="18"/>
  <c r="I335" i="18"/>
  <c r="S335" i="18" s="1"/>
  <c r="V335" i="18" s="1"/>
  <c r="O335" i="18"/>
  <c r="P335" i="18"/>
  <c r="Q335" i="18"/>
  <c r="R335" i="18"/>
  <c r="T335" i="18"/>
  <c r="U335" i="18"/>
  <c r="I336" i="18"/>
  <c r="O336" i="18"/>
  <c r="P336" i="18"/>
  <c r="V336" i="18" s="1"/>
  <c r="Q336" i="18"/>
  <c r="R336" i="18"/>
  <c r="S336" i="18"/>
  <c r="T336" i="18"/>
  <c r="U336" i="18"/>
  <c r="I337" i="18"/>
  <c r="O337" i="18"/>
  <c r="P337" i="18"/>
  <c r="V337" i="18" s="1"/>
  <c r="Q337" i="18"/>
  <c r="R337" i="18"/>
  <c r="S337" i="18"/>
  <c r="T337" i="18"/>
  <c r="U337" i="18"/>
  <c r="I338" i="18"/>
  <c r="O338" i="18"/>
  <c r="P338" i="18"/>
  <c r="Q338" i="18"/>
  <c r="R338" i="18"/>
  <c r="S338" i="18"/>
  <c r="V338" i="18" s="1"/>
  <c r="T338" i="18"/>
  <c r="U338" i="18"/>
  <c r="O7" i="17"/>
  <c r="O8" i="16"/>
  <c r="A1" i="15"/>
  <c r="B1" i="15"/>
  <c r="C1" i="15"/>
  <c r="D1" i="15"/>
  <c r="E1" i="15"/>
  <c r="F1" i="15"/>
  <c r="G1" i="15"/>
  <c r="H1" i="15"/>
  <c r="I1" i="15"/>
  <c r="J1" i="15"/>
  <c r="K1" i="15"/>
  <c r="L1" i="15"/>
  <c r="M1" i="15"/>
  <c r="N1" i="15"/>
  <c r="O1" i="15"/>
  <c r="P1" i="15"/>
  <c r="Q1" i="15"/>
  <c r="R1" i="15"/>
  <c r="S1" i="15"/>
  <c r="T1" i="15"/>
  <c r="U1" i="15"/>
  <c r="V1" i="15"/>
  <c r="W1" i="15"/>
  <c r="X1" i="15"/>
  <c r="Y1" i="15"/>
  <c r="Z1" i="15"/>
  <c r="AA1" i="15"/>
  <c r="E8" i="15"/>
  <c r="G8" i="15"/>
  <c r="G98" i="22" l="1"/>
  <c r="I98" i="22" s="1"/>
  <c r="G82" i="22"/>
  <c r="I82" i="22" s="1"/>
  <c r="W61" i="22"/>
  <c r="AL60" i="22"/>
  <c r="O60" i="22"/>
  <c r="F60" i="22"/>
  <c r="O59" i="22"/>
  <c r="W58" i="22"/>
  <c r="R57" i="22"/>
  <c r="W56" i="22"/>
  <c r="U51" i="22"/>
  <c r="U48" i="22"/>
  <c r="AL43" i="22"/>
  <c r="W43" i="22"/>
  <c r="O43" i="22"/>
  <c r="F43" i="22"/>
  <c r="O42" i="22"/>
  <c r="L41" i="22"/>
  <c r="R38" i="22"/>
  <c r="L37" i="22"/>
  <c r="U33" i="22"/>
  <c r="F33" i="22"/>
  <c r="U29" i="22"/>
  <c r="O24" i="22"/>
  <c r="W24" i="22"/>
  <c r="AL14" i="22"/>
  <c r="I13" i="22"/>
  <c r="F62" i="22"/>
  <c r="AL61" i="22"/>
  <c r="R60" i="22"/>
  <c r="AL59" i="22"/>
  <c r="W59" i="22"/>
  <c r="AL58" i="22"/>
  <c r="F57" i="22"/>
  <c r="AL56" i="22"/>
  <c r="AL51" i="22"/>
  <c r="L47" i="22"/>
  <c r="R43" i="22"/>
  <c r="W41" i="22"/>
  <c r="U38" i="22"/>
  <c r="O37" i="22"/>
  <c r="W33" i="22"/>
  <c r="W32" i="22"/>
  <c r="R30" i="22"/>
  <c r="AL29" i="22"/>
  <c r="W26" i="22"/>
  <c r="F25" i="22"/>
  <c r="R24" i="22"/>
  <c r="W23" i="22"/>
  <c r="W22" i="22"/>
  <c r="W21" i="22"/>
  <c r="L14" i="22"/>
  <c r="W62" i="22"/>
  <c r="R61" i="22"/>
  <c r="W57" i="22"/>
  <c r="R56" i="22"/>
  <c r="W36" i="22"/>
  <c r="R34" i="22"/>
  <c r="W25" i="22"/>
  <c r="W19" i="22"/>
  <c r="W17" i="22"/>
  <c r="W15" i="22"/>
  <c r="B91" i="22"/>
  <c r="F61" i="22"/>
  <c r="W60" i="22"/>
  <c r="L59" i="22"/>
  <c r="F58" i="22"/>
  <c r="F56" i="22"/>
  <c r="W53" i="22"/>
  <c r="R51" i="22"/>
  <c r="W50" i="22"/>
  <c r="W49" i="22"/>
  <c r="L43" i="22"/>
  <c r="L42" i="22"/>
  <c r="U34" i="22"/>
  <c r="F24" i="22"/>
  <c r="W14" i="22"/>
  <c r="W13" i="22"/>
  <c r="G99" i="22"/>
  <c r="I99" i="22" s="1"/>
  <c r="F46" i="22"/>
  <c r="R46" i="22"/>
  <c r="O46" i="22"/>
  <c r="U46" i="22"/>
  <c r="L46" i="22"/>
  <c r="AL46" i="22"/>
  <c r="I97" i="22"/>
  <c r="L96" i="22"/>
  <c r="M96" i="22" s="1"/>
  <c r="N96" i="22" s="1"/>
  <c r="I95" i="22"/>
  <c r="G80" i="22"/>
  <c r="I80" i="22"/>
  <c r="AA74" i="22"/>
  <c r="I46" i="22"/>
  <c r="W46" i="22"/>
  <c r="O44" i="22"/>
  <c r="L44" i="22"/>
  <c r="F44" i="22"/>
  <c r="U44" i="22"/>
  <c r="R44" i="22"/>
  <c r="AL44" i="22"/>
  <c r="O31" i="22"/>
  <c r="L31" i="22"/>
  <c r="F31" i="22"/>
  <c r="U31" i="22"/>
  <c r="AD64" i="22"/>
  <c r="R31" i="22"/>
  <c r="B74" i="22"/>
  <c r="E77" i="22"/>
  <c r="D74" i="22"/>
  <c r="O52" i="22"/>
  <c r="L52" i="22"/>
  <c r="F52" i="22"/>
  <c r="U52" i="22"/>
  <c r="R52" i="22"/>
  <c r="AL52" i="22"/>
  <c r="D91" i="22"/>
  <c r="G94" i="22"/>
  <c r="I44" i="22"/>
  <c r="O35" i="22"/>
  <c r="L35" i="22"/>
  <c r="F35" i="22"/>
  <c r="U35" i="22"/>
  <c r="R35" i="22"/>
  <c r="I31" i="22"/>
  <c r="BC8" i="22"/>
  <c r="I66" i="22"/>
  <c r="I11" i="22" s="1"/>
  <c r="G78" i="22"/>
  <c r="I78" i="22" s="1"/>
  <c r="V67" i="22"/>
  <c r="G81" i="22"/>
  <c r="I81" i="22" s="1"/>
  <c r="E79" i="22"/>
  <c r="W42" i="22"/>
  <c r="O39" i="22"/>
  <c r="L39" i="22"/>
  <c r="F39" i="22"/>
  <c r="U39" i="22"/>
  <c r="R39" i="22"/>
  <c r="AL39" i="22"/>
  <c r="U62" i="22"/>
  <c r="I62" i="22"/>
  <c r="U61" i="22"/>
  <c r="I61" i="22"/>
  <c r="U58" i="22"/>
  <c r="I58" i="22"/>
  <c r="U57" i="22"/>
  <c r="I57" i="22"/>
  <c r="U56" i="22"/>
  <c r="I56" i="22"/>
  <c r="F55" i="22"/>
  <c r="R55" i="22"/>
  <c r="O55" i="22"/>
  <c r="I55" i="22"/>
  <c r="W55" i="22"/>
  <c r="O53" i="22"/>
  <c r="L53" i="22"/>
  <c r="I53" i="22"/>
  <c r="O49" i="22"/>
  <c r="L49" i="22"/>
  <c r="I49" i="22"/>
  <c r="F45" i="22"/>
  <c r="R45" i="22"/>
  <c r="O45" i="22"/>
  <c r="I45" i="22"/>
  <c r="W45" i="22"/>
  <c r="F40" i="22"/>
  <c r="R40" i="22"/>
  <c r="O40" i="22"/>
  <c r="I40" i="22"/>
  <c r="W40" i="22"/>
  <c r="O36" i="22"/>
  <c r="L36" i="22"/>
  <c r="I36" i="22"/>
  <c r="O32" i="22"/>
  <c r="L32" i="22"/>
  <c r="I32" i="22"/>
  <c r="F28" i="22"/>
  <c r="R28" i="22"/>
  <c r="I28" i="22"/>
  <c r="AL28" i="22"/>
  <c r="W20" i="22"/>
  <c r="L62" i="22"/>
  <c r="L61" i="22"/>
  <c r="U60" i="22"/>
  <c r="V60" i="22" s="1"/>
  <c r="X60" i="22" s="1"/>
  <c r="R59" i="22"/>
  <c r="F59" i="22"/>
  <c r="L58" i="22"/>
  <c r="L57" i="22"/>
  <c r="L56" i="22"/>
  <c r="L55" i="22"/>
  <c r="F54" i="22"/>
  <c r="R54" i="22"/>
  <c r="O54" i="22"/>
  <c r="I54" i="22"/>
  <c r="W54" i="22"/>
  <c r="AL53" i="22"/>
  <c r="R53" i="22"/>
  <c r="W51" i="22"/>
  <c r="O50" i="22"/>
  <c r="L50" i="22"/>
  <c r="I50" i="22"/>
  <c r="V50" i="22" s="1"/>
  <c r="X50" i="22" s="1"/>
  <c r="AL49" i="22"/>
  <c r="R49" i="22"/>
  <c r="F48" i="22"/>
  <c r="R48" i="22"/>
  <c r="O48" i="22"/>
  <c r="I48" i="22"/>
  <c r="W48" i="22"/>
  <c r="AL45" i="22"/>
  <c r="L45" i="22"/>
  <c r="AL40" i="22"/>
  <c r="L40" i="22"/>
  <c r="W38" i="22"/>
  <c r="R36" i="22"/>
  <c r="W34" i="22"/>
  <c r="O33" i="22"/>
  <c r="L33" i="22"/>
  <c r="I33" i="22"/>
  <c r="R32" i="22"/>
  <c r="W30" i="22"/>
  <c r="F29" i="22"/>
  <c r="V29" i="22" s="1"/>
  <c r="R29" i="22"/>
  <c r="O29" i="22"/>
  <c r="I29" i="22"/>
  <c r="W29" i="22"/>
  <c r="U28" i="22"/>
  <c r="L28" i="22"/>
  <c r="W28" i="22"/>
  <c r="U59" i="22"/>
  <c r="U55" i="22"/>
  <c r="U53" i="22"/>
  <c r="W52" i="22"/>
  <c r="O51" i="22"/>
  <c r="L51" i="22"/>
  <c r="I51" i="22"/>
  <c r="U49" i="22"/>
  <c r="F47" i="22"/>
  <c r="R47" i="22"/>
  <c r="O47" i="22"/>
  <c r="I47" i="22"/>
  <c r="W47" i="22"/>
  <c r="U45" i="22"/>
  <c r="W44" i="22"/>
  <c r="U40" i="22"/>
  <c r="W39" i="22"/>
  <c r="O38" i="22"/>
  <c r="L38" i="22"/>
  <c r="I38" i="22"/>
  <c r="V38" i="22" s="1"/>
  <c r="X38" i="22" s="1"/>
  <c r="U36" i="22"/>
  <c r="W35" i="22"/>
  <c r="O34" i="22"/>
  <c r="L34" i="22"/>
  <c r="I34" i="22"/>
  <c r="U32" i="22"/>
  <c r="W31" i="22"/>
  <c r="O30" i="22"/>
  <c r="L30" i="22"/>
  <c r="I30" i="22"/>
  <c r="O28" i="22"/>
  <c r="U43" i="22"/>
  <c r="V43" i="22" s="1"/>
  <c r="X43" i="22" s="1"/>
  <c r="R42" i="22"/>
  <c r="F42" i="22"/>
  <c r="U41" i="22"/>
  <c r="V41" i="22" s="1"/>
  <c r="X41" i="22" s="1"/>
  <c r="R37" i="22"/>
  <c r="F37" i="22"/>
  <c r="W27" i="22"/>
  <c r="AW23" i="22"/>
  <c r="AX23" i="22"/>
  <c r="W18" i="22"/>
  <c r="W16" i="22"/>
  <c r="U42" i="22"/>
  <c r="U37" i="22"/>
  <c r="F13" i="22"/>
  <c r="R13" i="22"/>
  <c r="O13" i="22"/>
  <c r="AD10" i="22"/>
  <c r="AJ44" i="22" s="1"/>
  <c r="L13" i="22"/>
  <c r="O27" i="22"/>
  <c r="O26" i="22"/>
  <c r="U25" i="22"/>
  <c r="I25" i="22"/>
  <c r="V25" i="22" s="1"/>
  <c r="X25" i="22" s="1"/>
  <c r="U24" i="22"/>
  <c r="I24" i="22"/>
  <c r="I64" i="22" s="1"/>
  <c r="H66" i="22" s="1"/>
  <c r="H11" i="22" s="1"/>
  <c r="F23" i="22"/>
  <c r="O22" i="22"/>
  <c r="O21" i="22"/>
  <c r="O20" i="22"/>
  <c r="O19" i="22"/>
  <c r="O18" i="22"/>
  <c r="O17" i="22"/>
  <c r="O16" i="22"/>
  <c r="O15" i="22"/>
  <c r="O14" i="22"/>
  <c r="BA12" i="22"/>
  <c r="BA10" i="22"/>
  <c r="R27" i="22"/>
  <c r="F27" i="22"/>
  <c r="R26" i="22"/>
  <c r="F26" i="22"/>
  <c r="U23" i="22"/>
  <c r="R22" i="22"/>
  <c r="F22" i="22"/>
  <c r="R21" i="22"/>
  <c r="F21" i="22"/>
  <c r="R20" i="22"/>
  <c r="F20" i="22"/>
  <c r="R19" i="22"/>
  <c r="F19" i="22"/>
  <c r="R18" i="22"/>
  <c r="F18" i="22"/>
  <c r="R17" i="22"/>
  <c r="F17" i="22"/>
  <c r="R16" i="22"/>
  <c r="F16" i="22"/>
  <c r="R15" i="22"/>
  <c r="F15" i="22"/>
  <c r="R14" i="22"/>
  <c r="F14" i="22"/>
  <c r="BA9" i="22"/>
  <c r="BA7" i="22"/>
  <c r="U27" i="22"/>
  <c r="U26" i="22"/>
  <c r="U22" i="22"/>
  <c r="U21" i="22"/>
  <c r="U20" i="22"/>
  <c r="U19" i="22"/>
  <c r="U18" i="22"/>
  <c r="U17" i="22"/>
  <c r="U16" i="22"/>
  <c r="U15" i="22"/>
  <c r="U14" i="22"/>
  <c r="G98" i="21"/>
  <c r="I98" i="21" s="1"/>
  <c r="L52" i="21"/>
  <c r="L50" i="21"/>
  <c r="W49" i="21"/>
  <c r="R42" i="21"/>
  <c r="R40" i="21"/>
  <c r="W27" i="21"/>
  <c r="W19" i="21"/>
  <c r="B74" i="21"/>
  <c r="L58" i="21"/>
  <c r="L57" i="21"/>
  <c r="L56" i="21"/>
  <c r="L55" i="21"/>
  <c r="L54" i="21"/>
  <c r="O52" i="21"/>
  <c r="AL48" i="21"/>
  <c r="O48" i="21"/>
  <c r="O47" i="21"/>
  <c r="R46" i="21"/>
  <c r="L43" i="21"/>
  <c r="U42" i="21"/>
  <c r="W39" i="21"/>
  <c r="L39" i="21"/>
  <c r="AL38" i="21"/>
  <c r="W38" i="21"/>
  <c r="AL37" i="21"/>
  <c r="L36" i="21"/>
  <c r="AL35" i="21"/>
  <c r="L33" i="21"/>
  <c r="AL32" i="21"/>
  <c r="W32" i="21"/>
  <c r="L31" i="21"/>
  <c r="AL30" i="21"/>
  <c r="O30" i="21"/>
  <c r="U28" i="21"/>
  <c r="L28" i="21"/>
  <c r="F25" i="21"/>
  <c r="R23" i="21"/>
  <c r="I21" i="21"/>
  <c r="U20" i="21"/>
  <c r="L20" i="21"/>
  <c r="L16" i="21"/>
  <c r="L14" i="21"/>
  <c r="BA12" i="21"/>
  <c r="BA11" i="21"/>
  <c r="G68" i="21"/>
  <c r="V67" i="21" s="1"/>
  <c r="W62" i="21"/>
  <c r="W61" i="21"/>
  <c r="L60" i="21"/>
  <c r="W59" i="21"/>
  <c r="AL58" i="21"/>
  <c r="O58" i="21"/>
  <c r="F58" i="21"/>
  <c r="AL57" i="21"/>
  <c r="O57" i="21"/>
  <c r="F57" i="21"/>
  <c r="AL56" i="21"/>
  <c r="O56" i="21"/>
  <c r="F56" i="21"/>
  <c r="AL55" i="21"/>
  <c r="O55" i="21"/>
  <c r="F55" i="21"/>
  <c r="V55" i="21" s="1"/>
  <c r="X55" i="21" s="1"/>
  <c r="AL54" i="21"/>
  <c r="O54" i="21"/>
  <c r="F54" i="21"/>
  <c r="AL52" i="21"/>
  <c r="W52" i="21"/>
  <c r="L51" i="21"/>
  <c r="AL50" i="21"/>
  <c r="L49" i="21"/>
  <c r="R47" i="21"/>
  <c r="W46" i="21"/>
  <c r="W45" i="21"/>
  <c r="AL42" i="21"/>
  <c r="AL40" i="21"/>
  <c r="F40" i="21"/>
  <c r="AL33" i="21"/>
  <c r="O33" i="21"/>
  <c r="W26" i="21"/>
  <c r="L21" i="21"/>
  <c r="O16" i="21"/>
  <c r="O14" i="21"/>
  <c r="O66" i="21"/>
  <c r="O11" i="21" s="1"/>
  <c r="O60" i="21"/>
  <c r="R58" i="21"/>
  <c r="W58" i="21"/>
  <c r="R57" i="21"/>
  <c r="W57" i="21"/>
  <c r="R56" i="21"/>
  <c r="W56" i="21"/>
  <c r="R55" i="21"/>
  <c r="W55" i="21"/>
  <c r="R54" i="21"/>
  <c r="W54" i="21"/>
  <c r="O51" i="21"/>
  <c r="O49" i="21"/>
  <c r="W48" i="21"/>
  <c r="F46" i="21"/>
  <c r="L44" i="21"/>
  <c r="O40" i="21"/>
  <c r="L38" i="21"/>
  <c r="W36" i="21"/>
  <c r="L35" i="21"/>
  <c r="L32" i="21"/>
  <c r="L29" i="21"/>
  <c r="I22" i="21"/>
  <c r="W22" i="21"/>
  <c r="W21" i="21"/>
  <c r="W18" i="21"/>
  <c r="L15" i="21"/>
  <c r="D91" i="21"/>
  <c r="I99" i="21"/>
  <c r="G99" i="21"/>
  <c r="G81" i="21"/>
  <c r="I81" i="21" s="1"/>
  <c r="G80" i="21"/>
  <c r="I80" i="21" s="1"/>
  <c r="G96" i="21"/>
  <c r="I96" i="21" s="1"/>
  <c r="I95" i="21"/>
  <c r="G95" i="21"/>
  <c r="G82" i="21"/>
  <c r="I82" i="21" s="1"/>
  <c r="AH72" i="21"/>
  <c r="D74" i="21"/>
  <c r="AW23" i="21"/>
  <c r="AW25" i="21" s="1"/>
  <c r="AX23" i="21"/>
  <c r="I97" i="21"/>
  <c r="B91" i="21"/>
  <c r="AA75" i="21"/>
  <c r="AA76" i="21" s="1"/>
  <c r="I94" i="21"/>
  <c r="I79" i="21"/>
  <c r="I78" i="21"/>
  <c r="F19" i="21"/>
  <c r="R19" i="21"/>
  <c r="L19" i="21"/>
  <c r="U19" i="21"/>
  <c r="I19" i="21"/>
  <c r="O19" i="21"/>
  <c r="AD64" i="21"/>
  <c r="E77" i="21"/>
  <c r="W35" i="21"/>
  <c r="W31" i="21"/>
  <c r="F27" i="21"/>
  <c r="R27" i="21"/>
  <c r="L27" i="21"/>
  <c r="U27" i="21"/>
  <c r="I27" i="21"/>
  <c r="O27" i="21"/>
  <c r="U62" i="21"/>
  <c r="V62" i="21" s="1"/>
  <c r="X62" i="21" s="1"/>
  <c r="U61" i="21"/>
  <c r="V61" i="21" s="1"/>
  <c r="X61" i="21" s="1"/>
  <c r="R60" i="21"/>
  <c r="F60" i="21"/>
  <c r="O59" i="21"/>
  <c r="U58" i="21"/>
  <c r="V58" i="21" s="1"/>
  <c r="U57" i="21"/>
  <c r="U56" i="21"/>
  <c r="U55" i="21"/>
  <c r="U54" i="21"/>
  <c r="V54" i="21" s="1"/>
  <c r="R53" i="21"/>
  <c r="F53" i="21"/>
  <c r="R52" i="21"/>
  <c r="F52" i="21"/>
  <c r="R51" i="21"/>
  <c r="F51" i="21"/>
  <c r="W42" i="21"/>
  <c r="U37" i="21"/>
  <c r="F28" i="21"/>
  <c r="R28" i="21"/>
  <c r="I28" i="21"/>
  <c r="AL28" i="21"/>
  <c r="AL25" i="21"/>
  <c r="F20" i="21"/>
  <c r="R20" i="21"/>
  <c r="I20" i="21"/>
  <c r="W13" i="21"/>
  <c r="U60" i="21"/>
  <c r="R59" i="21"/>
  <c r="F59" i="21"/>
  <c r="U53" i="21"/>
  <c r="U52" i="21"/>
  <c r="U51" i="21"/>
  <c r="I50" i="21"/>
  <c r="U50" i="21"/>
  <c r="F50" i="21"/>
  <c r="R50" i="21"/>
  <c r="O42" i="21"/>
  <c r="L42" i="21"/>
  <c r="I42" i="21"/>
  <c r="W37" i="21"/>
  <c r="W28" i="21"/>
  <c r="W24" i="21"/>
  <c r="W20" i="21"/>
  <c r="F13" i="21"/>
  <c r="R13" i="21"/>
  <c r="O13" i="21"/>
  <c r="AD10" i="21"/>
  <c r="AJ28" i="21" s="1"/>
  <c r="U13" i="21"/>
  <c r="L13" i="21"/>
  <c r="U59" i="21"/>
  <c r="F43" i="21"/>
  <c r="R43" i="21"/>
  <c r="O43" i="21"/>
  <c r="I43" i="21"/>
  <c r="W43" i="21"/>
  <c r="F41" i="21"/>
  <c r="R41" i="21"/>
  <c r="O41" i="21"/>
  <c r="I41" i="21"/>
  <c r="W41" i="21"/>
  <c r="O37" i="21"/>
  <c r="L37" i="21"/>
  <c r="I37" i="21"/>
  <c r="L25" i="21"/>
  <c r="AJ25" i="21"/>
  <c r="U25" i="21"/>
  <c r="I25" i="21"/>
  <c r="V25" i="21" s="1"/>
  <c r="X25" i="21" s="1"/>
  <c r="R25" i="21"/>
  <c r="L24" i="21"/>
  <c r="I24" i="21"/>
  <c r="R24" i="21"/>
  <c r="F24" i="21"/>
  <c r="V24" i="21" s="1"/>
  <c r="X24" i="21" s="1"/>
  <c r="O24" i="21"/>
  <c r="R49" i="21"/>
  <c r="F49" i="21"/>
  <c r="U48" i="21"/>
  <c r="I48" i="21"/>
  <c r="U47" i="21"/>
  <c r="I47" i="21"/>
  <c r="U46" i="21"/>
  <c r="I46" i="21"/>
  <c r="U45" i="21"/>
  <c r="V45" i="21" s="1"/>
  <c r="X45" i="21" s="1"/>
  <c r="R44" i="21"/>
  <c r="F44" i="21"/>
  <c r="U40" i="21"/>
  <c r="I40" i="21"/>
  <c r="V40" i="21" s="1"/>
  <c r="X40" i="21" s="1"/>
  <c r="R39" i="21"/>
  <c r="F39" i="21"/>
  <c r="R38" i="21"/>
  <c r="F38" i="21"/>
  <c r="V38" i="21" s="1"/>
  <c r="X38" i="21" s="1"/>
  <c r="R36" i="21"/>
  <c r="F36" i="21"/>
  <c r="R35" i="21"/>
  <c r="F35" i="21"/>
  <c r="R34" i="21"/>
  <c r="F34" i="21"/>
  <c r="R33" i="21"/>
  <c r="F33" i="21"/>
  <c r="R32" i="21"/>
  <c r="F32" i="21"/>
  <c r="R31" i="21"/>
  <c r="F31" i="21"/>
  <c r="R30" i="21"/>
  <c r="F30" i="21"/>
  <c r="R29" i="21"/>
  <c r="F29" i="21"/>
  <c r="V29" i="21" s="1"/>
  <c r="X29" i="21" s="1"/>
  <c r="U26" i="21"/>
  <c r="U22" i="21"/>
  <c r="F21" i="21"/>
  <c r="R21" i="21"/>
  <c r="O21" i="21"/>
  <c r="I17" i="21"/>
  <c r="I64" i="21" s="1"/>
  <c r="H66" i="21" s="1"/>
  <c r="H11" i="21" s="1"/>
  <c r="F17" i="21"/>
  <c r="R17" i="21"/>
  <c r="O17" i="21"/>
  <c r="U49" i="21"/>
  <c r="U44" i="21"/>
  <c r="U39" i="21"/>
  <c r="U38" i="21"/>
  <c r="U36" i="21"/>
  <c r="U35" i="21"/>
  <c r="U34" i="21"/>
  <c r="U33" i="21"/>
  <c r="U32" i="21"/>
  <c r="U31" i="21"/>
  <c r="U30" i="21"/>
  <c r="U29" i="21"/>
  <c r="F26" i="21"/>
  <c r="R26" i="21"/>
  <c r="O26" i="21"/>
  <c r="F22" i="21"/>
  <c r="R22" i="21"/>
  <c r="O22" i="21"/>
  <c r="F18" i="21"/>
  <c r="R18" i="21"/>
  <c r="O18" i="21"/>
  <c r="AL17" i="21"/>
  <c r="U23" i="21"/>
  <c r="V23" i="21" s="1"/>
  <c r="X23" i="21" s="1"/>
  <c r="R16" i="21"/>
  <c r="F16" i="21"/>
  <c r="R15" i="21"/>
  <c r="F15" i="21"/>
  <c r="R14" i="21"/>
  <c r="F14" i="21"/>
  <c r="BA9" i="21"/>
  <c r="BA7" i="21"/>
  <c r="U16" i="21"/>
  <c r="U15" i="21"/>
  <c r="U14" i="21"/>
  <c r="H44" i="20"/>
  <c r="P44" i="20"/>
  <c r="P30" i="20"/>
  <c r="H45" i="20"/>
  <c r="J37" i="20"/>
  <c r="H24" i="20"/>
  <c r="AA25" i="20"/>
  <c r="AA27" i="20" s="1"/>
  <c r="AA29" i="20" s="1"/>
  <c r="L38" i="20"/>
  <c r="H21" i="20"/>
  <c r="AE18" i="20"/>
  <c r="J52" i="20"/>
  <c r="H19" i="20"/>
  <c r="E68" i="20"/>
  <c r="U48" i="20"/>
  <c r="B60" i="20"/>
  <c r="D60" i="20"/>
  <c r="E63" i="20"/>
  <c r="U49" i="20"/>
  <c r="U47" i="20"/>
  <c r="T67" i="20"/>
  <c r="G65" i="20"/>
  <c r="T65" i="20" s="1"/>
  <c r="U50" i="20"/>
  <c r="E54" i="20"/>
  <c r="B9" i="20" s="1"/>
  <c r="T64" i="20"/>
  <c r="U51" i="20"/>
  <c r="E66" i="20"/>
  <c r="J43" i="20"/>
  <c r="N43" i="20"/>
  <c r="R43" i="20"/>
  <c r="H40" i="20"/>
  <c r="L40" i="20"/>
  <c r="P40" i="20"/>
  <c r="J40" i="20"/>
  <c r="N40" i="20"/>
  <c r="R40" i="20"/>
  <c r="U35" i="20"/>
  <c r="P52" i="20"/>
  <c r="L52" i="20"/>
  <c r="H52" i="20"/>
  <c r="J45" i="20"/>
  <c r="N45" i="20"/>
  <c r="U42" i="20"/>
  <c r="J39" i="20"/>
  <c r="N39" i="20"/>
  <c r="R39" i="20"/>
  <c r="U36" i="20"/>
  <c r="H31" i="20"/>
  <c r="N31" i="20"/>
  <c r="J31" i="20"/>
  <c r="P31" i="20"/>
  <c r="U46" i="20"/>
  <c r="R45" i="20"/>
  <c r="L45" i="20"/>
  <c r="P43" i="20"/>
  <c r="H43" i="20"/>
  <c r="P39" i="20"/>
  <c r="J38" i="20"/>
  <c r="N38" i="20"/>
  <c r="R38" i="20"/>
  <c r="U34" i="20"/>
  <c r="R31" i="20"/>
  <c r="L43" i="20"/>
  <c r="U33" i="20"/>
  <c r="R52" i="20"/>
  <c r="N52" i="20"/>
  <c r="J44" i="20"/>
  <c r="N44" i="20"/>
  <c r="R44" i="20"/>
  <c r="L44" i="20"/>
  <c r="U41" i="20"/>
  <c r="L39" i="20"/>
  <c r="P38" i="20"/>
  <c r="L31" i="20"/>
  <c r="U29" i="20"/>
  <c r="U26" i="20"/>
  <c r="P37" i="20"/>
  <c r="L37" i="20"/>
  <c r="H37" i="20"/>
  <c r="H30" i="20"/>
  <c r="L30" i="20"/>
  <c r="U27" i="20"/>
  <c r="J22" i="20"/>
  <c r="N22" i="20"/>
  <c r="R22" i="20"/>
  <c r="U32" i="20"/>
  <c r="N30" i="20"/>
  <c r="U25" i="20"/>
  <c r="P22" i="20"/>
  <c r="R37" i="20"/>
  <c r="N37" i="20"/>
  <c r="R30" i="20"/>
  <c r="U28" i="20"/>
  <c r="L22" i="20"/>
  <c r="AJ18" i="20"/>
  <c r="AF10" i="20"/>
  <c r="F16" i="20"/>
  <c r="R24" i="20"/>
  <c r="N24" i="20"/>
  <c r="J24" i="20"/>
  <c r="R21" i="20"/>
  <c r="N21" i="20"/>
  <c r="J21" i="20"/>
  <c r="R19" i="20"/>
  <c r="N19" i="20"/>
  <c r="J19" i="20"/>
  <c r="P24" i="20"/>
  <c r="L24" i="20"/>
  <c r="P21" i="20"/>
  <c r="L21" i="20"/>
  <c r="P19" i="20"/>
  <c r="L19" i="20"/>
  <c r="H113" i="19"/>
  <c r="I113" i="19" s="1"/>
  <c r="K119" i="19"/>
  <c r="M119" i="19"/>
  <c r="N119" i="19"/>
  <c r="O119" i="19" s="1"/>
  <c r="H133" i="19"/>
  <c r="D130" i="19"/>
  <c r="L107" i="19"/>
  <c r="M107" i="19"/>
  <c r="Y8" i="19"/>
  <c r="Z8" i="19"/>
  <c r="H117" i="19"/>
  <c r="J117" i="19"/>
  <c r="F64" i="19"/>
  <c r="K118" i="19"/>
  <c r="M118" i="19"/>
  <c r="N118" i="19" s="1"/>
  <c r="O118" i="19" s="1"/>
  <c r="M108" i="19"/>
  <c r="J137" i="19"/>
  <c r="J138" i="19"/>
  <c r="H137" i="19"/>
  <c r="J136" i="19"/>
  <c r="H135" i="19"/>
  <c r="J135" i="19" s="1"/>
  <c r="J134" i="19"/>
  <c r="H121" i="19"/>
  <c r="J121" i="19" s="1"/>
  <c r="N40" i="19"/>
  <c r="N28" i="19"/>
  <c r="F10" i="19"/>
  <c r="L41" i="19" s="1"/>
  <c r="J120" i="19"/>
  <c r="J116" i="19"/>
  <c r="C75" i="19"/>
  <c r="J19" i="18"/>
  <c r="L19" i="18"/>
  <c r="M19" i="18"/>
  <c r="N19" i="18" s="1"/>
  <c r="L16" i="18"/>
  <c r="M16" i="18" s="1"/>
  <c r="N16" i="18" s="1"/>
  <c r="V171" i="18"/>
  <c r="V167" i="18"/>
  <c r="V163" i="18"/>
  <c r="G128" i="18"/>
  <c r="H128" i="18"/>
  <c r="I128" i="18"/>
  <c r="G126" i="18"/>
  <c r="G124" i="18"/>
  <c r="H124" i="18"/>
  <c r="I124" i="18" s="1"/>
  <c r="M98" i="18"/>
  <c r="L104" i="18"/>
  <c r="F88" i="18"/>
  <c r="K88" i="18" s="1"/>
  <c r="L101" i="18"/>
  <c r="I88" i="18"/>
  <c r="M101" i="18"/>
  <c r="N101" i="18" s="1"/>
  <c r="O101" i="18" s="1"/>
  <c r="H71" i="18"/>
  <c r="I71" i="18" s="1"/>
  <c r="G73" i="18"/>
  <c r="H73" i="18"/>
  <c r="I73" i="18" s="1"/>
  <c r="J73" i="18" s="1"/>
  <c r="G17" i="18"/>
  <c r="G23" i="18" s="1"/>
  <c r="I17" i="18"/>
  <c r="J14" i="18"/>
  <c r="L14" i="18"/>
  <c r="M14" i="18" s="1"/>
  <c r="N14" i="18" s="1"/>
  <c r="N21" i="18"/>
  <c r="F99" i="18"/>
  <c r="H98" i="18"/>
  <c r="I98" i="18" s="1"/>
  <c r="M129" i="18"/>
  <c r="I116" i="18"/>
  <c r="K116" i="18"/>
  <c r="N103" i="18"/>
  <c r="O103" i="18" s="1"/>
  <c r="C101" i="18"/>
  <c r="F101" i="18" s="1"/>
  <c r="G98" i="18"/>
  <c r="G103" i="18"/>
  <c r="H103" i="18"/>
  <c r="H100" i="18"/>
  <c r="I100" i="18" s="1"/>
  <c r="J100" i="18" s="1"/>
  <c r="H75" i="18"/>
  <c r="I75" i="18" s="1"/>
  <c r="J75" i="18" s="1"/>
  <c r="N78" i="18"/>
  <c r="O78" i="18" s="1"/>
  <c r="I74" i="18"/>
  <c r="J74" i="18" s="1"/>
  <c r="G74" i="18"/>
  <c r="I60" i="18"/>
  <c r="J18" i="18"/>
  <c r="L18" i="18"/>
  <c r="J16" i="18"/>
  <c r="J15" i="18"/>
  <c r="L15" i="18"/>
  <c r="M15" i="18" s="1"/>
  <c r="N15" i="18" s="1"/>
  <c r="E11" i="18"/>
  <c r="G11" i="18" s="1"/>
  <c r="J21" i="18"/>
  <c r="V176" i="18"/>
  <c r="H127" i="18"/>
  <c r="I127" i="18" s="1"/>
  <c r="G125" i="18"/>
  <c r="G129" i="18" s="1"/>
  <c r="H125" i="18"/>
  <c r="I125" i="18" s="1"/>
  <c r="H123" i="18"/>
  <c r="I123" i="18" s="1"/>
  <c r="I103" i="18"/>
  <c r="J103" i="18" s="1"/>
  <c r="H102" i="18"/>
  <c r="I102" i="18" s="1"/>
  <c r="J102" i="18" s="1"/>
  <c r="G99" i="18"/>
  <c r="H99" i="18"/>
  <c r="N72" i="18"/>
  <c r="O72" i="18" s="1"/>
  <c r="M78" i="18"/>
  <c r="I72" i="18"/>
  <c r="J72" i="18" s="1"/>
  <c r="O36" i="18"/>
  <c r="P36" i="18" s="1"/>
  <c r="C91" i="18"/>
  <c r="F90" i="18"/>
  <c r="K90" i="18" s="1"/>
  <c r="F86" i="18"/>
  <c r="K86" i="18" s="1"/>
  <c r="K91" i="18" s="1"/>
  <c r="P29" i="18"/>
  <c r="M128" i="18"/>
  <c r="N128" i="18" s="1"/>
  <c r="O128" i="18" s="1"/>
  <c r="N127" i="18"/>
  <c r="O127" i="18" s="1"/>
  <c r="C126" i="18"/>
  <c r="L125" i="18"/>
  <c r="L129" i="18" s="1"/>
  <c r="M124" i="18"/>
  <c r="N124" i="18" s="1"/>
  <c r="O124" i="18" s="1"/>
  <c r="N123" i="18"/>
  <c r="G71" i="18"/>
  <c r="F78" i="18" s="1"/>
  <c r="L8" i="15"/>
  <c r="N8" i="15"/>
  <c r="J82" i="22" l="1"/>
  <c r="L82" i="22"/>
  <c r="M82" i="22" s="1"/>
  <c r="N82" i="22" s="1"/>
  <c r="J98" i="22"/>
  <c r="L98" i="22"/>
  <c r="M98" i="22" s="1"/>
  <c r="N98" i="22" s="1"/>
  <c r="AJ34" i="22"/>
  <c r="X29" i="22"/>
  <c r="AJ57" i="22"/>
  <c r="AW25" i="22"/>
  <c r="V48" i="22"/>
  <c r="X48" i="22" s="1"/>
  <c r="AJ50" i="22"/>
  <c r="AJ55" i="22"/>
  <c r="V36" i="22"/>
  <c r="X36" i="22" s="1"/>
  <c r="AJ24" i="22"/>
  <c r="AJ13" i="22"/>
  <c r="V30" i="22"/>
  <c r="X30" i="22" s="1"/>
  <c r="V51" i="22"/>
  <c r="X51" i="22" s="1"/>
  <c r="AJ61" i="22"/>
  <c r="AJ28" i="22"/>
  <c r="V32" i="22"/>
  <c r="X32" i="22" s="1"/>
  <c r="V53" i="22"/>
  <c r="X53" i="22" s="1"/>
  <c r="V44" i="22"/>
  <c r="V14" i="22"/>
  <c r="X14" i="22" s="1"/>
  <c r="V16" i="22"/>
  <c r="X16" i="22" s="1"/>
  <c r="V18" i="22"/>
  <c r="X18" i="22" s="1"/>
  <c r="V20" i="22"/>
  <c r="X20" i="22" s="1"/>
  <c r="V22" i="22"/>
  <c r="X22" i="22" s="1"/>
  <c r="AJ25" i="22"/>
  <c r="V23" i="22"/>
  <c r="X23" i="22" s="1"/>
  <c r="L64" i="22"/>
  <c r="K66" i="22" s="1"/>
  <c r="K11" i="22" s="1"/>
  <c r="V37" i="22"/>
  <c r="X37" i="22" s="1"/>
  <c r="V33" i="22"/>
  <c r="X33" i="22" s="1"/>
  <c r="V49" i="22"/>
  <c r="X49" i="22" s="1"/>
  <c r="J99" i="22"/>
  <c r="L99" i="22"/>
  <c r="M99" i="22"/>
  <c r="N99" i="22" s="1"/>
  <c r="L78" i="22"/>
  <c r="M78" i="22"/>
  <c r="N78" i="22" s="1"/>
  <c r="J78" i="22"/>
  <c r="I94" i="22"/>
  <c r="G102" i="22"/>
  <c r="J80" i="22"/>
  <c r="L80" i="22"/>
  <c r="M80" i="22" s="1"/>
  <c r="N80" i="22" s="1"/>
  <c r="V26" i="22"/>
  <c r="X26" i="22" s="1"/>
  <c r="BC10" i="22"/>
  <c r="O66" i="22"/>
  <c r="O11" i="22" s="1"/>
  <c r="AH13" i="22"/>
  <c r="AJ23" i="22"/>
  <c r="AC10" i="22"/>
  <c r="AS11" i="22" s="1"/>
  <c r="AH14" i="22"/>
  <c r="AH15" i="22"/>
  <c r="AH16" i="22"/>
  <c r="AH17" i="22"/>
  <c r="AH18" i="22"/>
  <c r="AH19" i="22"/>
  <c r="AN19" i="22" s="1"/>
  <c r="AH20" i="22"/>
  <c r="AH21" i="22"/>
  <c r="AH22" i="22"/>
  <c r="AN22" i="22" s="1"/>
  <c r="AH26" i="22"/>
  <c r="AH27" i="22"/>
  <c r="AN27" i="22" s="1"/>
  <c r="AH28" i="22"/>
  <c r="AN28" i="22" s="1"/>
  <c r="AH23" i="22"/>
  <c r="AN23" i="22" s="1"/>
  <c r="AJ14" i="22"/>
  <c r="AN14" i="22" s="1"/>
  <c r="AJ21" i="22"/>
  <c r="AH40" i="22"/>
  <c r="AJ41" i="22"/>
  <c r="AJ43" i="22"/>
  <c r="AH45" i="22"/>
  <c r="AN45" i="22" s="1"/>
  <c r="AH46" i="22"/>
  <c r="AN46" i="22" s="1"/>
  <c r="AH47" i="22"/>
  <c r="AN47" i="22" s="1"/>
  <c r="AH48" i="22"/>
  <c r="AN48" i="22" s="1"/>
  <c r="AH54" i="22"/>
  <c r="AN54" i="22" s="1"/>
  <c r="AJ16" i="22"/>
  <c r="AJ18" i="22"/>
  <c r="AJ27" i="22"/>
  <c r="AH37" i="22"/>
  <c r="AH42" i="22"/>
  <c r="AN42" i="22" s="1"/>
  <c r="AF10" i="22"/>
  <c r="AG10" i="22" s="1"/>
  <c r="AJ22" i="22"/>
  <c r="AH31" i="22"/>
  <c r="AH35" i="22"/>
  <c r="AH39" i="22"/>
  <c r="AH41" i="22"/>
  <c r="AH43" i="22"/>
  <c r="AN43" i="22" s="1"/>
  <c r="AH44" i="22"/>
  <c r="AN44" i="22" s="1"/>
  <c r="AH52" i="22"/>
  <c r="AN52" i="22" s="1"/>
  <c r="AJ60" i="22"/>
  <c r="AJ17" i="22"/>
  <c r="AH25" i="22"/>
  <c r="AH30" i="22"/>
  <c r="AN30" i="22" s="1"/>
  <c r="AH34" i="22"/>
  <c r="AH38" i="22"/>
  <c r="AJ42" i="22"/>
  <c r="AH51" i="22"/>
  <c r="AN51" i="22" s="1"/>
  <c r="AH59" i="22"/>
  <c r="AN59" i="22" s="1"/>
  <c r="AS7" i="22"/>
  <c r="AJ20" i="22"/>
  <c r="AH24" i="22"/>
  <c r="AH29" i="22"/>
  <c r="AN29" i="22" s="1"/>
  <c r="AH33" i="22"/>
  <c r="AJ47" i="22"/>
  <c r="AH50" i="22"/>
  <c r="AN50" i="22" s="1"/>
  <c r="AH60" i="22"/>
  <c r="AN60" i="22" s="1"/>
  <c r="AH32" i="22"/>
  <c r="AJ37" i="22"/>
  <c r="AH58" i="22"/>
  <c r="AN58" i="22" s="1"/>
  <c r="AJ59" i="22"/>
  <c r="AJ48" i="22"/>
  <c r="AH49" i="22"/>
  <c r="AN49" i="22" s="1"/>
  <c r="AH53" i="22"/>
  <c r="AN53" i="22" s="1"/>
  <c r="AJ54" i="22"/>
  <c r="AH55" i="22"/>
  <c r="AN55" i="22" s="1"/>
  <c r="AJ15" i="22"/>
  <c r="AJ26" i="22"/>
  <c r="AH56" i="22"/>
  <c r="AN56" i="22" s="1"/>
  <c r="AH61" i="22"/>
  <c r="AN61" i="22" s="1"/>
  <c r="AJ19" i="22"/>
  <c r="AH36" i="22"/>
  <c r="AH57" i="22"/>
  <c r="AN57" i="22" s="1"/>
  <c r="AH62" i="22"/>
  <c r="AN62" i="22" s="1"/>
  <c r="AT25" i="22"/>
  <c r="AX36" i="22"/>
  <c r="AJ30" i="22"/>
  <c r="AJ38" i="22"/>
  <c r="AJ45" i="22"/>
  <c r="AJ51" i="22"/>
  <c r="AJ29" i="22"/>
  <c r="AJ33" i="22"/>
  <c r="AJ62" i="22"/>
  <c r="AJ32" i="22"/>
  <c r="AJ36" i="22"/>
  <c r="V45" i="22"/>
  <c r="X45" i="22" s="1"/>
  <c r="V57" i="22"/>
  <c r="X57" i="22" s="1"/>
  <c r="V61" i="22"/>
  <c r="X61" i="22" s="1"/>
  <c r="V39" i="22"/>
  <c r="X39" i="22" s="1"/>
  <c r="V35" i="22"/>
  <c r="X35" i="22" s="1"/>
  <c r="J101" i="22"/>
  <c r="E91" i="22"/>
  <c r="G91" i="22" s="1"/>
  <c r="V52" i="22"/>
  <c r="X52" i="22" s="1"/>
  <c r="E74" i="22"/>
  <c r="G74" i="22" s="1"/>
  <c r="AJ31" i="22"/>
  <c r="AJ46" i="22"/>
  <c r="V46" i="22"/>
  <c r="X46" i="22" s="1"/>
  <c r="AL25" i="22"/>
  <c r="AN25" i="22"/>
  <c r="V13" i="22"/>
  <c r="F64" i="22"/>
  <c r="V40" i="22"/>
  <c r="X40" i="22" s="1"/>
  <c r="J81" i="22"/>
  <c r="L81" i="22"/>
  <c r="M81" i="22" s="1"/>
  <c r="N81" i="22" s="1"/>
  <c r="V31" i="22"/>
  <c r="X31" i="22" s="1"/>
  <c r="L97" i="22"/>
  <c r="M97" i="22" s="1"/>
  <c r="N97" i="22" s="1"/>
  <c r="J97" i="22"/>
  <c r="BA13" i="22"/>
  <c r="V6" i="22" s="1"/>
  <c r="BC7" i="22"/>
  <c r="F66" i="22"/>
  <c r="V15" i="22"/>
  <c r="X15" i="22" s="1"/>
  <c r="V17" i="22"/>
  <c r="X17" i="22" s="1"/>
  <c r="V19" i="22"/>
  <c r="X19" i="22" s="1"/>
  <c r="V21" i="22"/>
  <c r="X21" i="22" s="1"/>
  <c r="BC12" i="22"/>
  <c r="U66" i="22"/>
  <c r="U11" i="22" s="1"/>
  <c r="O64" i="22"/>
  <c r="N66" i="22" s="1"/>
  <c r="N11" i="22" s="1"/>
  <c r="V24" i="22"/>
  <c r="X24" i="22" s="1"/>
  <c r="V34" i="22"/>
  <c r="X34" i="22" s="1"/>
  <c r="AJ40" i="22"/>
  <c r="AN40" i="22" s="1"/>
  <c r="V47" i="22"/>
  <c r="X47" i="22" s="1"/>
  <c r="V54" i="22"/>
  <c r="X54" i="22" s="1"/>
  <c r="AJ56" i="22"/>
  <c r="AJ58" i="22"/>
  <c r="V55" i="22"/>
  <c r="X55" i="22" s="1"/>
  <c r="AJ39" i="22"/>
  <c r="AN39" i="22" s="1"/>
  <c r="AJ35" i="22"/>
  <c r="AJ52" i="22"/>
  <c r="G77" i="22"/>
  <c r="I77" i="22" s="1"/>
  <c r="AA75" i="22"/>
  <c r="J95" i="22"/>
  <c r="L95" i="22"/>
  <c r="M95" i="22" s="1"/>
  <c r="N95" i="22" s="1"/>
  <c r="U64" i="22"/>
  <c r="T66" i="22" s="1"/>
  <c r="T11" i="22" s="1"/>
  <c r="L66" i="22"/>
  <c r="L11" i="22" s="1"/>
  <c r="BC9" i="22"/>
  <c r="AL24" i="22"/>
  <c r="AN24" i="22"/>
  <c r="V27" i="22"/>
  <c r="X27" i="22" s="1"/>
  <c r="AN13" i="22"/>
  <c r="AL13" i="22"/>
  <c r="R64" i="22"/>
  <c r="Q66" i="22" s="1"/>
  <c r="Q11" i="22" s="1"/>
  <c r="V42" i="22"/>
  <c r="X42" i="22" s="1"/>
  <c r="AN34" i="22"/>
  <c r="AL34" i="22"/>
  <c r="V59" i="22"/>
  <c r="X59" i="22" s="1"/>
  <c r="V28" i="22"/>
  <c r="X28" i="22" s="1"/>
  <c r="AJ49" i="22"/>
  <c r="AJ53" i="22"/>
  <c r="AJ64" i="22" s="1"/>
  <c r="V56" i="22"/>
  <c r="X56" i="22" s="1"/>
  <c r="V58" i="22"/>
  <c r="X58" i="22" s="1"/>
  <c r="V62" i="22"/>
  <c r="X62" i="22" s="1"/>
  <c r="G79" i="22"/>
  <c r="I79" i="22" s="1"/>
  <c r="X44" i="22"/>
  <c r="L98" i="21"/>
  <c r="M98" i="21" s="1"/>
  <c r="N98" i="21" s="1"/>
  <c r="J98" i="21"/>
  <c r="V47" i="21"/>
  <c r="X47" i="21" s="1"/>
  <c r="V49" i="21"/>
  <c r="X49" i="21" s="1"/>
  <c r="V42" i="21"/>
  <c r="X42" i="21" s="1"/>
  <c r="V56" i="21"/>
  <c r="X56" i="21" s="1"/>
  <c r="V15" i="21"/>
  <c r="X15" i="21" s="1"/>
  <c r="V18" i="21"/>
  <c r="X18" i="21" s="1"/>
  <c r="V33" i="21"/>
  <c r="X33" i="21" s="1"/>
  <c r="V57" i="21"/>
  <c r="X57" i="21" s="1"/>
  <c r="BC11" i="21"/>
  <c r="R66" i="21"/>
  <c r="R11" i="21" s="1"/>
  <c r="V48" i="21"/>
  <c r="X48" i="21" s="1"/>
  <c r="V52" i="21"/>
  <c r="X52" i="21" s="1"/>
  <c r="X54" i="21"/>
  <c r="X58" i="21"/>
  <c r="G102" i="21"/>
  <c r="BC12" i="21"/>
  <c r="U66" i="21"/>
  <c r="U11" i="21" s="1"/>
  <c r="J81" i="21"/>
  <c r="L81" i="21"/>
  <c r="M81" i="21"/>
  <c r="N81" i="21" s="1"/>
  <c r="AJ27" i="21"/>
  <c r="AH80" i="21"/>
  <c r="AH81" i="21" s="1"/>
  <c r="J95" i="21"/>
  <c r="L95" i="21"/>
  <c r="M95" i="21" s="1"/>
  <c r="N95" i="21" s="1"/>
  <c r="V31" i="21"/>
  <c r="X31" i="21" s="1"/>
  <c r="V35" i="21"/>
  <c r="X35" i="21" s="1"/>
  <c r="O64" i="21"/>
  <c r="N66" i="21" s="1"/>
  <c r="N11" i="21" s="1"/>
  <c r="V50" i="21"/>
  <c r="X50" i="21" s="1"/>
  <c r="V28" i="21"/>
  <c r="X28" i="21" s="1"/>
  <c r="AJ43" i="21"/>
  <c r="G77" i="21"/>
  <c r="G85" i="21" s="1"/>
  <c r="J84" i="21" s="1"/>
  <c r="AJ19" i="21"/>
  <c r="M79" i="21"/>
  <c r="N79" i="21" s="1"/>
  <c r="J79" i="21"/>
  <c r="L79" i="21"/>
  <c r="L97" i="21"/>
  <c r="M97" i="21"/>
  <c r="N97" i="21" s="1"/>
  <c r="J97" i="21"/>
  <c r="E74" i="21"/>
  <c r="G74" i="21" s="1"/>
  <c r="J82" i="21"/>
  <c r="L82" i="21"/>
  <c r="M82" i="21" s="1"/>
  <c r="N82" i="21" s="1"/>
  <c r="J96" i="21"/>
  <c r="L96" i="21"/>
  <c r="M96" i="21" s="1"/>
  <c r="N96" i="21" s="1"/>
  <c r="V14" i="21"/>
  <c r="X14" i="21" s="1"/>
  <c r="V16" i="21"/>
  <c r="X16" i="21" s="1"/>
  <c r="V26" i="21"/>
  <c r="X26" i="21" s="1"/>
  <c r="AJ48" i="21"/>
  <c r="V17" i="21"/>
  <c r="X17" i="21" s="1"/>
  <c r="V21" i="21"/>
  <c r="X21" i="21" s="1"/>
  <c r="V46" i="21"/>
  <c r="X46" i="21" s="1"/>
  <c r="V37" i="21"/>
  <c r="X37" i="21" s="1"/>
  <c r="V41" i="21"/>
  <c r="X41" i="21" s="1"/>
  <c r="AJ13" i="21"/>
  <c r="R64" i="21"/>
  <c r="Q66" i="21" s="1"/>
  <c r="Q11" i="21" s="1"/>
  <c r="V51" i="21"/>
  <c r="X51" i="21" s="1"/>
  <c r="V53" i="21"/>
  <c r="X53" i="21" s="1"/>
  <c r="V60" i="21"/>
  <c r="X60" i="21" s="1"/>
  <c r="V19" i="21"/>
  <c r="X19" i="21" s="1"/>
  <c r="N101" i="21"/>
  <c r="J94" i="21"/>
  <c r="L94" i="21"/>
  <c r="M94" i="21" s="1"/>
  <c r="N94" i="21" s="1"/>
  <c r="AT25" i="21"/>
  <c r="AX36" i="21"/>
  <c r="BA13" i="21"/>
  <c r="V6" i="21" s="1"/>
  <c r="BC7" i="21"/>
  <c r="F66" i="21"/>
  <c r="AH13" i="21"/>
  <c r="AC10" i="21"/>
  <c r="AS11" i="21" s="1"/>
  <c r="AH14" i="21"/>
  <c r="AH15" i="21"/>
  <c r="AH16" i="21"/>
  <c r="AH17" i="21"/>
  <c r="AN17" i="21" s="1"/>
  <c r="AH18" i="21"/>
  <c r="AH19" i="21"/>
  <c r="AH20" i="21"/>
  <c r="AH21" i="21"/>
  <c r="AH22" i="21"/>
  <c r="AH26" i="21"/>
  <c r="AH27" i="21"/>
  <c r="AH28" i="21"/>
  <c r="AN28" i="21" s="1"/>
  <c r="AJ23" i="21"/>
  <c r="AH25" i="21"/>
  <c r="AN25" i="21" s="1"/>
  <c r="AJ40" i="21"/>
  <c r="AH41" i="21"/>
  <c r="AN41" i="21" s="1"/>
  <c r="AH43" i="21"/>
  <c r="AN43" i="21" s="1"/>
  <c r="AJ45" i="21"/>
  <c r="AJ46" i="21"/>
  <c r="AJ47" i="21"/>
  <c r="AS7" i="21"/>
  <c r="AH29" i="21"/>
  <c r="AN29" i="21" s="1"/>
  <c r="AH30" i="21"/>
  <c r="AN30" i="21" s="1"/>
  <c r="AH31" i="21"/>
  <c r="AN31" i="21" s="1"/>
  <c r="AH32" i="21"/>
  <c r="AN32" i="21" s="1"/>
  <c r="AH33" i="21"/>
  <c r="AN33" i="21" s="1"/>
  <c r="AH34" i="21"/>
  <c r="AN34" i="21" s="1"/>
  <c r="AH35" i="21"/>
  <c r="AN35" i="21" s="1"/>
  <c r="AH36" i="21"/>
  <c r="AN36" i="21" s="1"/>
  <c r="AH38" i="21"/>
  <c r="AN38" i="21" s="1"/>
  <c r="AH39" i="21"/>
  <c r="AN39" i="21" s="1"/>
  <c r="AH44" i="21"/>
  <c r="AN44" i="21" s="1"/>
  <c r="AH49" i="21"/>
  <c r="AN49" i="21" s="1"/>
  <c r="AJ30" i="21"/>
  <c r="AJ34" i="21"/>
  <c r="AJ44" i="21"/>
  <c r="AH48" i="21"/>
  <c r="AN48" i="21" s="1"/>
  <c r="AJ50" i="21"/>
  <c r="AJ51" i="21"/>
  <c r="AJ52" i="21"/>
  <c r="AJ53" i="21"/>
  <c r="AF10" i="21"/>
  <c r="AG10" i="21" s="1"/>
  <c r="AH23" i="21"/>
  <c r="AH24" i="21"/>
  <c r="AJ31" i="21"/>
  <c r="AJ35" i="21"/>
  <c r="AH37" i="21"/>
  <c r="AN37" i="21" s="1"/>
  <c r="AH40" i="21"/>
  <c r="AN40" i="21" s="1"/>
  <c r="AH47" i="21"/>
  <c r="AN47" i="21" s="1"/>
  <c r="AJ54" i="21"/>
  <c r="AJ55" i="21"/>
  <c r="AJ56" i="21"/>
  <c r="AJ57" i="21"/>
  <c r="AJ58" i="21"/>
  <c r="AH59" i="21"/>
  <c r="AN59" i="21" s="1"/>
  <c r="AJ61" i="21"/>
  <c r="AJ62" i="21"/>
  <c r="AJ17" i="21"/>
  <c r="AJ18" i="21"/>
  <c r="AJ22" i="21"/>
  <c r="AJ26" i="21"/>
  <c r="AJ32" i="21"/>
  <c r="AJ36" i="21"/>
  <c r="AJ38" i="21"/>
  <c r="AH42" i="21"/>
  <c r="AN42" i="21" s="1"/>
  <c r="AH46" i="21"/>
  <c r="AN46" i="21" s="1"/>
  <c r="AJ49" i="21"/>
  <c r="AH50" i="21"/>
  <c r="AN50" i="21" s="1"/>
  <c r="AH51" i="21"/>
  <c r="AN51" i="21" s="1"/>
  <c r="AH52" i="21"/>
  <c r="AN52" i="21" s="1"/>
  <c r="AH53" i="21"/>
  <c r="AN53" i="21" s="1"/>
  <c r="AH60" i="21"/>
  <c r="AN60" i="21" s="1"/>
  <c r="AJ14" i="21"/>
  <c r="AH45" i="21"/>
  <c r="AN45" i="21" s="1"/>
  <c r="AH54" i="21"/>
  <c r="AN54" i="21" s="1"/>
  <c r="AH58" i="21"/>
  <c r="AN58" i="21" s="1"/>
  <c r="AH61" i="21"/>
  <c r="AN61" i="21" s="1"/>
  <c r="AH62" i="21"/>
  <c r="AN62" i="21" s="1"/>
  <c r="AH55" i="21"/>
  <c r="AN55" i="21" s="1"/>
  <c r="AH57" i="21"/>
  <c r="AN57" i="21" s="1"/>
  <c r="AJ60" i="21"/>
  <c r="AJ16" i="21"/>
  <c r="AJ29" i="21"/>
  <c r="AJ33" i="21"/>
  <c r="AJ39" i="21"/>
  <c r="AH56" i="21"/>
  <c r="AN56" i="21" s="1"/>
  <c r="AJ15" i="21"/>
  <c r="AJ21" i="21"/>
  <c r="AJ59" i="21"/>
  <c r="AJ20" i="21"/>
  <c r="L78" i="21"/>
  <c r="M78" i="21" s="1"/>
  <c r="N78" i="21" s="1"/>
  <c r="J78" i="21"/>
  <c r="BC9" i="21"/>
  <c r="L66" i="21"/>
  <c r="L11" i="21" s="1"/>
  <c r="L64" i="21"/>
  <c r="K66" i="21" s="1"/>
  <c r="K11" i="21" s="1"/>
  <c r="AJ42" i="21"/>
  <c r="V27" i="21"/>
  <c r="X27" i="21" s="1"/>
  <c r="V22" i="21"/>
  <c r="X22" i="21" s="1"/>
  <c r="V30" i="21"/>
  <c r="X30" i="21" s="1"/>
  <c r="V32" i="21"/>
  <c r="X32" i="21" s="1"/>
  <c r="V34" i="21"/>
  <c r="X34" i="21" s="1"/>
  <c r="V36" i="21"/>
  <c r="X36" i="21" s="1"/>
  <c r="V39" i="21"/>
  <c r="X39" i="21" s="1"/>
  <c r="V44" i="21"/>
  <c r="X44" i="21" s="1"/>
  <c r="AJ24" i="21"/>
  <c r="AJ37" i="21"/>
  <c r="V43" i="21"/>
  <c r="X43" i="21" s="1"/>
  <c r="U64" i="21"/>
  <c r="T66" i="21" s="1"/>
  <c r="T11" i="21" s="1"/>
  <c r="V13" i="21"/>
  <c r="F64" i="21"/>
  <c r="V59" i="21"/>
  <c r="X59" i="21" s="1"/>
  <c r="V20" i="21"/>
  <c r="X20" i="21" s="1"/>
  <c r="AJ41" i="21"/>
  <c r="G101" i="21"/>
  <c r="J80" i="21"/>
  <c r="L80" i="21"/>
  <c r="M80" i="21" s="1"/>
  <c r="N80" i="21" s="1"/>
  <c r="J99" i="21"/>
  <c r="L99" i="21"/>
  <c r="M99" i="21" s="1"/>
  <c r="N99" i="21" s="1"/>
  <c r="E91" i="21"/>
  <c r="G91" i="21" s="1"/>
  <c r="J101" i="21"/>
  <c r="J102" i="21" s="1"/>
  <c r="W65" i="20"/>
  <c r="X65" i="20" s="1"/>
  <c r="U65" i="20"/>
  <c r="V65" i="20"/>
  <c r="H29" i="20"/>
  <c r="L29" i="20"/>
  <c r="P29" i="20"/>
  <c r="J29" i="20"/>
  <c r="N29" i="20"/>
  <c r="R29" i="20"/>
  <c r="H33" i="20"/>
  <c r="L33" i="20"/>
  <c r="P33" i="20"/>
  <c r="J33" i="20"/>
  <c r="N33" i="20"/>
  <c r="R33" i="20"/>
  <c r="AH8" i="20"/>
  <c r="W8" i="20"/>
  <c r="X48" i="20" s="1"/>
  <c r="AH10" i="20"/>
  <c r="AA30" i="20"/>
  <c r="H51" i="20"/>
  <c r="L51" i="20"/>
  <c r="P51" i="20"/>
  <c r="N51" i="20"/>
  <c r="R51" i="20"/>
  <c r="J51" i="20"/>
  <c r="X47" i="20"/>
  <c r="G63" i="20"/>
  <c r="T63" i="20"/>
  <c r="J46" i="20"/>
  <c r="N46" i="20"/>
  <c r="H46" i="20"/>
  <c r="L46" i="20"/>
  <c r="P46" i="20"/>
  <c r="R46" i="20"/>
  <c r="H47" i="20"/>
  <c r="L47" i="20"/>
  <c r="P47" i="20"/>
  <c r="N47" i="20"/>
  <c r="R47" i="20"/>
  <c r="J47" i="20"/>
  <c r="H32" i="20"/>
  <c r="N32" i="20"/>
  <c r="J32" i="20"/>
  <c r="P32" i="20"/>
  <c r="R32" i="20"/>
  <c r="L32" i="20"/>
  <c r="H26" i="20"/>
  <c r="L26" i="20"/>
  <c r="P26" i="20"/>
  <c r="J26" i="20"/>
  <c r="N26" i="20"/>
  <c r="R26" i="20"/>
  <c r="H41" i="20"/>
  <c r="L41" i="20"/>
  <c r="P41" i="20"/>
  <c r="R41" i="20"/>
  <c r="J41" i="20"/>
  <c r="N41" i="20"/>
  <c r="H34" i="20"/>
  <c r="L34" i="20"/>
  <c r="P34" i="20"/>
  <c r="N34" i="20"/>
  <c r="R34" i="20"/>
  <c r="J34" i="20"/>
  <c r="H36" i="20"/>
  <c r="L36" i="20"/>
  <c r="P36" i="20"/>
  <c r="J36" i="20"/>
  <c r="N36" i="20"/>
  <c r="R36" i="20"/>
  <c r="H35" i="20"/>
  <c r="L35" i="20"/>
  <c r="P35" i="20"/>
  <c r="R35" i="20"/>
  <c r="J35" i="20"/>
  <c r="N35" i="20"/>
  <c r="E10" i="20"/>
  <c r="V22" i="20"/>
  <c r="Z22" i="20" s="1"/>
  <c r="V23" i="20"/>
  <c r="X16" i="20"/>
  <c r="X18" i="20"/>
  <c r="V19" i="20"/>
  <c r="Z19" i="20" s="1"/>
  <c r="V21" i="20"/>
  <c r="Z21" i="20" s="1"/>
  <c r="V24" i="20"/>
  <c r="Z24" i="20" s="1"/>
  <c r="V17" i="20"/>
  <c r="V26" i="20"/>
  <c r="Z26" i="20" s="1"/>
  <c r="V27" i="20"/>
  <c r="Z27" i="20" s="1"/>
  <c r="V28" i="20"/>
  <c r="Z28" i="20" s="1"/>
  <c r="V29" i="20"/>
  <c r="Z29" i="20" s="1"/>
  <c r="V30" i="20"/>
  <c r="Z30" i="20" s="1"/>
  <c r="V31" i="20"/>
  <c r="Z31" i="20" s="1"/>
  <c r="X19" i="20"/>
  <c r="V38" i="20"/>
  <c r="Z38" i="20" s="1"/>
  <c r="V39" i="20"/>
  <c r="Z39" i="20" s="1"/>
  <c r="X15" i="20"/>
  <c r="V16" i="20"/>
  <c r="X21" i="20"/>
  <c r="X37" i="20"/>
  <c r="V40" i="20"/>
  <c r="Z40" i="20" s="1"/>
  <c r="X45" i="20"/>
  <c r="V18" i="20"/>
  <c r="V20" i="20"/>
  <c r="X24" i="20"/>
  <c r="V32" i="20"/>
  <c r="Z32" i="20" s="1"/>
  <c r="V33" i="20"/>
  <c r="Z33" i="20" s="1"/>
  <c r="V34" i="20"/>
  <c r="Z34" i="20" s="1"/>
  <c r="V35" i="20"/>
  <c r="Z35" i="20" s="1"/>
  <c r="V36" i="20"/>
  <c r="Z36" i="20" s="1"/>
  <c r="X38" i="20"/>
  <c r="X39" i="20"/>
  <c r="V41" i="20"/>
  <c r="Z41" i="20" s="1"/>
  <c r="V42" i="20"/>
  <c r="Z42" i="20" s="1"/>
  <c r="V37" i="20"/>
  <c r="Z37" i="20" s="1"/>
  <c r="V43" i="20"/>
  <c r="Z43" i="20" s="1"/>
  <c r="V45" i="20"/>
  <c r="Z45" i="20" s="1"/>
  <c r="X40" i="20"/>
  <c r="V44" i="20"/>
  <c r="Z44" i="20" s="1"/>
  <c r="X52" i="20"/>
  <c r="V46" i="20"/>
  <c r="Z46" i="20" s="1"/>
  <c r="V47" i="20"/>
  <c r="Z47" i="20" s="1"/>
  <c r="V48" i="20"/>
  <c r="Z48" i="20" s="1"/>
  <c r="V49" i="20"/>
  <c r="Z49" i="20" s="1"/>
  <c r="V50" i="20"/>
  <c r="Z50" i="20" s="1"/>
  <c r="V51" i="20"/>
  <c r="Z51" i="20" s="1"/>
  <c r="X31" i="20"/>
  <c r="V52" i="20"/>
  <c r="Z52" i="20" s="1"/>
  <c r="H49" i="20"/>
  <c r="L49" i="20"/>
  <c r="P49" i="20"/>
  <c r="N49" i="20"/>
  <c r="R49" i="20"/>
  <c r="J49" i="20"/>
  <c r="E60" i="20"/>
  <c r="G60" i="20" s="1"/>
  <c r="H48" i="20"/>
  <c r="L48" i="20"/>
  <c r="P48" i="20"/>
  <c r="N48" i="20"/>
  <c r="J48" i="20"/>
  <c r="R48" i="20"/>
  <c r="H27" i="20"/>
  <c r="L27" i="20"/>
  <c r="P27" i="20"/>
  <c r="J27" i="20"/>
  <c r="N27" i="20"/>
  <c r="R27" i="20"/>
  <c r="F17" i="20"/>
  <c r="H28" i="20"/>
  <c r="L28" i="20"/>
  <c r="P28" i="20"/>
  <c r="R28" i="20"/>
  <c r="J28" i="20"/>
  <c r="N28" i="20"/>
  <c r="H25" i="20"/>
  <c r="L25" i="20"/>
  <c r="P25" i="20"/>
  <c r="N25" i="20"/>
  <c r="R25" i="20"/>
  <c r="J25" i="20"/>
  <c r="X34" i="20"/>
  <c r="X36" i="20"/>
  <c r="H42" i="20"/>
  <c r="L42" i="20"/>
  <c r="P42" i="20"/>
  <c r="J42" i="20"/>
  <c r="N42" i="20"/>
  <c r="R42" i="20"/>
  <c r="X35" i="20"/>
  <c r="G66" i="20"/>
  <c r="T66" i="20" s="1"/>
  <c r="V64" i="20"/>
  <c r="W64" i="20" s="1"/>
  <c r="X64" i="20" s="1"/>
  <c r="U64" i="20"/>
  <c r="H50" i="20"/>
  <c r="L50" i="20"/>
  <c r="P50" i="20"/>
  <c r="J50" i="20"/>
  <c r="R50" i="20"/>
  <c r="N50" i="20"/>
  <c r="U67" i="20"/>
  <c r="V67" i="20"/>
  <c r="W67" i="20" s="1"/>
  <c r="X67" i="20" s="1"/>
  <c r="X49" i="20"/>
  <c r="G68" i="20"/>
  <c r="T68" i="20"/>
  <c r="H142" i="19"/>
  <c r="M113" i="19"/>
  <c r="O113" i="19" s="1"/>
  <c r="P113" i="19" s="1"/>
  <c r="L44" i="19"/>
  <c r="Y10" i="19"/>
  <c r="M135" i="19"/>
  <c r="N135" i="19" s="1"/>
  <c r="O135" i="19" s="1"/>
  <c r="K135" i="19"/>
  <c r="K121" i="19"/>
  <c r="M121" i="19"/>
  <c r="N121" i="19" s="1"/>
  <c r="O121" i="19" s="1"/>
  <c r="P41" i="19"/>
  <c r="N41" i="19"/>
  <c r="M134" i="19"/>
  <c r="N134" i="19"/>
  <c r="O134" i="19" s="1"/>
  <c r="K134" i="19"/>
  <c r="M137" i="19"/>
  <c r="K137" i="19"/>
  <c r="N137" i="19"/>
  <c r="O137" i="19" s="1"/>
  <c r="H140" i="19"/>
  <c r="M116" i="19"/>
  <c r="O123" i="19"/>
  <c r="N116" i="19"/>
  <c r="O116" i="19" s="1"/>
  <c r="K116" i="19"/>
  <c r="L30" i="19"/>
  <c r="H125" i="19"/>
  <c r="L28" i="19"/>
  <c r="L32" i="19"/>
  <c r="N108" i="19"/>
  <c r="O108" i="19"/>
  <c r="P108" i="19"/>
  <c r="Q108" i="19" s="1"/>
  <c r="K117" i="19"/>
  <c r="M117" i="19"/>
  <c r="N117" i="19" s="1"/>
  <c r="O117" i="19" s="1"/>
  <c r="L36" i="19"/>
  <c r="O107" i="19"/>
  <c r="P107" i="19" s="1"/>
  <c r="C76" i="19"/>
  <c r="M120" i="19"/>
  <c r="N120" i="19"/>
  <c r="O120" i="19" s="1"/>
  <c r="K120" i="19"/>
  <c r="M136" i="19"/>
  <c r="N136" i="19"/>
  <c r="O136" i="19" s="1"/>
  <c r="K136" i="19"/>
  <c r="L34" i="19"/>
  <c r="F130" i="19"/>
  <c r="H130" i="19" s="1"/>
  <c r="K140" i="19"/>
  <c r="K142" i="19" s="1"/>
  <c r="M138" i="19"/>
  <c r="N138" i="19" s="1"/>
  <c r="O138" i="19" s="1"/>
  <c r="K138" i="19"/>
  <c r="L24" i="19"/>
  <c r="L27" i="19"/>
  <c r="J28" i="19"/>
  <c r="P28" i="19" s="1"/>
  <c r="L29" i="19"/>
  <c r="J30" i="19"/>
  <c r="P30" i="19" s="1"/>
  <c r="L31" i="19"/>
  <c r="J32" i="19"/>
  <c r="L33" i="19"/>
  <c r="J34" i="19"/>
  <c r="L35" i="19"/>
  <c r="J36" i="19"/>
  <c r="L37" i="19"/>
  <c r="J38" i="19"/>
  <c r="L39" i="19"/>
  <c r="P39" i="19" s="1"/>
  <c r="J40" i="19"/>
  <c r="J41" i="19"/>
  <c r="J44" i="19"/>
  <c r="P44" i="19" s="1"/>
  <c r="L60" i="19"/>
  <c r="E10" i="19"/>
  <c r="L13" i="19"/>
  <c r="J14" i="19"/>
  <c r="L15" i="19"/>
  <c r="J16" i="19"/>
  <c r="L17" i="19"/>
  <c r="J18" i="19"/>
  <c r="L19" i="19"/>
  <c r="J20" i="19"/>
  <c r="L21" i="19"/>
  <c r="L22" i="19"/>
  <c r="L23" i="19"/>
  <c r="J25" i="19"/>
  <c r="L26" i="19"/>
  <c r="L42" i="19"/>
  <c r="J43" i="19"/>
  <c r="P43" i="19" s="1"/>
  <c r="L45" i="19"/>
  <c r="J46" i="19"/>
  <c r="P46" i="19" s="1"/>
  <c r="L47" i="19"/>
  <c r="J48" i="19"/>
  <c r="P48" i="19" s="1"/>
  <c r="L49" i="19"/>
  <c r="J50" i="19"/>
  <c r="P50" i="19" s="1"/>
  <c r="L51" i="19"/>
  <c r="J52" i="19"/>
  <c r="P52" i="19" s="1"/>
  <c r="L53" i="19"/>
  <c r="J54" i="19"/>
  <c r="P54" i="19" s="1"/>
  <c r="L55" i="19"/>
  <c r="J56" i="19"/>
  <c r="P56" i="19" s="1"/>
  <c r="L57" i="19"/>
  <c r="J58" i="19"/>
  <c r="P58" i="19" s="1"/>
  <c r="L59" i="19"/>
  <c r="J61" i="19"/>
  <c r="P61" i="19" s="1"/>
  <c r="L62" i="19"/>
  <c r="J24" i="19"/>
  <c r="J27" i="19"/>
  <c r="P27" i="19" s="1"/>
  <c r="J29" i="19"/>
  <c r="P29" i="19" s="1"/>
  <c r="J31" i="19"/>
  <c r="J33" i="19"/>
  <c r="J35" i="19"/>
  <c r="J37" i="19"/>
  <c r="J39" i="19"/>
  <c r="J60" i="19"/>
  <c r="P60" i="19" s="1"/>
  <c r="J17" i="19"/>
  <c r="J22" i="19"/>
  <c r="P22" i="19" s="1"/>
  <c r="J42" i="19"/>
  <c r="P42" i="19" s="1"/>
  <c r="L46" i="19"/>
  <c r="J49" i="19"/>
  <c r="P49" i="19" s="1"/>
  <c r="L54" i="19"/>
  <c r="J57" i="19"/>
  <c r="P57" i="19" s="1"/>
  <c r="L61" i="19"/>
  <c r="L50" i="19"/>
  <c r="J13" i="19"/>
  <c r="J15" i="19"/>
  <c r="L18" i="19"/>
  <c r="L20" i="19"/>
  <c r="L25" i="19"/>
  <c r="L48" i="19"/>
  <c r="J51" i="19"/>
  <c r="P51" i="19" s="1"/>
  <c r="L56" i="19"/>
  <c r="J59" i="19"/>
  <c r="P59" i="19" s="1"/>
  <c r="L14" i="19"/>
  <c r="P14" i="19" s="1"/>
  <c r="L16" i="19"/>
  <c r="L43" i="19"/>
  <c r="J45" i="19"/>
  <c r="P45" i="19" s="1"/>
  <c r="J53" i="19"/>
  <c r="P53" i="19" s="1"/>
  <c r="L58" i="19"/>
  <c r="H10" i="19"/>
  <c r="I10" i="19" s="1"/>
  <c r="J19" i="19"/>
  <c r="P19" i="19" s="1"/>
  <c r="J21" i="19"/>
  <c r="J23" i="19"/>
  <c r="P23" i="19" s="1"/>
  <c r="J26" i="19"/>
  <c r="J47" i="19"/>
  <c r="P47" i="19" s="1"/>
  <c r="L52" i="19"/>
  <c r="J55" i="19"/>
  <c r="P55" i="19" s="1"/>
  <c r="J62" i="19"/>
  <c r="P62" i="19" s="1"/>
  <c r="L38" i="19"/>
  <c r="L40" i="19"/>
  <c r="P40" i="19" s="1"/>
  <c r="V10" i="19"/>
  <c r="Z21" i="19"/>
  <c r="J133" i="19"/>
  <c r="I78" i="18"/>
  <c r="J78" i="18" s="1"/>
  <c r="J71" i="18"/>
  <c r="G78" i="18" s="1"/>
  <c r="R36" i="18"/>
  <c r="S36" i="18"/>
  <c r="T36" i="18" s="1"/>
  <c r="Q36" i="18"/>
  <c r="H11" i="18"/>
  <c r="L11" i="18"/>
  <c r="N11" i="18" s="1"/>
  <c r="O11" i="18" s="1"/>
  <c r="J98" i="18"/>
  <c r="F126" i="18"/>
  <c r="C129" i="18"/>
  <c r="C104" i="18"/>
  <c r="O123" i="18"/>
  <c r="N129" i="18"/>
  <c r="O129" i="18" s="1"/>
  <c r="I99" i="18"/>
  <c r="J99" i="18" s="1"/>
  <c r="J17" i="18"/>
  <c r="L17" i="18"/>
  <c r="M17" i="18" s="1"/>
  <c r="N17" i="18" s="1"/>
  <c r="G101" i="18"/>
  <c r="H101" i="18"/>
  <c r="I91" i="18"/>
  <c r="I101" i="18"/>
  <c r="J101" i="18" s="1"/>
  <c r="N98" i="18"/>
  <c r="M104" i="18"/>
  <c r="G21" i="18"/>
  <c r="J23" i="18"/>
  <c r="Q29" i="18"/>
  <c r="R29" i="18"/>
  <c r="S29" i="18" s="1"/>
  <c r="T29" i="18" s="1"/>
  <c r="G104" i="18"/>
  <c r="H104" i="18"/>
  <c r="H78" i="18"/>
  <c r="E10" i="15"/>
  <c r="G10" i="15"/>
  <c r="L79" i="22" l="1"/>
  <c r="M79" i="22" s="1"/>
  <c r="N79" i="22" s="1"/>
  <c r="J79" i="22"/>
  <c r="AJ11" i="22"/>
  <c r="H74" i="22"/>
  <c r="L74" i="22"/>
  <c r="N74" i="22"/>
  <c r="O74" i="22" s="1"/>
  <c r="L91" i="22"/>
  <c r="H91" i="22"/>
  <c r="N91" i="22"/>
  <c r="O91" i="22" s="1"/>
  <c r="AN35" i="22"/>
  <c r="AL35" i="22"/>
  <c r="J77" i="22"/>
  <c r="L77" i="22"/>
  <c r="M77" i="22" s="1"/>
  <c r="N77" i="22" s="1"/>
  <c r="N84" i="22"/>
  <c r="F11" i="22"/>
  <c r="E66" i="22"/>
  <c r="E11" i="22" s="1"/>
  <c r="X13" i="22"/>
  <c r="V63" i="22"/>
  <c r="V64" i="22"/>
  <c r="C11" i="22" s="1"/>
  <c r="AN32" i="22"/>
  <c r="AL32" i="22"/>
  <c r="AL26" i="22"/>
  <c r="AN26" i="22"/>
  <c r="AL18" i="22"/>
  <c r="AN18" i="22"/>
  <c r="AL41" i="22"/>
  <c r="AN41" i="22"/>
  <c r="M94" i="22"/>
  <c r="N94" i="22" s="1"/>
  <c r="J94" i="22"/>
  <c r="N101" i="22"/>
  <c r="L94" i="22"/>
  <c r="G85" i="22"/>
  <c r="AA76" i="22"/>
  <c r="AL15" i="22"/>
  <c r="AN15" i="22"/>
  <c r="AL37" i="22"/>
  <c r="AN37" i="22"/>
  <c r="AL20" i="22"/>
  <c r="AN20" i="22"/>
  <c r="AL16" i="22"/>
  <c r="AN16" i="22"/>
  <c r="AN36" i="22"/>
  <c r="AL36" i="22"/>
  <c r="AN31" i="22"/>
  <c r="AL31" i="22"/>
  <c r="AL33" i="22"/>
  <c r="AN33" i="22"/>
  <c r="AN38" i="22"/>
  <c r="AL38" i="22"/>
  <c r="AL17" i="22"/>
  <c r="AN17" i="22"/>
  <c r="AL21" i="22"/>
  <c r="AN21" i="22"/>
  <c r="G101" i="22"/>
  <c r="J102" i="22"/>
  <c r="L74" i="21"/>
  <c r="H74" i="21"/>
  <c r="N74" i="21"/>
  <c r="O74" i="21" s="1"/>
  <c r="AL14" i="21"/>
  <c r="AN14" i="21"/>
  <c r="L91" i="21"/>
  <c r="N91" i="21"/>
  <c r="O91" i="21" s="1"/>
  <c r="H91" i="21"/>
  <c r="AN13" i="21"/>
  <c r="AJ64" i="21"/>
  <c r="AL13" i="21"/>
  <c r="AL15" i="21"/>
  <c r="AN15" i="21"/>
  <c r="AN18" i="21"/>
  <c r="AL18" i="21"/>
  <c r="AN19" i="21"/>
  <c r="AL19" i="21"/>
  <c r="AN26" i="21"/>
  <c r="AL26" i="21"/>
  <c r="AL23" i="21"/>
  <c r="AN23" i="21"/>
  <c r="G84" i="21"/>
  <c r="J85" i="21"/>
  <c r="AN27" i="21"/>
  <c r="AL27" i="21"/>
  <c r="AN21" i="21"/>
  <c r="AL21" i="21"/>
  <c r="AN22" i="21"/>
  <c r="AL22" i="21"/>
  <c r="X13" i="21"/>
  <c r="V63" i="21"/>
  <c r="V64" i="21"/>
  <c r="C11" i="21" s="1"/>
  <c r="AN24" i="21"/>
  <c r="AL24" i="21"/>
  <c r="AN20" i="21"/>
  <c r="AL20" i="21"/>
  <c r="AL16" i="21"/>
  <c r="AN16" i="21"/>
  <c r="F11" i="21"/>
  <c r="E66" i="21"/>
  <c r="E11" i="21" s="1"/>
  <c r="I77" i="21"/>
  <c r="V25" i="20"/>
  <c r="Z25" i="20" s="1"/>
  <c r="X20" i="20"/>
  <c r="V15" i="20"/>
  <c r="V66" i="20"/>
  <c r="W66" i="20"/>
  <c r="X66" i="20" s="1"/>
  <c r="U66" i="20"/>
  <c r="T60" i="20"/>
  <c r="V60" i="20"/>
  <c r="W60" i="20" s="1"/>
  <c r="X60" i="20" s="1"/>
  <c r="K48" i="20"/>
  <c r="O48" i="20"/>
  <c r="S48" i="20"/>
  <c r="I48" i="20"/>
  <c r="M48" i="20"/>
  <c r="Q48" i="20"/>
  <c r="K52" i="20"/>
  <c r="O52" i="20"/>
  <c r="S52" i="20"/>
  <c r="M52" i="20"/>
  <c r="Q52" i="20"/>
  <c r="I52" i="20"/>
  <c r="K37" i="20"/>
  <c r="O37" i="20"/>
  <c r="S37" i="20"/>
  <c r="I37" i="20"/>
  <c r="M37" i="20"/>
  <c r="Q37" i="20"/>
  <c r="I38" i="20"/>
  <c r="M38" i="20"/>
  <c r="Q38" i="20"/>
  <c r="K38" i="20"/>
  <c r="O38" i="20"/>
  <c r="S38" i="20"/>
  <c r="I21" i="20"/>
  <c r="M21" i="20"/>
  <c r="Q21" i="20"/>
  <c r="K21" i="20"/>
  <c r="O21" i="20"/>
  <c r="S21" i="20"/>
  <c r="U63" i="20"/>
  <c r="W70" i="20"/>
  <c r="V63" i="20"/>
  <c r="W63" i="20" s="1"/>
  <c r="X63" i="20" s="1"/>
  <c r="K35" i="20"/>
  <c r="O35" i="20"/>
  <c r="S35" i="20"/>
  <c r="I35" i="20"/>
  <c r="M35" i="20"/>
  <c r="Q35" i="20"/>
  <c r="K34" i="20"/>
  <c r="O34" i="20"/>
  <c r="S34" i="20"/>
  <c r="I34" i="20"/>
  <c r="M34" i="20"/>
  <c r="Q34" i="20"/>
  <c r="I40" i="20"/>
  <c r="M40" i="20"/>
  <c r="Q40" i="20"/>
  <c r="S40" i="20"/>
  <c r="K40" i="20"/>
  <c r="O40" i="20"/>
  <c r="K45" i="20"/>
  <c r="O45" i="20"/>
  <c r="S45" i="20"/>
  <c r="I45" i="20"/>
  <c r="Q45" i="20"/>
  <c r="M45" i="20"/>
  <c r="I19" i="20"/>
  <c r="M19" i="20"/>
  <c r="Q19" i="20"/>
  <c r="O19" i="20"/>
  <c r="S19" i="20"/>
  <c r="K19" i="20"/>
  <c r="G71" i="20"/>
  <c r="I39" i="20"/>
  <c r="M39" i="20"/>
  <c r="Q39" i="20"/>
  <c r="K39" i="20"/>
  <c r="O39" i="20"/>
  <c r="S39" i="20"/>
  <c r="K16" i="20"/>
  <c r="O16" i="20"/>
  <c r="S16" i="20"/>
  <c r="U16" i="20"/>
  <c r="Z16" i="20"/>
  <c r="Q16" i="20"/>
  <c r="I16" i="20"/>
  <c r="M16" i="20"/>
  <c r="U68" i="20"/>
  <c r="V68" i="20"/>
  <c r="W68" i="20" s="1"/>
  <c r="X68" i="20" s="1"/>
  <c r="K36" i="20"/>
  <c r="O36" i="20"/>
  <c r="S36" i="20"/>
  <c r="I36" i="20"/>
  <c r="M36" i="20"/>
  <c r="Q36" i="20"/>
  <c r="I31" i="20"/>
  <c r="M31" i="20"/>
  <c r="Q31" i="20"/>
  <c r="S31" i="20"/>
  <c r="O31" i="20"/>
  <c r="K31" i="20"/>
  <c r="K20" i="20"/>
  <c r="O20" i="20"/>
  <c r="S20" i="20"/>
  <c r="Z20" i="20"/>
  <c r="M20" i="20"/>
  <c r="Q20" i="20"/>
  <c r="I20" i="20"/>
  <c r="U20" i="20"/>
  <c r="K49" i="20"/>
  <c r="O49" i="20"/>
  <c r="S49" i="20"/>
  <c r="I49" i="20"/>
  <c r="M49" i="20"/>
  <c r="Q49" i="20"/>
  <c r="AA33" i="20"/>
  <c r="AA41" i="20" s="1"/>
  <c r="I24" i="20"/>
  <c r="M24" i="20"/>
  <c r="Q24" i="20"/>
  <c r="K24" i="20"/>
  <c r="O24" i="20"/>
  <c r="S24" i="20"/>
  <c r="Z15" i="20"/>
  <c r="I15" i="20"/>
  <c r="M15" i="20"/>
  <c r="Q15" i="20"/>
  <c r="K15" i="20"/>
  <c r="O15" i="20"/>
  <c r="S15" i="20"/>
  <c r="U15" i="20"/>
  <c r="K18" i="20"/>
  <c r="O18" i="20"/>
  <c r="S18" i="20"/>
  <c r="Z18" i="20"/>
  <c r="M18" i="20"/>
  <c r="Q18" i="20"/>
  <c r="I18" i="20"/>
  <c r="U18" i="20"/>
  <c r="AA34" i="20"/>
  <c r="K47" i="20"/>
  <c r="O47" i="20"/>
  <c r="S47" i="20"/>
  <c r="I47" i="20"/>
  <c r="M47" i="20"/>
  <c r="Q47" i="20"/>
  <c r="X41" i="20"/>
  <c r="X26" i="20"/>
  <c r="X27" i="20"/>
  <c r="X42" i="20"/>
  <c r="X17" i="20"/>
  <c r="X44" i="20"/>
  <c r="X25" i="20"/>
  <c r="X51" i="20"/>
  <c r="X46" i="20"/>
  <c r="X43" i="20"/>
  <c r="X30" i="20"/>
  <c r="X50" i="20"/>
  <c r="X32" i="20"/>
  <c r="X33" i="20"/>
  <c r="X29" i="20"/>
  <c r="X23" i="20"/>
  <c r="X22" i="20"/>
  <c r="X28" i="20"/>
  <c r="F18" i="20"/>
  <c r="P36" i="19"/>
  <c r="N36" i="19"/>
  <c r="N18" i="19"/>
  <c r="P18" i="19"/>
  <c r="N26" i="19"/>
  <c r="P26" i="19"/>
  <c r="N21" i="19"/>
  <c r="P21" i="19"/>
  <c r="N17" i="19"/>
  <c r="P17" i="19"/>
  <c r="L64" i="19"/>
  <c r="N13" i="19"/>
  <c r="P13" i="19"/>
  <c r="N37" i="19"/>
  <c r="P37" i="19"/>
  <c r="N33" i="19"/>
  <c r="P33" i="19"/>
  <c r="M130" i="19"/>
  <c r="O130" i="19" s="1"/>
  <c r="P130" i="19" s="1"/>
  <c r="I130" i="19"/>
  <c r="C77" i="19"/>
  <c r="H123" i="19"/>
  <c r="K123" i="19"/>
  <c r="K125" i="19" s="1"/>
  <c r="N24" i="19"/>
  <c r="P24" i="19"/>
  <c r="N16" i="19"/>
  <c r="P16" i="19"/>
  <c r="N20" i="19"/>
  <c r="P20" i="19"/>
  <c r="O140" i="19"/>
  <c r="M133" i="19"/>
  <c r="N133" i="19" s="1"/>
  <c r="O133" i="19" s="1"/>
  <c r="K133" i="19"/>
  <c r="P38" i="19"/>
  <c r="N38" i="19"/>
  <c r="N25" i="19"/>
  <c r="P25" i="19"/>
  <c r="N15" i="19"/>
  <c r="P15" i="19"/>
  <c r="N35" i="19"/>
  <c r="P35" i="19"/>
  <c r="N31" i="19"/>
  <c r="P31" i="19"/>
  <c r="P34" i="19"/>
  <c r="N34" i="19"/>
  <c r="P32" i="19"/>
  <c r="N32" i="19"/>
  <c r="N104" i="18"/>
  <c r="O104" i="18" s="1"/>
  <c r="O98" i="18"/>
  <c r="H126" i="18"/>
  <c r="H129" i="18" s="1"/>
  <c r="I104" i="18"/>
  <c r="J104" i="18" s="1"/>
  <c r="L10" i="15"/>
  <c r="N10" i="15"/>
  <c r="AN12" i="22" l="1"/>
  <c r="AL64" i="22"/>
  <c r="AL11" i="22"/>
  <c r="AL65" i="22"/>
  <c r="AK11" i="22" s="1"/>
  <c r="G84" i="22"/>
  <c r="J84" i="22"/>
  <c r="J85" i="22" s="1"/>
  <c r="AA77" i="22"/>
  <c r="AA78" i="22" s="1"/>
  <c r="X10" i="22"/>
  <c r="X12" i="22" s="1"/>
  <c r="X64" i="22"/>
  <c r="W66" i="22" s="1"/>
  <c r="AL64" i="21"/>
  <c r="AL11" i="21" s="1"/>
  <c r="X10" i="21"/>
  <c r="X12" i="21" s="1"/>
  <c r="X64" i="21"/>
  <c r="W66" i="21" s="1"/>
  <c r="AJ11" i="21"/>
  <c r="AL65" i="21"/>
  <c r="AK11" i="21" s="1"/>
  <c r="L77" i="21"/>
  <c r="M77" i="21"/>
  <c r="N77" i="21" s="1"/>
  <c r="J77" i="21"/>
  <c r="N84" i="21"/>
  <c r="AN12" i="21"/>
  <c r="I30" i="20"/>
  <c r="M30" i="20"/>
  <c r="Q30" i="20"/>
  <c r="K30" i="20"/>
  <c r="S30" i="20"/>
  <c r="O30" i="20"/>
  <c r="J16" i="20"/>
  <c r="N16" i="20"/>
  <c r="R16" i="20"/>
  <c r="H16" i="20"/>
  <c r="L16" i="20"/>
  <c r="P16" i="20"/>
  <c r="K28" i="20"/>
  <c r="O28" i="20"/>
  <c r="S28" i="20"/>
  <c r="I28" i="20"/>
  <c r="M28" i="20"/>
  <c r="Q28" i="20"/>
  <c r="K43" i="20"/>
  <c r="O43" i="20"/>
  <c r="S43" i="20"/>
  <c r="M43" i="20"/>
  <c r="I43" i="20"/>
  <c r="Q43" i="20"/>
  <c r="K44" i="20"/>
  <c r="O44" i="20"/>
  <c r="S44" i="20"/>
  <c r="M44" i="20"/>
  <c r="I44" i="20"/>
  <c r="Q44" i="20"/>
  <c r="K26" i="20"/>
  <c r="O26" i="20"/>
  <c r="S26" i="20"/>
  <c r="I26" i="20"/>
  <c r="M26" i="20"/>
  <c r="Q26" i="20"/>
  <c r="K46" i="20"/>
  <c r="O46" i="20"/>
  <c r="S46" i="20"/>
  <c r="I46" i="20"/>
  <c r="M46" i="20"/>
  <c r="Q46" i="20"/>
  <c r="K41" i="20"/>
  <c r="O41" i="20"/>
  <c r="S41" i="20"/>
  <c r="I41" i="20"/>
  <c r="M41" i="20"/>
  <c r="Q41" i="20"/>
  <c r="G70" i="20"/>
  <c r="U70" i="20"/>
  <c r="U71" i="20" s="1"/>
  <c r="K29" i="20"/>
  <c r="O29" i="20"/>
  <c r="S29" i="20"/>
  <c r="I29" i="20"/>
  <c r="M29" i="20"/>
  <c r="Q29" i="20"/>
  <c r="K25" i="20"/>
  <c r="O25" i="20"/>
  <c r="S25" i="20"/>
  <c r="I25" i="20"/>
  <c r="M25" i="20"/>
  <c r="Q25" i="20"/>
  <c r="K27" i="20"/>
  <c r="O27" i="20"/>
  <c r="S27" i="20"/>
  <c r="I27" i="20"/>
  <c r="M27" i="20"/>
  <c r="Q27" i="20"/>
  <c r="X54" i="20"/>
  <c r="F20" i="20"/>
  <c r="K33" i="20"/>
  <c r="O33" i="20"/>
  <c r="S33" i="20"/>
  <c r="I33" i="20"/>
  <c r="M33" i="20"/>
  <c r="Q33" i="20"/>
  <c r="J20" i="20"/>
  <c r="N20" i="20"/>
  <c r="R20" i="20"/>
  <c r="H20" i="20"/>
  <c r="L20" i="20"/>
  <c r="P20" i="20"/>
  <c r="I22" i="20"/>
  <c r="M22" i="20"/>
  <c r="Q22" i="20"/>
  <c r="K22" i="20"/>
  <c r="O22" i="20"/>
  <c r="S22" i="20"/>
  <c r="I32" i="20"/>
  <c r="M32" i="20"/>
  <c r="Q32" i="20"/>
  <c r="S32" i="20"/>
  <c r="O32" i="20"/>
  <c r="K32" i="20"/>
  <c r="K17" i="20"/>
  <c r="O17" i="20"/>
  <c r="S17" i="20"/>
  <c r="Z17" i="20"/>
  <c r="Y12" i="20" s="1"/>
  <c r="I17" i="20"/>
  <c r="M17" i="20"/>
  <c r="Q17" i="20"/>
  <c r="U17" i="20"/>
  <c r="I23" i="20"/>
  <c r="M23" i="20"/>
  <c r="Q23" i="20"/>
  <c r="K23" i="20"/>
  <c r="O23" i="20"/>
  <c r="S23" i="20"/>
  <c r="Z23" i="20"/>
  <c r="U23" i="20"/>
  <c r="K50" i="20"/>
  <c r="O50" i="20"/>
  <c r="S50" i="20"/>
  <c r="I50" i="20"/>
  <c r="M50" i="20"/>
  <c r="Q50" i="20"/>
  <c r="K51" i="20"/>
  <c r="O51" i="20"/>
  <c r="S51" i="20"/>
  <c r="I51" i="20"/>
  <c r="M51" i="20"/>
  <c r="Q51" i="20"/>
  <c r="K42" i="20"/>
  <c r="O42" i="20"/>
  <c r="S42" i="20"/>
  <c r="I42" i="20"/>
  <c r="M42" i="20"/>
  <c r="Q42" i="20"/>
  <c r="J18" i="20"/>
  <c r="N18" i="20"/>
  <c r="R18" i="20"/>
  <c r="H18" i="20"/>
  <c r="L18" i="20"/>
  <c r="P18" i="20"/>
  <c r="H15" i="20"/>
  <c r="L15" i="20"/>
  <c r="P15" i="20"/>
  <c r="J15" i="20"/>
  <c r="N15" i="20"/>
  <c r="R15" i="20"/>
  <c r="Z54" i="20"/>
  <c r="AA42" i="20"/>
  <c r="L11" i="19"/>
  <c r="N64" i="19"/>
  <c r="N11" i="19" s="1"/>
  <c r="C78" i="19"/>
  <c r="P12" i="19"/>
  <c r="I126" i="18"/>
  <c r="I129" i="18" s="1"/>
  <c r="E12" i="15"/>
  <c r="L13" i="15"/>
  <c r="F15" i="15"/>
  <c r="C33" i="15"/>
  <c r="B34" i="15"/>
  <c r="C39" i="15"/>
  <c r="B40" i="15"/>
  <c r="C45" i="15" a="1"/>
  <c r="C45" i="15" s="1"/>
  <c r="B46" i="15"/>
  <c r="C51" i="15"/>
  <c r="B52" i="15"/>
  <c r="C57" i="15" a="1"/>
  <c r="C57" i="15" s="1"/>
  <c r="B58" i="15"/>
  <c r="C63" i="15" a="1"/>
  <c r="C63" i="15" s="1"/>
  <c r="B64" i="15"/>
  <c r="B69" i="15"/>
  <c r="B77" i="15"/>
  <c r="C77" i="15"/>
  <c r="B83" i="15"/>
  <c r="C88" i="15"/>
  <c r="B89" i="15"/>
  <c r="C94" i="15"/>
  <c r="B95" i="15"/>
  <c r="C100" i="15"/>
  <c r="B101" i="15"/>
  <c r="B107" i="15"/>
  <c r="E107" i="15"/>
  <c r="B114" i="15"/>
  <c r="D114" i="15"/>
  <c r="D115" i="15"/>
  <c r="D116" i="15"/>
  <c r="D117" i="15"/>
  <c r="D118" i="15"/>
  <c r="B127" i="15"/>
  <c r="D127" i="15"/>
  <c r="D128" i="15"/>
  <c r="D129" i="15"/>
  <c r="D130" i="15"/>
  <c r="D131" i="15"/>
  <c r="B137" i="15"/>
  <c r="C137" i="15"/>
  <c r="B140" i="15"/>
  <c r="C140" i="15"/>
  <c r="B143" i="15"/>
  <c r="C143" i="15"/>
  <c r="B146" i="15"/>
  <c r="C146" i="15"/>
  <c r="B149" i="15"/>
  <c r="C149" i="15"/>
  <c r="C156" i="15" s="1"/>
  <c r="C159" i="15" s="1"/>
  <c r="B156" i="15"/>
  <c r="B159" i="15"/>
  <c r="B166" i="15"/>
  <c r="B167" i="15"/>
  <c r="C167" i="15"/>
  <c r="B170" i="15"/>
  <c r="C170" i="15"/>
  <c r="B180" i="15"/>
  <c r="B181" i="15"/>
  <c r="C181" i="15"/>
  <c r="B182" i="15"/>
  <c r="C182" i="15"/>
  <c r="AB1" i="14"/>
  <c r="B7" i="13"/>
  <c r="D9" i="13"/>
  <c r="Q9" i="13"/>
  <c r="D51" i="13"/>
  <c r="Q51" i="13"/>
  <c r="D93" i="13"/>
  <c r="Q93" i="13"/>
  <c r="D135" i="13"/>
  <c r="Q135" i="13"/>
  <c r="I1" i="12"/>
  <c r="AH5" i="12"/>
  <c r="AH8" i="12" s="1"/>
  <c r="B6" i="12"/>
  <c r="L6" i="12"/>
  <c r="V6" i="12"/>
  <c r="AH6" i="12"/>
  <c r="B7" i="12"/>
  <c r="L7" i="12"/>
  <c r="AH7" i="12"/>
  <c r="B8" i="12"/>
  <c r="F10" i="11"/>
  <c r="L10" i="11"/>
  <c r="R10" i="11"/>
  <c r="F11" i="11"/>
  <c r="L11" i="11"/>
  <c r="R11" i="11"/>
  <c r="F12" i="11"/>
  <c r="L12" i="11"/>
  <c r="F13" i="11"/>
  <c r="L13" i="11"/>
  <c r="R13" i="11"/>
  <c r="F14" i="11"/>
  <c r="R14" i="11"/>
  <c r="F15" i="11"/>
  <c r="L15" i="11"/>
  <c r="R15" i="11"/>
  <c r="F16" i="11"/>
  <c r="L16" i="11"/>
  <c r="R16" i="11"/>
  <c r="F17" i="11"/>
  <c r="R17" i="11"/>
  <c r="L18" i="11"/>
  <c r="R18" i="11"/>
  <c r="F19" i="11"/>
  <c r="L19" i="11"/>
  <c r="R19" i="11"/>
  <c r="F20" i="11"/>
  <c r="L20" i="11"/>
  <c r="R20" i="11"/>
  <c r="F21" i="11"/>
  <c r="L21" i="11"/>
  <c r="R21" i="11"/>
  <c r="F22" i="11"/>
  <c r="L22" i="11"/>
  <c r="R22" i="11"/>
  <c r="F23" i="11"/>
  <c r="L23" i="11"/>
  <c r="R23" i="11"/>
  <c r="F24" i="11"/>
  <c r="L24" i="11"/>
  <c r="R24" i="11"/>
  <c r="F25" i="11"/>
  <c r="L25" i="11"/>
  <c r="R25" i="11"/>
  <c r="F26" i="11"/>
  <c r="L26" i="11"/>
  <c r="R26" i="11"/>
  <c r="F27" i="11"/>
  <c r="L27" i="11"/>
  <c r="R27" i="11"/>
  <c r="F28" i="11"/>
  <c r="L28" i="11"/>
  <c r="R28" i="11"/>
  <c r="F29" i="11"/>
  <c r="L29" i="11"/>
  <c r="R29" i="11"/>
  <c r="F30" i="11"/>
  <c r="R30" i="11"/>
  <c r="F31" i="11"/>
  <c r="L31" i="11"/>
  <c r="R31" i="11"/>
  <c r="F32" i="11"/>
  <c r="L32" i="11"/>
  <c r="R32" i="11"/>
  <c r="F33" i="11"/>
  <c r="R33" i="11"/>
  <c r="F34" i="11"/>
  <c r="L34" i="11"/>
  <c r="R34" i="11"/>
  <c r="F35" i="11"/>
  <c r="L35" i="11"/>
  <c r="R35" i="11"/>
  <c r="L36" i="11"/>
  <c r="R36" i="11"/>
  <c r="F37" i="11"/>
  <c r="L37" i="11"/>
  <c r="F38" i="11"/>
  <c r="L38" i="11"/>
  <c r="R38" i="11"/>
  <c r="F39" i="11"/>
  <c r="L39" i="11"/>
  <c r="R39" i="11"/>
  <c r="F40" i="11"/>
  <c r="L40" i="11"/>
  <c r="R40" i="11"/>
  <c r="F41" i="11"/>
  <c r="L41" i="11"/>
  <c r="R41" i="11"/>
  <c r="F42" i="11"/>
  <c r="L42" i="11"/>
  <c r="R42" i="11"/>
  <c r="F43" i="11"/>
  <c r="L43" i="11"/>
  <c r="R43" i="11"/>
  <c r="F44" i="11"/>
  <c r="L44" i="11"/>
  <c r="R44" i="11"/>
  <c r="F45" i="11"/>
  <c r="L45" i="11"/>
  <c r="R45" i="11"/>
  <c r="F46" i="11"/>
  <c r="R46" i="11"/>
  <c r="F47" i="11"/>
  <c r="L47" i="11"/>
  <c r="R47" i="11"/>
  <c r="F48" i="11"/>
  <c r="L48" i="11"/>
  <c r="R48" i="11"/>
  <c r="F49" i="11"/>
  <c r="L49" i="11"/>
  <c r="R49" i="11"/>
  <c r="F50" i="11"/>
  <c r="L50" i="11"/>
  <c r="F51" i="11"/>
  <c r="L51" i="11"/>
  <c r="R51" i="11"/>
  <c r="F52" i="11"/>
  <c r="L52" i="11"/>
  <c r="R52" i="11"/>
  <c r="F53" i="11"/>
  <c r="L53" i="11"/>
  <c r="R53" i="11"/>
  <c r="F54" i="11"/>
  <c r="L54" i="11"/>
  <c r="R54" i="11"/>
  <c r="L55" i="11"/>
  <c r="R55" i="11"/>
  <c r="F56" i="11"/>
  <c r="L56" i="11"/>
  <c r="R56" i="11"/>
  <c r="L57" i="11"/>
  <c r="R57" i="11"/>
  <c r="F58" i="11"/>
  <c r="L58" i="11"/>
  <c r="R58" i="11"/>
  <c r="F59" i="11"/>
  <c r="L59" i="11"/>
  <c r="R59" i="11"/>
  <c r="F60" i="11"/>
  <c r="L60" i="11"/>
  <c r="R60" i="11"/>
  <c r="F61" i="11"/>
  <c r="L61" i="11"/>
  <c r="R61" i="11"/>
  <c r="F62" i="11"/>
  <c r="L62" i="11"/>
  <c r="L63" i="11"/>
  <c r="F64" i="11"/>
  <c r="L64" i="11"/>
  <c r="F65" i="11"/>
  <c r="L65" i="11"/>
  <c r="F66" i="11"/>
  <c r="L66" i="11"/>
  <c r="F67" i="11"/>
  <c r="L67" i="11"/>
  <c r="F68" i="11"/>
  <c r="L68" i="11"/>
  <c r="F69" i="11"/>
  <c r="L69" i="11"/>
  <c r="L70" i="11"/>
  <c r="L71" i="11"/>
  <c r="A1" i="10"/>
  <c r="B1" i="10"/>
  <c r="C1" i="10"/>
  <c r="D1" i="10"/>
  <c r="E1" i="10"/>
  <c r="F1" i="10"/>
  <c r="G1" i="10"/>
  <c r="H1" i="10"/>
  <c r="I1" i="10"/>
  <c r="J1" i="10"/>
  <c r="K1" i="10"/>
  <c r="L1" i="10"/>
  <c r="M1" i="10"/>
  <c r="N1" i="10"/>
  <c r="O1" i="10"/>
  <c r="P1" i="10"/>
  <c r="Q1" i="10"/>
  <c r="O63" i="10"/>
  <c r="O64" i="10"/>
  <c r="O65" i="10"/>
  <c r="E78" i="10"/>
  <c r="N79" i="10"/>
  <c r="J81" i="10" s="1"/>
  <c r="J84" i="10" s="1"/>
  <c r="H81" i="10"/>
  <c r="H84" i="10" s="1"/>
  <c r="I81" i="10"/>
  <c r="I84" i="10" s="1"/>
  <c r="K81" i="10"/>
  <c r="L81" i="10"/>
  <c r="L84" i="10" s="1"/>
  <c r="M81" i="10"/>
  <c r="M84" i="10" s="1"/>
  <c r="K84" i="10"/>
  <c r="C85" i="10"/>
  <c r="E85" i="10"/>
  <c r="L93" i="10"/>
  <c r="H96" i="10"/>
  <c r="I96" i="10"/>
  <c r="I97" i="10" s="1"/>
  <c r="L97" i="10" s="1"/>
  <c r="J96" i="10"/>
  <c r="K96" i="10"/>
  <c r="H97" i="10"/>
  <c r="J97" i="10"/>
  <c r="K97" i="10"/>
  <c r="G106" i="10"/>
  <c r="G110" i="10" s="1"/>
  <c r="H110" i="10" s="1"/>
  <c r="K110" i="10" s="1"/>
  <c r="G107" i="10"/>
  <c r="H107" i="10" s="1"/>
  <c r="K107" i="10" s="1"/>
  <c r="G108" i="10"/>
  <c r="H108" i="10"/>
  <c r="K108" i="10" s="1"/>
  <c r="G111" i="10"/>
  <c r="H111" i="10" s="1"/>
  <c r="K111" i="10" s="1"/>
  <c r="G112" i="10"/>
  <c r="H112" i="10"/>
  <c r="K112" i="10" s="1"/>
  <c r="F114" i="10"/>
  <c r="C121" i="10"/>
  <c r="G123" i="10"/>
  <c r="J123" i="10"/>
  <c r="G126" i="10"/>
  <c r="G129" i="10"/>
  <c r="G130" i="10"/>
  <c r="G131" i="10"/>
  <c r="G132" i="10"/>
  <c r="G133" i="10"/>
  <c r="H135" i="10"/>
  <c r="I135" i="10"/>
  <c r="J135" i="10"/>
  <c r="K135" i="10"/>
  <c r="L135" i="10"/>
  <c r="G137" i="10"/>
  <c r="G139" i="10"/>
  <c r="G141" i="10"/>
  <c r="D166" i="10"/>
  <c r="D167" i="10"/>
  <c r="D168" i="10"/>
  <c r="J168" i="10"/>
  <c r="I168" i="10" s="1"/>
  <c r="C168" i="10" s="1"/>
  <c r="E168" i="10" s="1"/>
  <c r="D169" i="10"/>
  <c r="J169" i="10"/>
  <c r="I169" i="10" s="1"/>
  <c r="C169" i="10" s="1"/>
  <c r="E169" i="10" s="1"/>
  <c r="D170" i="10"/>
  <c r="L179" i="10"/>
  <c r="L180" i="10"/>
  <c r="J186" i="10"/>
  <c r="L186" i="10"/>
  <c r="M186" i="10"/>
  <c r="J187" i="10"/>
  <c r="L187" i="10"/>
  <c r="M187" i="10"/>
  <c r="G193" i="10"/>
  <c r="G196" i="10"/>
  <c r="G197" i="10"/>
  <c r="G198" i="10"/>
  <c r="G199" i="10"/>
  <c r="G200" i="10"/>
  <c r="G201" i="10"/>
  <c r="G202" i="10"/>
  <c r="G203" i="10"/>
  <c r="G204" i="10"/>
  <c r="G205" i="10"/>
  <c r="G206" i="10"/>
  <c r="G207" i="10"/>
  <c r="L233" i="10"/>
  <c r="L234" i="10"/>
  <c r="G235" i="10"/>
  <c r="H235" i="10"/>
  <c r="I235" i="10"/>
  <c r="J235" i="10"/>
  <c r="K235" i="10"/>
  <c r="L235" i="10"/>
  <c r="M235" i="10"/>
  <c r="G236" i="10"/>
  <c r="H236" i="10"/>
  <c r="I236" i="10"/>
  <c r="J236" i="10"/>
  <c r="K236" i="10"/>
  <c r="G238" i="10"/>
  <c r="H238" i="10"/>
  <c r="I238" i="10"/>
  <c r="J238" i="10"/>
  <c r="K238" i="10"/>
  <c r="L238" i="10"/>
  <c r="M238" i="10"/>
  <c r="G239" i="10"/>
  <c r="H239" i="10"/>
  <c r="I239" i="10"/>
  <c r="J239" i="10"/>
  <c r="K239" i="10"/>
  <c r="C246" i="10"/>
  <c r="L263" i="10"/>
  <c r="G264" i="10"/>
  <c r="H264" i="10"/>
  <c r="I264" i="10"/>
  <c r="J264" i="10"/>
  <c r="K264" i="10"/>
  <c r="L270" i="10"/>
  <c r="G271" i="10"/>
  <c r="H271" i="10"/>
  <c r="I271" i="10"/>
  <c r="J271" i="10"/>
  <c r="K271" i="10"/>
  <c r="L271" i="10"/>
  <c r="M271" i="10"/>
  <c r="G272" i="10"/>
  <c r="H272" i="10"/>
  <c r="I272" i="10"/>
  <c r="J272" i="10"/>
  <c r="K272" i="10"/>
  <c r="G274" i="10"/>
  <c r="H274" i="10"/>
  <c r="I274" i="10"/>
  <c r="J274" i="10"/>
  <c r="K274" i="10"/>
  <c r="L274" i="10"/>
  <c r="M274" i="10"/>
  <c r="G275" i="10"/>
  <c r="H275" i="10"/>
  <c r="I275" i="10"/>
  <c r="J275" i="10"/>
  <c r="K275" i="10"/>
  <c r="C282" i="10"/>
  <c r="D290" i="10"/>
  <c r="G290" i="10"/>
  <c r="J290" i="10"/>
  <c r="D291" i="10"/>
  <c r="G291" i="10"/>
  <c r="J291" i="10"/>
  <c r="D295" i="10"/>
  <c r="G295" i="10"/>
  <c r="J295" i="10"/>
  <c r="J296" i="10" s="1"/>
  <c r="D296" i="10"/>
  <c r="G296" i="10"/>
  <c r="D302" i="10"/>
  <c r="G302" i="10"/>
  <c r="J302" i="10"/>
  <c r="D303" i="10"/>
  <c r="G303" i="10"/>
  <c r="J303" i="10"/>
  <c r="D307" i="10"/>
  <c r="G307" i="10"/>
  <c r="G308" i="10" s="1"/>
  <c r="J307" i="10"/>
  <c r="D308" i="10"/>
  <c r="J308" i="10"/>
  <c r="M356" i="10"/>
  <c r="C359" i="10"/>
  <c r="M359" i="10" s="1"/>
  <c r="G17" i="9"/>
  <c r="AN17" i="9"/>
  <c r="AW17" i="9"/>
  <c r="A18" i="9"/>
  <c r="A20" i="9"/>
  <c r="AW21" i="9"/>
  <c r="B22" i="9"/>
  <c r="C22" i="9"/>
  <c r="D22" i="9"/>
  <c r="E22" i="9"/>
  <c r="Y26" i="9"/>
  <c r="AK26" i="9"/>
  <c r="E28" i="9"/>
  <c r="T28" i="9"/>
  <c r="F29" i="9"/>
  <c r="I30" i="9"/>
  <c r="K30" i="9"/>
  <c r="M30" i="9"/>
  <c r="O30" i="9"/>
  <c r="Q30" i="9"/>
  <c r="S30" i="9"/>
  <c r="AK31" i="9"/>
  <c r="AD26" i="9" s="1"/>
  <c r="T32" i="9"/>
  <c r="U32" i="9"/>
  <c r="AH32" i="9"/>
  <c r="E33" i="9"/>
  <c r="W33" i="9"/>
  <c r="AE33" i="9"/>
  <c r="AE36" i="9" s="1"/>
  <c r="AF33" i="9"/>
  <c r="AG33" i="9"/>
  <c r="AH33" i="9"/>
  <c r="AH36" i="9" s="1"/>
  <c r="AI33" i="9"/>
  <c r="AI36" i="9" s="1"/>
  <c r="AJ33" i="9"/>
  <c r="E34" i="9"/>
  <c r="U34" i="9"/>
  <c r="V34" i="9"/>
  <c r="W34" i="9"/>
  <c r="E35" i="9"/>
  <c r="U35" i="9"/>
  <c r="W35" i="9"/>
  <c r="AE35" i="9"/>
  <c r="AF35" i="9"/>
  <c r="AF37" i="9" s="1"/>
  <c r="AG35" i="9"/>
  <c r="AH35" i="9"/>
  <c r="AI35" i="9"/>
  <c r="AJ35" i="9"/>
  <c r="AJ37" i="9" s="1"/>
  <c r="E36" i="9"/>
  <c r="W36" i="9"/>
  <c r="AF36" i="9"/>
  <c r="AG36" i="9"/>
  <c r="AJ36" i="9"/>
  <c r="E37" i="9"/>
  <c r="W37" i="9"/>
  <c r="AE37" i="9"/>
  <c r="AG37" i="9"/>
  <c r="AH37" i="9"/>
  <c r="AI37" i="9"/>
  <c r="AK37" i="9"/>
  <c r="C50" i="9"/>
  <c r="D50" i="9"/>
  <c r="E50" i="9"/>
  <c r="B51" i="9"/>
  <c r="D51" i="9"/>
  <c r="E51" i="9"/>
  <c r="G51" i="9" s="1"/>
  <c r="E52" i="9"/>
  <c r="C58" i="15"/>
  <c r="G182" i="15"/>
  <c r="C52" i="15"/>
  <c r="G52" i="9"/>
  <c r="E127" i="15"/>
  <c r="C64" i="15"/>
  <c r="C160" i="15"/>
  <c r="C34" i="15"/>
  <c r="C157" i="15"/>
  <c r="F16" i="15"/>
  <c r="G149" i="15"/>
  <c r="C40" i="15"/>
  <c r="G143" i="15"/>
  <c r="E108" i="15"/>
  <c r="G181" i="15"/>
  <c r="C101" i="15"/>
  <c r="G12" i="15"/>
  <c r="G146" i="15"/>
  <c r="C78" i="15"/>
  <c r="C168" i="15"/>
  <c r="G140" i="15"/>
  <c r="E114" i="15"/>
  <c r="G137" i="15"/>
  <c r="C46" i="15"/>
  <c r="C171" i="15"/>
  <c r="C89" i="15"/>
  <c r="C95" i="15"/>
  <c r="AA79" i="22" l="1"/>
  <c r="AA80" i="22"/>
  <c r="AA81" i="22" s="1"/>
  <c r="AA47" i="20"/>
  <c r="AA48" i="20" s="1"/>
  <c r="AA46" i="20"/>
  <c r="Z13" i="20"/>
  <c r="I13" i="20"/>
  <c r="M13" i="20"/>
  <c r="Q13" i="20"/>
  <c r="AJ20" i="20"/>
  <c r="O13" i="20"/>
  <c r="S13" i="20"/>
  <c r="K13" i="20"/>
  <c r="J23" i="20"/>
  <c r="N23" i="20"/>
  <c r="R23" i="20"/>
  <c r="L23" i="20"/>
  <c r="P23" i="20"/>
  <c r="H23" i="20"/>
  <c r="H17" i="20"/>
  <c r="L17" i="20"/>
  <c r="P17" i="20"/>
  <c r="J17" i="20"/>
  <c r="N17" i="20"/>
  <c r="R17" i="20"/>
  <c r="F21" i="20"/>
  <c r="F22" i="20" s="1"/>
  <c r="F23" i="20" s="1"/>
  <c r="U54" i="20"/>
  <c r="C79" i="19"/>
  <c r="C80" i="19" s="1"/>
  <c r="C81" i="19" s="1"/>
  <c r="C83" i="19" s="1"/>
  <c r="N65" i="19"/>
  <c r="M11" i="19" s="1"/>
  <c r="V7" i="12"/>
  <c r="L8" i="12"/>
  <c r="B9" i="12"/>
  <c r="AH9" i="12"/>
  <c r="AH10" i="12"/>
  <c r="N84" i="10"/>
  <c r="L96" i="10"/>
  <c r="L98" i="10" s="1"/>
  <c r="L99" i="10" s="1"/>
  <c r="J167" i="10"/>
  <c r="I167" i="10" s="1"/>
  <c r="C167" i="10" s="1"/>
  <c r="E167" i="10" s="1"/>
  <c r="G113" i="10"/>
  <c r="H113" i="10" s="1"/>
  <c r="K113" i="10" s="1"/>
  <c r="G109" i="10"/>
  <c r="H109" i="10" s="1"/>
  <c r="K109" i="10" s="1"/>
  <c r="J170" i="10"/>
  <c r="I170" i="10" s="1"/>
  <c r="C170" i="10" s="1"/>
  <c r="E170" i="10" s="1"/>
  <c r="J166" i="10"/>
  <c r="I166" i="10" s="1"/>
  <c r="C166" i="10" s="1"/>
  <c r="E166" i="10" s="1"/>
  <c r="AK36" i="9"/>
  <c r="AK33" i="9"/>
  <c r="H35" i="9" s="1"/>
  <c r="E53" i="9"/>
  <c r="E54" i="9"/>
  <c r="C64" i="9"/>
  <c r="D64" i="9"/>
  <c r="E64" i="9"/>
  <c r="N64" i="9"/>
  <c r="C65" i="9"/>
  <c r="G65" i="9"/>
  <c r="AA83" i="22" l="1"/>
  <c r="AA85" i="22" s="1"/>
  <c r="J54" i="20"/>
  <c r="N13" i="20"/>
  <c r="N54" i="20" s="1"/>
  <c r="O54" i="20"/>
  <c r="H13" i="20"/>
  <c r="H54" i="20" s="1"/>
  <c r="I54" i="20"/>
  <c r="AE20" i="20"/>
  <c r="AI20" i="20"/>
  <c r="AF20" i="20"/>
  <c r="AG20" i="20"/>
  <c r="AD20" i="20"/>
  <c r="AH20" i="20"/>
  <c r="R13" i="20"/>
  <c r="R54" i="20" s="1"/>
  <c r="S54" i="20"/>
  <c r="L13" i="20"/>
  <c r="L54" i="20" s="1"/>
  <c r="M54" i="20"/>
  <c r="J13" i="20"/>
  <c r="K54" i="20"/>
  <c r="P13" i="20"/>
  <c r="P54" i="20" s="1"/>
  <c r="Q54" i="20"/>
  <c r="C85" i="19"/>
  <c r="C87" i="19"/>
  <c r="C88" i="19" s="1"/>
  <c r="C89" i="19" s="1"/>
  <c r="C90" i="19" s="1"/>
  <c r="B10" i="12"/>
  <c r="L10" i="12"/>
  <c r="AH11" i="12"/>
  <c r="AH12" i="12"/>
  <c r="AH13" i="12" s="1"/>
  <c r="V8" i="12"/>
  <c r="L165" i="10"/>
  <c r="F167" i="10" s="1"/>
  <c r="J34" i="9"/>
  <c r="P35" i="9"/>
  <c r="L34" i="9"/>
  <c r="N34" i="9"/>
  <c r="H34" i="9"/>
  <c r="P34" i="9"/>
  <c r="R34" i="9"/>
  <c r="J35" i="9"/>
  <c r="R35" i="9"/>
  <c r="AD28" i="9"/>
  <c r="N35" i="9"/>
  <c r="L35" i="9"/>
  <c r="AF28" i="9"/>
  <c r="W26" i="9"/>
  <c r="K65" i="9"/>
  <c r="J72" i="9"/>
  <c r="J73" i="9"/>
  <c r="L73" i="9"/>
  <c r="B74" i="9"/>
  <c r="B75" i="9"/>
  <c r="C75" i="9"/>
  <c r="B81" i="9"/>
  <c r="H81" i="9"/>
  <c r="B82" i="9"/>
  <c r="C82" i="9"/>
  <c r="D82" i="9"/>
  <c r="E82" i="9"/>
  <c r="H82" i="9"/>
  <c r="I82" i="9"/>
  <c r="L82" i="9"/>
  <c r="AA87" i="22" l="1"/>
  <c r="AA88" i="22"/>
  <c r="AA89" i="22"/>
  <c r="C92" i="19"/>
  <c r="C93" i="19"/>
  <c r="C95" i="19" s="1"/>
  <c r="C96" i="19" s="1"/>
  <c r="C97" i="19" s="1"/>
  <c r="C98" i="19" s="1"/>
  <c r="C99" i="19" s="1"/>
  <c r="J72" i="19" s="1"/>
  <c r="L11" i="12"/>
  <c r="B11" i="12"/>
  <c r="AH14" i="12"/>
  <c r="AH15" i="12" s="1"/>
  <c r="V9" i="12"/>
  <c r="G167" i="10"/>
  <c r="K167" i="10"/>
  <c r="L167" i="10" s="1"/>
  <c r="F168" i="10"/>
  <c r="F169" i="10"/>
  <c r="F170" i="10"/>
  <c r="F166" i="10"/>
  <c r="X35" i="9"/>
  <c r="X36" i="9"/>
  <c r="X34" i="9"/>
  <c r="V35" i="9"/>
  <c r="V36" i="9"/>
  <c r="V33" i="9"/>
  <c r="J65" i="9" s="1"/>
  <c r="X33" i="9"/>
  <c r="X37" i="9"/>
  <c r="V37" i="9"/>
  <c r="B84" i="9"/>
  <c r="C84" i="9"/>
  <c r="D84" i="9"/>
  <c r="E84" i="9"/>
  <c r="H84" i="9"/>
  <c r="I84" i="9"/>
  <c r="J89" i="9"/>
  <c r="J90" i="9"/>
  <c r="B91" i="9"/>
  <c r="B26" i="9" s="1"/>
  <c r="R91" i="9"/>
  <c r="B92" i="9"/>
  <c r="C92" i="9"/>
  <c r="L90" i="9" s="1"/>
  <c r="O92" i="9"/>
  <c r="R92" i="9"/>
  <c r="AA90" i="22" l="1"/>
  <c r="AA92" i="22" s="1"/>
  <c r="AA93" i="22" s="1"/>
  <c r="AA95" i="22" s="1"/>
  <c r="AA96" i="22" s="1"/>
  <c r="AA97" i="22" s="1"/>
  <c r="AA98" i="22" s="1"/>
  <c r="AA99" i="22" s="1"/>
  <c r="AH72" i="22" s="1"/>
  <c r="J74" i="19"/>
  <c r="J75" i="19" s="1"/>
  <c r="V10" i="12"/>
  <c r="V11" i="12"/>
  <c r="B13" i="12"/>
  <c r="B15" i="12"/>
  <c r="AH16" i="12"/>
  <c r="L12" i="12"/>
  <c r="F158" i="10"/>
  <c r="D161" i="10" s="1"/>
  <c r="K166" i="10"/>
  <c r="L166" i="10" s="1"/>
  <c r="G166" i="10"/>
  <c r="I158" i="10" s="1"/>
  <c r="K169" i="10"/>
  <c r="L169" i="10" s="1"/>
  <c r="G169" i="10"/>
  <c r="G168" i="10"/>
  <c r="K168" i="10"/>
  <c r="L168" i="10" s="1"/>
  <c r="K170" i="10"/>
  <c r="L170" i="10" s="1"/>
  <c r="G170" i="10"/>
  <c r="U37" i="9"/>
  <c r="AA37" i="9"/>
  <c r="I37" i="9"/>
  <c r="Q37" i="9"/>
  <c r="K37" i="9"/>
  <c r="O37" i="9"/>
  <c r="S37" i="9"/>
  <c r="M37" i="9"/>
  <c r="U33" i="9"/>
  <c r="AA33" i="9"/>
  <c r="I33" i="9"/>
  <c r="M33" i="9"/>
  <c r="Q33" i="9"/>
  <c r="K33" i="9"/>
  <c r="O33" i="9"/>
  <c r="S33" i="9"/>
  <c r="N65" i="9"/>
  <c r="E65" i="9" s="1"/>
  <c r="I34" i="9"/>
  <c r="M34" i="9"/>
  <c r="Q34" i="9"/>
  <c r="K34" i="9"/>
  <c r="O34" i="9"/>
  <c r="S34" i="9"/>
  <c r="AA34" i="9"/>
  <c r="K36" i="9"/>
  <c r="O36" i="9"/>
  <c r="S36" i="9"/>
  <c r="I36" i="9"/>
  <c r="M36" i="9"/>
  <c r="Q36" i="9"/>
  <c r="U36" i="9"/>
  <c r="AA36" i="9"/>
  <c r="K35" i="9"/>
  <c r="O35" i="9"/>
  <c r="S35" i="9"/>
  <c r="I35" i="9"/>
  <c r="M35" i="9"/>
  <c r="Q35" i="9"/>
  <c r="AA35" i="9"/>
  <c r="B97" i="9"/>
  <c r="B32" i="9" s="1"/>
  <c r="D97" i="9"/>
  <c r="E32" i="9" s="1"/>
  <c r="E39" i="9" s="1"/>
  <c r="J97" i="9"/>
  <c r="V32" i="9" s="1"/>
  <c r="L97" i="9"/>
  <c r="X32" i="9" s="1"/>
  <c r="X39" i="9" s="1"/>
  <c r="N97" i="9"/>
  <c r="O97" i="9"/>
  <c r="P97" i="9"/>
  <c r="AA32" i="9" s="1"/>
  <c r="E98" i="9"/>
  <c r="L98" i="9" s="1"/>
  <c r="J98" i="9"/>
  <c r="K98" i="9"/>
  <c r="E99" i="9"/>
  <c r="E93" i="9" s="1"/>
  <c r="J99" i="9"/>
  <c r="K99" i="9"/>
  <c r="E100" i="9"/>
  <c r="L100" i="9" s="1"/>
  <c r="J100" i="9"/>
  <c r="K100" i="9"/>
  <c r="P100" i="9"/>
  <c r="R100" i="9"/>
  <c r="AH74" i="22" l="1"/>
  <c r="AH75" i="22" s="1"/>
  <c r="J76" i="19"/>
  <c r="L13" i="12"/>
  <c r="V12" i="12"/>
  <c r="B16" i="12"/>
  <c r="B17" i="12" s="1"/>
  <c r="L14" i="12"/>
  <c r="V13" i="12"/>
  <c r="AH17" i="12"/>
  <c r="K165" i="10"/>
  <c r="E158" i="10" s="1"/>
  <c r="C158" i="10" s="1"/>
  <c r="K161" i="10"/>
  <c r="I161" i="10"/>
  <c r="G161" i="10"/>
  <c r="E161" i="10" s="1"/>
  <c r="C163" i="10"/>
  <c r="C161" i="10"/>
  <c r="H161" i="10"/>
  <c r="D163" i="10"/>
  <c r="P98" i="9"/>
  <c r="L99" i="9"/>
  <c r="L101" i="9" s="1"/>
  <c r="J36" i="9"/>
  <c r="R36" i="9"/>
  <c r="H36" i="9"/>
  <c r="L36" i="9"/>
  <c r="P36" i="9"/>
  <c r="N36" i="9"/>
  <c r="Z30" i="9"/>
  <c r="AA39" i="9"/>
  <c r="J33" i="9"/>
  <c r="N33" i="9"/>
  <c r="R33" i="9"/>
  <c r="H33" i="9"/>
  <c r="L33" i="9"/>
  <c r="P33" i="9"/>
  <c r="U39" i="9"/>
  <c r="J37" i="9"/>
  <c r="N37" i="9"/>
  <c r="R37" i="9"/>
  <c r="H37" i="9"/>
  <c r="L37" i="9"/>
  <c r="P37" i="9"/>
  <c r="G7" i="8"/>
  <c r="O12" i="7"/>
  <c r="S12" i="7"/>
  <c r="W12" i="7"/>
  <c r="AC12" i="7"/>
  <c r="AG12" i="7"/>
  <c r="AM12" i="7"/>
  <c r="AU12" i="7"/>
  <c r="AY12" i="7"/>
  <c r="BC12" i="7"/>
  <c r="BG12" i="7"/>
  <c r="BM12" i="7"/>
  <c r="BO12" i="7"/>
  <c r="BS12" i="7"/>
  <c r="E13" i="7"/>
  <c r="G13" i="7"/>
  <c r="I13" i="7"/>
  <c r="K13" i="7"/>
  <c r="M13" i="7"/>
  <c r="Q13" i="7"/>
  <c r="U13" i="7"/>
  <c r="Y13" i="7"/>
  <c r="AA13" i="7"/>
  <c r="AE13" i="7"/>
  <c r="AI13" i="7"/>
  <c r="AK13" i="7"/>
  <c r="AO13" i="7"/>
  <c r="AQ13" i="7"/>
  <c r="AS13" i="7"/>
  <c r="AW13" i="7"/>
  <c r="BA13" i="7"/>
  <c r="BE13" i="7"/>
  <c r="BI13" i="7"/>
  <c r="BQ13" i="7"/>
  <c r="E75" i="7"/>
  <c r="G75" i="7"/>
  <c r="I75" i="7"/>
  <c r="K75" i="7"/>
  <c r="M75" i="7"/>
  <c r="O75" i="7"/>
  <c r="Q75" i="7"/>
  <c r="S75" i="7"/>
  <c r="U75" i="7"/>
  <c r="W75" i="7"/>
  <c r="AA75" i="7"/>
  <c r="AC75" i="7"/>
  <c r="AE75" i="7"/>
  <c r="AG75" i="7"/>
  <c r="AI75" i="7"/>
  <c r="AK75" i="7"/>
  <c r="AM75" i="7"/>
  <c r="AO75" i="7"/>
  <c r="AQ75" i="7"/>
  <c r="AS75" i="7"/>
  <c r="AU75" i="7"/>
  <c r="AW75" i="7"/>
  <c r="AY75" i="7"/>
  <c r="BA75" i="7"/>
  <c r="BC75" i="7"/>
  <c r="BE75" i="7"/>
  <c r="BG75" i="7"/>
  <c r="BI75" i="7"/>
  <c r="BK75" i="7"/>
  <c r="BM75" i="7"/>
  <c r="BO75" i="7"/>
  <c r="BQ75" i="7"/>
  <c r="BS75" i="7"/>
  <c r="B86" i="7"/>
  <c r="C86" i="7"/>
  <c r="B7" i="6"/>
  <c r="I12" i="5"/>
  <c r="O15" i="5"/>
  <c r="D16" i="5"/>
  <c r="D24" i="5" s="1"/>
  <c r="O16" i="5"/>
  <c r="D17" i="5"/>
  <c r="D18" i="5"/>
  <c r="D19" i="5"/>
  <c r="D20" i="5"/>
  <c r="D21" i="5"/>
  <c r="D22" i="5"/>
  <c r="D23" i="5"/>
  <c r="B24" i="5"/>
  <c r="H24" i="5"/>
  <c r="I31" i="5"/>
  <c r="Q31" i="5"/>
  <c r="D35" i="5"/>
  <c r="D43" i="5" s="1"/>
  <c r="D36" i="5"/>
  <c r="D37" i="5"/>
  <c r="D38" i="5"/>
  <c r="D39" i="5"/>
  <c r="D40" i="5"/>
  <c r="D41" i="5"/>
  <c r="D42" i="5"/>
  <c r="Q42" i="5"/>
  <c r="B43" i="5"/>
  <c r="Q41" i="5" s="1"/>
  <c r="H43" i="5"/>
  <c r="B2" i="4"/>
  <c r="I7" i="4"/>
  <c r="J90" i="4"/>
  <c r="W90" i="4"/>
  <c r="G91" i="4"/>
  <c r="M91" i="4" s="1"/>
  <c r="H91" i="4"/>
  <c r="I91" i="4"/>
  <c r="J91" i="4"/>
  <c r="K91" i="4"/>
  <c r="L91" i="4"/>
  <c r="H111" i="4"/>
  <c r="H112" i="4"/>
  <c r="H113" i="4"/>
  <c r="F125" i="4"/>
  <c r="G139" i="4"/>
  <c r="M139" i="4"/>
  <c r="T139" i="4"/>
  <c r="W139" i="4"/>
  <c r="B1" i="3"/>
  <c r="Q1" i="3"/>
  <c r="A4" i="3"/>
  <c r="L7" i="3"/>
  <c r="AA7" i="3"/>
  <c r="AF7" i="3"/>
  <c r="O8" i="3"/>
  <c r="U8" i="3"/>
  <c r="Y8" i="3" s="1"/>
  <c r="X8" i="3"/>
  <c r="AF9" i="3"/>
  <c r="C10" i="3"/>
  <c r="M10" i="3"/>
  <c r="N10" i="3"/>
  <c r="O10" i="3"/>
  <c r="P10" i="3"/>
  <c r="AF10" i="3"/>
  <c r="J11" i="3"/>
  <c r="AF11" i="3"/>
  <c r="F13" i="3"/>
  <c r="K13" i="3"/>
  <c r="F14" i="3"/>
  <c r="K14" i="3"/>
  <c r="F15" i="3"/>
  <c r="K15" i="3"/>
  <c r="F16" i="3"/>
  <c r="K16" i="3"/>
  <c r="N16" i="3"/>
  <c r="F17" i="3"/>
  <c r="K17" i="3"/>
  <c r="N17" i="3"/>
  <c r="F18" i="3"/>
  <c r="K18" i="3"/>
  <c r="N18" i="3"/>
  <c r="F19" i="3"/>
  <c r="K19" i="3"/>
  <c r="N19" i="3"/>
  <c r="F20" i="3"/>
  <c r="K20" i="3"/>
  <c r="N20" i="3"/>
  <c r="F21" i="3"/>
  <c r="K21" i="3"/>
  <c r="N21" i="3"/>
  <c r="Y21" i="3"/>
  <c r="F22" i="3"/>
  <c r="K22" i="3"/>
  <c r="N22" i="3"/>
  <c r="Y22" i="3"/>
  <c r="Z22" i="3"/>
  <c r="F23" i="3"/>
  <c r="K23" i="3"/>
  <c r="N23" i="3"/>
  <c r="AF23" i="3"/>
  <c r="F24" i="3"/>
  <c r="K24" i="3"/>
  <c r="N24" i="3"/>
  <c r="Y24" i="3"/>
  <c r="F25" i="3"/>
  <c r="K25" i="3"/>
  <c r="N25" i="3"/>
  <c r="F26" i="3"/>
  <c r="K26" i="3"/>
  <c r="N26" i="3"/>
  <c r="Y26" i="3"/>
  <c r="F27" i="3"/>
  <c r="K27" i="3"/>
  <c r="N27" i="3"/>
  <c r="F28" i="3"/>
  <c r="K28" i="3"/>
  <c r="N28" i="3"/>
  <c r="F29" i="3"/>
  <c r="K29" i="3"/>
  <c r="N29" i="3"/>
  <c r="F30" i="3"/>
  <c r="K30" i="3"/>
  <c r="F31" i="3"/>
  <c r="K31" i="3"/>
  <c r="N31" i="3"/>
  <c r="F32" i="3"/>
  <c r="K32" i="3"/>
  <c r="N32" i="3"/>
  <c r="F33" i="3"/>
  <c r="K33" i="3"/>
  <c r="N33" i="3"/>
  <c r="F34" i="3"/>
  <c r="K34" i="3"/>
  <c r="F35" i="3"/>
  <c r="K35" i="3"/>
  <c r="N35" i="3"/>
  <c r="F36" i="3"/>
  <c r="K36" i="3"/>
  <c r="N36" i="3"/>
  <c r="F37" i="3"/>
  <c r="K37" i="3"/>
  <c r="N37" i="3"/>
  <c r="F38" i="3"/>
  <c r="K38" i="3"/>
  <c r="F39" i="3"/>
  <c r="K39" i="3"/>
  <c r="N39" i="3"/>
  <c r="F40" i="3"/>
  <c r="K40" i="3"/>
  <c r="N40" i="3"/>
  <c r="AE40" i="3"/>
  <c r="AF40" i="3"/>
  <c r="F41" i="3"/>
  <c r="K41" i="3"/>
  <c r="AF41" i="3"/>
  <c r="F42" i="3"/>
  <c r="K42" i="3"/>
  <c r="N42" i="3"/>
  <c r="V42" i="3"/>
  <c r="Y42" i="3"/>
  <c r="Z42" i="3"/>
  <c r="AF42" i="3"/>
  <c r="F43" i="3"/>
  <c r="K43" i="3"/>
  <c r="N43" i="3"/>
  <c r="AF43" i="3"/>
  <c r="F44" i="3"/>
  <c r="N44" i="3" s="1"/>
  <c r="K44" i="3"/>
  <c r="AF44" i="3"/>
  <c r="F45" i="3"/>
  <c r="K45" i="3"/>
  <c r="N45" i="3"/>
  <c r="F46" i="3"/>
  <c r="K46" i="3"/>
  <c r="N46" i="3"/>
  <c r="F47" i="3"/>
  <c r="K47" i="3"/>
  <c r="N47" i="3"/>
  <c r="F48" i="3"/>
  <c r="K48" i="3"/>
  <c r="N48" i="3"/>
  <c r="F49" i="3"/>
  <c r="K49" i="3"/>
  <c r="N49" i="3"/>
  <c r="F50" i="3"/>
  <c r="K50" i="3"/>
  <c r="N50" i="3"/>
  <c r="F51" i="3"/>
  <c r="K51" i="3"/>
  <c r="N51" i="3"/>
  <c r="F52" i="3"/>
  <c r="K52" i="3"/>
  <c r="N52" i="3"/>
  <c r="F53" i="3"/>
  <c r="K53" i="3"/>
  <c r="N53" i="3"/>
  <c r="F54" i="3"/>
  <c r="K54" i="3"/>
  <c r="N54" i="3"/>
  <c r="F55" i="3"/>
  <c r="K55" i="3"/>
  <c r="N55" i="3"/>
  <c r="F56" i="3"/>
  <c r="K56" i="3"/>
  <c r="N56" i="3"/>
  <c r="F57" i="3"/>
  <c r="K57" i="3"/>
  <c r="N57" i="3"/>
  <c r="F58" i="3"/>
  <c r="K58" i="3"/>
  <c r="N58" i="3"/>
  <c r="F59" i="3"/>
  <c r="K59" i="3"/>
  <c r="N59" i="3"/>
  <c r="AF59" i="3"/>
  <c r="F60" i="3"/>
  <c r="K60" i="3"/>
  <c r="N60" i="3"/>
  <c r="AF60" i="3"/>
  <c r="F61" i="3"/>
  <c r="K61" i="3"/>
  <c r="N61" i="3"/>
  <c r="F62" i="3"/>
  <c r="K62" i="3"/>
  <c r="N62" i="3"/>
  <c r="AF62" i="3"/>
  <c r="Q63" i="3"/>
  <c r="D64" i="3"/>
  <c r="Q68" i="3"/>
  <c r="AF68" i="3"/>
  <c r="C73" i="3"/>
  <c r="J73" i="3"/>
  <c r="C74" i="3"/>
  <c r="C75" i="3" s="1"/>
  <c r="J74" i="3"/>
  <c r="J75" i="3"/>
  <c r="J76" i="3"/>
  <c r="C77" i="3"/>
  <c r="J77" i="3"/>
  <c r="C78" i="3"/>
  <c r="J78" i="3"/>
  <c r="AF78" i="3"/>
  <c r="C79" i="3"/>
  <c r="J79" i="3"/>
  <c r="C80" i="3"/>
  <c r="AF80" i="3"/>
  <c r="C81" i="3"/>
  <c r="C82" i="3"/>
  <c r="J82" i="3"/>
  <c r="C83" i="3"/>
  <c r="J83" i="3"/>
  <c r="C84" i="3"/>
  <c r="J84" i="3"/>
  <c r="C85" i="3"/>
  <c r="J85" i="3"/>
  <c r="C86" i="3"/>
  <c r="J86" i="3"/>
  <c r="C87" i="3"/>
  <c r="J87" i="3"/>
  <c r="C88" i="3"/>
  <c r="J88" i="3"/>
  <c r="AD88" i="3"/>
  <c r="AE88" i="3"/>
  <c r="AF88" i="3"/>
  <c r="C89" i="3"/>
  <c r="J89" i="3"/>
  <c r="C90" i="3"/>
  <c r="J90" i="3"/>
  <c r="C91" i="3"/>
  <c r="J91" i="3"/>
  <c r="C92" i="3"/>
  <c r="J92" i="3"/>
  <c r="C93" i="3"/>
  <c r="J93" i="3"/>
  <c r="C94" i="3"/>
  <c r="J94" i="3"/>
  <c r="C95" i="3"/>
  <c r="J95" i="3"/>
  <c r="C96" i="3"/>
  <c r="J96" i="3"/>
  <c r="C97" i="3"/>
  <c r="J97" i="3"/>
  <c r="C98" i="3"/>
  <c r="J98" i="3"/>
  <c r="C99" i="3"/>
  <c r="J99" i="3"/>
  <c r="C100" i="3"/>
  <c r="J100" i="3"/>
  <c r="C101" i="3"/>
  <c r="J101" i="3"/>
  <c r="C104" i="3"/>
  <c r="Q105" i="3"/>
  <c r="I107" i="3"/>
  <c r="H108" i="3"/>
  <c r="I108" i="3"/>
  <c r="M108" i="3" s="1"/>
  <c r="J108" i="3"/>
  <c r="L108" i="3"/>
  <c r="C110" i="3"/>
  <c r="O112" i="3"/>
  <c r="P112" i="3"/>
  <c r="C113" i="3"/>
  <c r="E113" i="3"/>
  <c r="F113" i="3" s="1"/>
  <c r="H113" i="3" s="1"/>
  <c r="F116" i="3"/>
  <c r="J116" i="3" s="1"/>
  <c r="H116" i="3"/>
  <c r="F117" i="3"/>
  <c r="F118" i="3"/>
  <c r="H118" i="3"/>
  <c r="J118" i="3" s="1"/>
  <c r="F119" i="3"/>
  <c r="H119" i="3" s="1"/>
  <c r="J119" i="3" s="1"/>
  <c r="F120" i="3"/>
  <c r="J120" i="3" s="1"/>
  <c r="H120" i="3"/>
  <c r="K120" i="3"/>
  <c r="F121" i="3"/>
  <c r="C127" i="3"/>
  <c r="O129" i="3"/>
  <c r="P129" i="3"/>
  <c r="C130" i="3"/>
  <c r="E130" i="3"/>
  <c r="F133" i="3"/>
  <c r="G133" i="3"/>
  <c r="F134" i="3"/>
  <c r="G134" i="3"/>
  <c r="F135" i="3"/>
  <c r="G135" i="3"/>
  <c r="F136" i="3"/>
  <c r="G136" i="3"/>
  <c r="F137" i="3"/>
  <c r="G137" i="3"/>
  <c r="F138" i="3"/>
  <c r="G138" i="3"/>
  <c r="L140" i="3"/>
  <c r="J142" i="3"/>
  <c r="Z1" i="2"/>
  <c r="AO1" i="2"/>
  <c r="B3" i="2"/>
  <c r="V3" i="2"/>
  <c r="X3" i="2"/>
  <c r="A4" i="2"/>
  <c r="C4" i="2"/>
  <c r="Y4" i="2"/>
  <c r="AJ7" i="2"/>
  <c r="AR7" i="2"/>
  <c r="AW7" i="2"/>
  <c r="BB7" i="2"/>
  <c r="BG7" i="2"/>
  <c r="V8" i="2"/>
  <c r="AM8" i="2"/>
  <c r="AW8" i="2"/>
  <c r="BA8" i="2"/>
  <c r="BC8" i="2" s="1"/>
  <c r="BB8" i="2"/>
  <c r="AW9" i="2"/>
  <c r="BA9" i="2"/>
  <c r="BB9" i="2"/>
  <c r="BC9" i="2"/>
  <c r="BG9" i="2"/>
  <c r="AA10" i="2"/>
  <c r="BA7" i="2" s="1"/>
  <c r="BA13" i="2" s="1"/>
  <c r="V6" i="2" s="1"/>
  <c r="AK10" i="2"/>
  <c r="AL10" i="2"/>
  <c r="AM10" i="2"/>
  <c r="AN10" i="2"/>
  <c r="AW10" i="2"/>
  <c r="BA10" i="2"/>
  <c r="BB10" i="2"/>
  <c r="BC10" i="2"/>
  <c r="BG10" i="2"/>
  <c r="D11" i="2"/>
  <c r="G11" i="2"/>
  <c r="J11" i="2"/>
  <c r="M11" i="2"/>
  <c r="P11" i="2"/>
  <c r="S11" i="2"/>
  <c r="AH11" i="2"/>
  <c r="AW11" i="2"/>
  <c r="BA11" i="2"/>
  <c r="BC11" i="2" s="1"/>
  <c r="BB11" i="2"/>
  <c r="BG11" i="2"/>
  <c r="AW12" i="2"/>
  <c r="BA12" i="2"/>
  <c r="BB12" i="2"/>
  <c r="BC12" i="2"/>
  <c r="B13" i="2"/>
  <c r="D13" i="2"/>
  <c r="E13" i="2"/>
  <c r="H13" i="2"/>
  <c r="K13" i="2"/>
  <c r="N13" i="2"/>
  <c r="Q13" i="2"/>
  <c r="T13" i="2"/>
  <c r="AD13" i="2"/>
  <c r="AI13" i="2"/>
  <c r="B14" i="2"/>
  <c r="D14" i="2"/>
  <c r="E14" i="2"/>
  <c r="H14" i="2"/>
  <c r="K14" i="2"/>
  <c r="N14" i="2"/>
  <c r="Q14" i="2"/>
  <c r="T14" i="2"/>
  <c r="AD14" i="2"/>
  <c r="AI14" i="2"/>
  <c r="B15" i="2"/>
  <c r="D15" i="2"/>
  <c r="E15" i="2"/>
  <c r="H15" i="2"/>
  <c r="K15" i="2"/>
  <c r="N15" i="2"/>
  <c r="Q15" i="2"/>
  <c r="T15" i="2"/>
  <c r="AD15" i="2"/>
  <c r="AI15" i="2"/>
  <c r="B16" i="2"/>
  <c r="D16" i="2"/>
  <c r="E16" i="2"/>
  <c r="H16" i="2"/>
  <c r="K16" i="2"/>
  <c r="N16" i="2"/>
  <c r="Q16" i="2"/>
  <c r="T16" i="2"/>
  <c r="AD16" i="2"/>
  <c r="AI16" i="2"/>
  <c r="B17" i="2"/>
  <c r="D17" i="2"/>
  <c r="E17" i="2"/>
  <c r="H17" i="2"/>
  <c r="K17" i="2"/>
  <c r="N17" i="2"/>
  <c r="Q17" i="2"/>
  <c r="T17" i="2"/>
  <c r="AD17" i="2"/>
  <c r="AI17" i="2"/>
  <c r="AL17" i="2"/>
  <c r="B18" i="2"/>
  <c r="D18" i="2"/>
  <c r="E18" i="2"/>
  <c r="H18" i="2"/>
  <c r="K18" i="2"/>
  <c r="N18" i="2"/>
  <c r="Q18" i="2"/>
  <c r="T18" i="2"/>
  <c r="AD18" i="2"/>
  <c r="AI18" i="2"/>
  <c r="B19" i="2"/>
  <c r="D19" i="2"/>
  <c r="E19" i="2"/>
  <c r="H19" i="2"/>
  <c r="K19" i="2"/>
  <c r="N19" i="2"/>
  <c r="Q19" i="2"/>
  <c r="T19" i="2"/>
  <c r="AD19" i="2"/>
  <c r="AI19" i="2"/>
  <c r="AL19" i="2"/>
  <c r="B20" i="2"/>
  <c r="D20" i="2"/>
  <c r="E20" i="2"/>
  <c r="H20" i="2"/>
  <c r="K20" i="2"/>
  <c r="N20" i="2"/>
  <c r="Q20" i="2"/>
  <c r="T20" i="2"/>
  <c r="AD20" i="2"/>
  <c r="AI20" i="2"/>
  <c r="B21" i="2"/>
  <c r="D21" i="2"/>
  <c r="E21" i="2"/>
  <c r="H21" i="2"/>
  <c r="K21" i="2"/>
  <c r="N21" i="2"/>
  <c r="Q21" i="2"/>
  <c r="T21" i="2"/>
  <c r="AD21" i="2"/>
  <c r="AI21" i="2"/>
  <c r="AL21" i="2"/>
  <c r="B22" i="2"/>
  <c r="D22" i="2"/>
  <c r="E22" i="2"/>
  <c r="H22" i="2"/>
  <c r="K22" i="2"/>
  <c r="N22" i="2"/>
  <c r="Q22" i="2"/>
  <c r="T22" i="2"/>
  <c r="AD22" i="2"/>
  <c r="AI22" i="2"/>
  <c r="AY22" i="2"/>
  <c r="B23" i="2"/>
  <c r="D23" i="2"/>
  <c r="E23" i="2"/>
  <c r="H23" i="2"/>
  <c r="K23" i="2"/>
  <c r="N23" i="2"/>
  <c r="Q23" i="2"/>
  <c r="T23" i="2"/>
  <c r="AD23" i="2"/>
  <c r="AI23" i="2"/>
  <c r="AL23" i="2"/>
  <c r="AS23" i="2"/>
  <c r="AV23" i="2"/>
  <c r="BG23" i="2"/>
  <c r="B24" i="2"/>
  <c r="D24" i="2"/>
  <c r="E24" i="2"/>
  <c r="F24" i="2"/>
  <c r="H24" i="2"/>
  <c r="K24" i="2"/>
  <c r="N24" i="2"/>
  <c r="Q24" i="2"/>
  <c r="T24" i="2"/>
  <c r="AD24" i="2"/>
  <c r="AI24" i="2"/>
  <c r="AL24" i="2"/>
  <c r="B25" i="2"/>
  <c r="D25" i="2"/>
  <c r="E25" i="2"/>
  <c r="F25" i="2"/>
  <c r="H25" i="2"/>
  <c r="K25" i="2"/>
  <c r="N25" i="2"/>
  <c r="Q25" i="2"/>
  <c r="T25" i="2"/>
  <c r="AD25" i="2"/>
  <c r="AI25" i="2"/>
  <c r="AL25" i="2"/>
  <c r="B26" i="2"/>
  <c r="D26" i="2"/>
  <c r="E26" i="2"/>
  <c r="H26" i="2"/>
  <c r="K26" i="2"/>
  <c r="N26" i="2"/>
  <c r="Q26" i="2"/>
  <c r="T26" i="2"/>
  <c r="AD26" i="2"/>
  <c r="AI26" i="2"/>
  <c r="AL26" i="2"/>
  <c r="B27" i="2"/>
  <c r="D27" i="2"/>
  <c r="E27" i="2"/>
  <c r="F27" i="2"/>
  <c r="H27" i="2"/>
  <c r="K27" i="2"/>
  <c r="N27" i="2"/>
  <c r="Q27" i="2"/>
  <c r="T27" i="2"/>
  <c r="AD27" i="2"/>
  <c r="AI27" i="2"/>
  <c r="AL27" i="2"/>
  <c r="B28" i="2"/>
  <c r="D28" i="2"/>
  <c r="E28" i="2"/>
  <c r="F28" i="2"/>
  <c r="H28" i="2"/>
  <c r="K28" i="2"/>
  <c r="N28" i="2"/>
  <c r="Q28" i="2"/>
  <c r="T28" i="2"/>
  <c r="AD28" i="2"/>
  <c r="AI28" i="2"/>
  <c r="AL28" i="2"/>
  <c r="B29" i="2"/>
  <c r="D29" i="2"/>
  <c r="E29" i="2"/>
  <c r="F29" i="2"/>
  <c r="H29" i="2"/>
  <c r="K29" i="2"/>
  <c r="N29" i="2"/>
  <c r="Q29" i="2"/>
  <c r="T29" i="2"/>
  <c r="AD29" i="2"/>
  <c r="AI29" i="2"/>
  <c r="AL29" i="2"/>
  <c r="B30" i="2"/>
  <c r="D30" i="2"/>
  <c r="E30" i="2"/>
  <c r="F30" i="2"/>
  <c r="H30" i="2"/>
  <c r="K30" i="2"/>
  <c r="N30" i="2"/>
  <c r="Q30" i="2"/>
  <c r="T30" i="2"/>
  <c r="AD30" i="2"/>
  <c r="AI30" i="2"/>
  <c r="AL30" i="2"/>
  <c r="B31" i="2"/>
  <c r="D31" i="2"/>
  <c r="E31" i="2"/>
  <c r="F31" i="2"/>
  <c r="H31" i="2"/>
  <c r="K31" i="2"/>
  <c r="N31" i="2"/>
  <c r="Q31" i="2"/>
  <c r="T31" i="2"/>
  <c r="AD31" i="2"/>
  <c r="AI31" i="2"/>
  <c r="AL31" i="2"/>
  <c r="B32" i="2"/>
  <c r="D32" i="2"/>
  <c r="E32" i="2"/>
  <c r="F32" i="2"/>
  <c r="H32" i="2"/>
  <c r="K32" i="2"/>
  <c r="N32" i="2"/>
  <c r="Q32" i="2"/>
  <c r="T32" i="2"/>
  <c r="AD32" i="2"/>
  <c r="AI32" i="2"/>
  <c r="AL32" i="2"/>
  <c r="B33" i="2"/>
  <c r="D33" i="2"/>
  <c r="E33" i="2"/>
  <c r="F33" i="2"/>
  <c r="H33" i="2"/>
  <c r="K33" i="2"/>
  <c r="N33" i="2"/>
  <c r="Q33" i="2"/>
  <c r="T33" i="2"/>
  <c r="AD33" i="2"/>
  <c r="AI33" i="2"/>
  <c r="AL33" i="2"/>
  <c r="B34" i="2"/>
  <c r="D34" i="2"/>
  <c r="E34" i="2"/>
  <c r="F34" i="2"/>
  <c r="H34" i="2"/>
  <c r="K34" i="2"/>
  <c r="N34" i="2"/>
  <c r="Q34" i="2"/>
  <c r="T34" i="2"/>
  <c r="AD34" i="2"/>
  <c r="AI34" i="2"/>
  <c r="AL34" i="2"/>
  <c r="B35" i="2"/>
  <c r="D35" i="2"/>
  <c r="E35" i="2"/>
  <c r="F35" i="2"/>
  <c r="H35" i="2"/>
  <c r="K35" i="2"/>
  <c r="N35" i="2"/>
  <c r="Q35" i="2"/>
  <c r="T35" i="2"/>
  <c r="AD35" i="2"/>
  <c r="AI35" i="2"/>
  <c r="AL35" i="2"/>
  <c r="B36" i="2"/>
  <c r="D36" i="2"/>
  <c r="E36" i="2"/>
  <c r="F36" i="2"/>
  <c r="H36" i="2"/>
  <c r="K36" i="2"/>
  <c r="N36" i="2"/>
  <c r="Q36" i="2"/>
  <c r="T36" i="2"/>
  <c r="AD36" i="2"/>
  <c r="AI36" i="2"/>
  <c r="AL36" i="2"/>
  <c r="AW36" i="2"/>
  <c r="B37" i="2"/>
  <c r="D37" i="2"/>
  <c r="E37" i="2"/>
  <c r="H37" i="2"/>
  <c r="K37" i="2"/>
  <c r="N37" i="2"/>
  <c r="Q37" i="2"/>
  <c r="T37" i="2"/>
  <c r="AD37" i="2"/>
  <c r="AI37" i="2"/>
  <c r="AL37" i="2"/>
  <c r="AW37" i="2"/>
  <c r="AX37" i="2"/>
  <c r="B38" i="2"/>
  <c r="D38" i="2"/>
  <c r="E38" i="2"/>
  <c r="F38" i="2"/>
  <c r="H38" i="2"/>
  <c r="K38" i="2"/>
  <c r="N38" i="2"/>
  <c r="Q38" i="2"/>
  <c r="T38" i="2"/>
  <c r="AD38" i="2"/>
  <c r="AI38" i="2"/>
  <c r="AL38" i="2"/>
  <c r="B39" i="2"/>
  <c r="D39" i="2"/>
  <c r="E39" i="2"/>
  <c r="F39" i="2"/>
  <c r="H39" i="2"/>
  <c r="K39" i="2"/>
  <c r="N39" i="2"/>
  <c r="Q39" i="2"/>
  <c r="T39" i="2"/>
  <c r="AD39" i="2"/>
  <c r="AI39" i="2"/>
  <c r="AL39" i="2"/>
  <c r="AW39" i="2"/>
  <c r="B40" i="2"/>
  <c r="D40" i="2"/>
  <c r="E40" i="2"/>
  <c r="H40" i="2"/>
  <c r="K40" i="2"/>
  <c r="N40" i="2"/>
  <c r="Q40" i="2"/>
  <c r="T40" i="2"/>
  <c r="AD40" i="2"/>
  <c r="AI40" i="2"/>
  <c r="AL40" i="2"/>
  <c r="BF40" i="2"/>
  <c r="BG40" i="2"/>
  <c r="B41" i="2"/>
  <c r="D41" i="2"/>
  <c r="E41" i="2"/>
  <c r="F41" i="2"/>
  <c r="H41" i="2"/>
  <c r="K41" i="2"/>
  <c r="N41" i="2"/>
  <c r="Q41" i="2"/>
  <c r="T41" i="2"/>
  <c r="AD41" i="2"/>
  <c r="AI41" i="2"/>
  <c r="AL41" i="2"/>
  <c r="AW41" i="2"/>
  <c r="AZ41" i="2"/>
  <c r="BG41" i="2"/>
  <c r="B42" i="2"/>
  <c r="D42" i="2"/>
  <c r="E42" i="2"/>
  <c r="F42" i="2"/>
  <c r="H42" i="2"/>
  <c r="K42" i="2"/>
  <c r="N42" i="2"/>
  <c r="Q42" i="2"/>
  <c r="T42" i="2"/>
  <c r="AD42" i="2"/>
  <c r="AI42" i="2"/>
  <c r="AL42" i="2"/>
  <c r="BG42" i="2"/>
  <c r="B43" i="2"/>
  <c r="D43" i="2"/>
  <c r="E43" i="2"/>
  <c r="F43" i="2"/>
  <c r="H43" i="2"/>
  <c r="K43" i="2"/>
  <c r="N43" i="2"/>
  <c r="Q43" i="2"/>
  <c r="T43" i="2"/>
  <c r="AD43" i="2"/>
  <c r="AI43" i="2"/>
  <c r="AL43" i="2"/>
  <c r="BG43" i="2"/>
  <c r="B44" i="2"/>
  <c r="D44" i="2"/>
  <c r="E44" i="2"/>
  <c r="H44" i="2"/>
  <c r="K44" i="2"/>
  <c r="N44" i="2"/>
  <c r="Q44" i="2"/>
  <c r="T44" i="2"/>
  <c r="AD44" i="2"/>
  <c r="AI44" i="2"/>
  <c r="AL44" i="2"/>
  <c r="BG44" i="2"/>
  <c r="B45" i="2"/>
  <c r="D45" i="2"/>
  <c r="E45" i="2"/>
  <c r="H45" i="2"/>
  <c r="K45" i="2"/>
  <c r="N45" i="2"/>
  <c r="Q45" i="2"/>
  <c r="T45" i="2"/>
  <c r="AD45" i="2"/>
  <c r="AI45" i="2"/>
  <c r="AL45" i="2"/>
  <c r="B46" i="2"/>
  <c r="D46" i="2"/>
  <c r="E46" i="2"/>
  <c r="H46" i="2"/>
  <c r="K46" i="2"/>
  <c r="N46" i="2"/>
  <c r="Q46" i="2"/>
  <c r="T46" i="2"/>
  <c r="AD46" i="2"/>
  <c r="AI46" i="2"/>
  <c r="AL46" i="2"/>
  <c r="B47" i="2"/>
  <c r="D47" i="2"/>
  <c r="E47" i="2"/>
  <c r="H47" i="2"/>
  <c r="K47" i="2"/>
  <c r="N47" i="2"/>
  <c r="Q47" i="2"/>
  <c r="T47" i="2"/>
  <c r="AD47" i="2"/>
  <c r="AI47" i="2"/>
  <c r="AL47" i="2"/>
  <c r="B48" i="2"/>
  <c r="D48" i="2"/>
  <c r="E48" i="2"/>
  <c r="H48" i="2"/>
  <c r="K48" i="2"/>
  <c r="N48" i="2"/>
  <c r="Q48" i="2"/>
  <c r="T48" i="2"/>
  <c r="AD48" i="2"/>
  <c r="AI48" i="2"/>
  <c r="AL48" i="2"/>
  <c r="BI48" i="2"/>
  <c r="BJ48" i="2"/>
  <c r="BK48" i="2"/>
  <c r="B49" i="2"/>
  <c r="D49" i="2"/>
  <c r="E49" i="2"/>
  <c r="H49" i="2"/>
  <c r="K49" i="2"/>
  <c r="N49" i="2"/>
  <c r="Q49" i="2"/>
  <c r="T49" i="2"/>
  <c r="AD49" i="2"/>
  <c r="AI49" i="2"/>
  <c r="AL49" i="2"/>
  <c r="B50" i="2"/>
  <c r="D50" i="2"/>
  <c r="E50" i="2"/>
  <c r="H50" i="2"/>
  <c r="K50" i="2"/>
  <c r="N50" i="2"/>
  <c r="Q50" i="2"/>
  <c r="T50" i="2"/>
  <c r="AD50" i="2"/>
  <c r="AI50" i="2"/>
  <c r="AL50" i="2"/>
  <c r="B51" i="2"/>
  <c r="D51" i="2"/>
  <c r="E51" i="2"/>
  <c r="H51" i="2"/>
  <c r="K51" i="2"/>
  <c r="N51" i="2"/>
  <c r="Q51" i="2"/>
  <c r="T51" i="2"/>
  <c r="AD51" i="2"/>
  <c r="AI51" i="2"/>
  <c r="AL51" i="2"/>
  <c r="B52" i="2"/>
  <c r="D52" i="2"/>
  <c r="E52" i="2"/>
  <c r="H52" i="2"/>
  <c r="K52" i="2"/>
  <c r="N52" i="2"/>
  <c r="Q52" i="2"/>
  <c r="T52" i="2"/>
  <c r="AD52" i="2"/>
  <c r="AI52" i="2"/>
  <c r="AL52" i="2"/>
  <c r="B53" i="2"/>
  <c r="D53" i="2"/>
  <c r="E53" i="2"/>
  <c r="H53" i="2"/>
  <c r="K53" i="2"/>
  <c r="N53" i="2"/>
  <c r="Q53" i="2"/>
  <c r="T53" i="2"/>
  <c r="AD53" i="2"/>
  <c r="AI53" i="2"/>
  <c r="AL53" i="2"/>
  <c r="BK53" i="2"/>
  <c r="B54" i="2"/>
  <c r="D54" i="2"/>
  <c r="E54" i="2"/>
  <c r="H54" i="2"/>
  <c r="K54" i="2"/>
  <c r="N54" i="2"/>
  <c r="Q54" i="2"/>
  <c r="T54" i="2"/>
  <c r="AD54" i="2"/>
  <c r="AI54" i="2"/>
  <c r="AL54" i="2"/>
  <c r="B55" i="2"/>
  <c r="D55" i="2"/>
  <c r="E55" i="2"/>
  <c r="H55" i="2"/>
  <c r="K55" i="2"/>
  <c r="N55" i="2"/>
  <c r="Q55" i="2"/>
  <c r="T55" i="2"/>
  <c r="AD55" i="2"/>
  <c r="AI55" i="2"/>
  <c r="AL55" i="2"/>
  <c r="B56" i="2"/>
  <c r="D56" i="2"/>
  <c r="E56" i="2"/>
  <c r="H56" i="2"/>
  <c r="K56" i="2"/>
  <c r="N56" i="2"/>
  <c r="Q56" i="2"/>
  <c r="T56" i="2"/>
  <c r="AD56" i="2"/>
  <c r="AI56" i="2"/>
  <c r="AL56" i="2"/>
  <c r="B57" i="2"/>
  <c r="D57" i="2"/>
  <c r="E57" i="2"/>
  <c r="H57" i="2"/>
  <c r="K57" i="2"/>
  <c r="N57" i="2"/>
  <c r="Q57" i="2"/>
  <c r="T57" i="2"/>
  <c r="AD57" i="2"/>
  <c r="AI57" i="2"/>
  <c r="AL57" i="2"/>
  <c r="B58" i="2"/>
  <c r="D58" i="2"/>
  <c r="E58" i="2"/>
  <c r="H58" i="2"/>
  <c r="K58" i="2"/>
  <c r="N58" i="2"/>
  <c r="Q58" i="2"/>
  <c r="T58" i="2"/>
  <c r="AD58" i="2"/>
  <c r="AI58" i="2"/>
  <c r="AL58" i="2"/>
  <c r="BJ58" i="2"/>
  <c r="BK58" i="2"/>
  <c r="B59" i="2"/>
  <c r="D59" i="2"/>
  <c r="E59" i="2"/>
  <c r="H59" i="2"/>
  <c r="K59" i="2"/>
  <c r="N59" i="2"/>
  <c r="Q59" i="2"/>
  <c r="T59" i="2"/>
  <c r="AD59" i="2"/>
  <c r="AI59" i="2"/>
  <c r="AL59" i="2"/>
  <c r="BG59" i="2"/>
  <c r="B60" i="2"/>
  <c r="D60" i="2"/>
  <c r="E60" i="2"/>
  <c r="H60" i="2"/>
  <c r="K60" i="2"/>
  <c r="N60" i="2"/>
  <c r="Q60" i="2"/>
  <c r="T60" i="2"/>
  <c r="AD60" i="2"/>
  <c r="AI60" i="2"/>
  <c r="AL60" i="2"/>
  <c r="BG60" i="2"/>
  <c r="B61" i="2"/>
  <c r="D61" i="2"/>
  <c r="E61" i="2"/>
  <c r="H61" i="2"/>
  <c r="K61" i="2"/>
  <c r="N61" i="2"/>
  <c r="Q61" i="2"/>
  <c r="T61" i="2"/>
  <c r="AD61" i="2"/>
  <c r="AI61" i="2"/>
  <c r="AL61" i="2"/>
  <c r="B62" i="2"/>
  <c r="D62" i="2"/>
  <c r="E62" i="2"/>
  <c r="H62" i="2"/>
  <c r="K62" i="2"/>
  <c r="N62" i="2"/>
  <c r="Q62" i="2"/>
  <c r="T62" i="2"/>
  <c r="AD62" i="2"/>
  <c r="AI62" i="2"/>
  <c r="BG62" i="2"/>
  <c r="Y63" i="2"/>
  <c r="AO63" i="2"/>
  <c r="AB64" i="2"/>
  <c r="F65" i="2"/>
  <c r="F10" i="2" s="1"/>
  <c r="I65" i="2"/>
  <c r="I10" i="2" s="1"/>
  <c r="L65" i="2"/>
  <c r="L10" i="2" s="1"/>
  <c r="O65" i="2"/>
  <c r="O10" i="2" s="1"/>
  <c r="R65" i="2"/>
  <c r="R10" i="2" s="1"/>
  <c r="U65" i="2"/>
  <c r="U10" i="2" s="1"/>
  <c r="F66" i="2"/>
  <c r="I66" i="2"/>
  <c r="I11" i="2" s="1"/>
  <c r="L66" i="2"/>
  <c r="L11" i="2" s="1"/>
  <c r="O66" i="2"/>
  <c r="O11" i="2" s="1"/>
  <c r="R66" i="2"/>
  <c r="R11" i="2" s="1"/>
  <c r="U66" i="2"/>
  <c r="U11" i="2" s="1"/>
  <c r="E67" i="2"/>
  <c r="F67" i="2"/>
  <c r="H67" i="2"/>
  <c r="I67" i="2"/>
  <c r="K67" i="2"/>
  <c r="L67" i="2"/>
  <c r="N67" i="2"/>
  <c r="O67" i="2"/>
  <c r="Q67" i="2"/>
  <c r="R67" i="2"/>
  <c r="T67" i="2"/>
  <c r="U67" i="2"/>
  <c r="D68" i="2"/>
  <c r="E68" i="2"/>
  <c r="G68" i="2"/>
  <c r="H68" i="2"/>
  <c r="J68" i="2"/>
  <c r="K68" i="2"/>
  <c r="M68" i="2"/>
  <c r="N68" i="2"/>
  <c r="P68" i="2"/>
  <c r="Q68" i="2"/>
  <c r="S68" i="2"/>
  <c r="T68" i="2"/>
  <c r="AO68" i="2"/>
  <c r="BG68" i="2"/>
  <c r="B71" i="2"/>
  <c r="N73" i="2"/>
  <c r="O73" i="2"/>
  <c r="AA73" i="2"/>
  <c r="AH73" i="2"/>
  <c r="B74" i="2"/>
  <c r="AA74" i="2"/>
  <c r="AA75" i="2" s="1"/>
  <c r="AH74" i="2"/>
  <c r="AH75" i="2"/>
  <c r="AA76" i="2"/>
  <c r="AH76" i="2"/>
  <c r="C77" i="2"/>
  <c r="D77" i="2"/>
  <c r="E77" i="2"/>
  <c r="AA77" i="2"/>
  <c r="AH77" i="2"/>
  <c r="C78" i="2"/>
  <c r="E78" i="2" s="1"/>
  <c r="D78" i="2"/>
  <c r="AA78" i="2"/>
  <c r="AH78" i="2"/>
  <c r="BG78" i="2"/>
  <c r="C79" i="2"/>
  <c r="E79" i="2" s="1"/>
  <c r="D79" i="2"/>
  <c r="AA79" i="2"/>
  <c r="AH79" i="2"/>
  <c r="C80" i="2"/>
  <c r="D80" i="2"/>
  <c r="E80" i="2"/>
  <c r="G80" i="2" s="1"/>
  <c r="I80" i="2"/>
  <c r="AA80" i="2"/>
  <c r="BG80" i="2"/>
  <c r="C81" i="2"/>
  <c r="D81" i="2"/>
  <c r="E81" i="2"/>
  <c r="G81" i="2" s="1"/>
  <c r="AA81" i="2"/>
  <c r="C82" i="2"/>
  <c r="D82" i="2"/>
  <c r="E82" i="2" s="1"/>
  <c r="G82" i="2"/>
  <c r="AA82" i="2"/>
  <c r="AH82" i="2"/>
  <c r="AA83" i="2"/>
  <c r="AH83" i="2"/>
  <c r="AA84" i="2"/>
  <c r="AH84" i="2"/>
  <c r="AA85" i="2"/>
  <c r="AH85" i="2"/>
  <c r="AA86" i="2"/>
  <c r="AH86" i="2"/>
  <c r="AA87" i="2"/>
  <c r="AH87" i="2"/>
  <c r="BG87" i="2"/>
  <c r="B88" i="2"/>
  <c r="AA88" i="2"/>
  <c r="AH88" i="2"/>
  <c r="AA89" i="2"/>
  <c r="AH89" i="2"/>
  <c r="N90" i="2"/>
  <c r="O90" i="2"/>
  <c r="AA90" i="2"/>
  <c r="AH90" i="2"/>
  <c r="BE90" i="2"/>
  <c r="BF90" i="2"/>
  <c r="BG90" i="2"/>
  <c r="C91" i="2"/>
  <c r="AA91" i="2"/>
  <c r="AH91" i="2"/>
  <c r="AA92" i="2"/>
  <c r="AH92" i="2"/>
  <c r="AA93" i="2"/>
  <c r="AH93" i="2"/>
  <c r="C94" i="2"/>
  <c r="E94" i="2"/>
  <c r="F94" i="2"/>
  <c r="AA94" i="2"/>
  <c r="AH94" i="2"/>
  <c r="C95" i="2"/>
  <c r="E95" i="2" s="1"/>
  <c r="G95" i="2" s="1"/>
  <c r="F95" i="2"/>
  <c r="AA95" i="2"/>
  <c r="AH95" i="2"/>
  <c r="C96" i="2"/>
  <c r="E96" i="2" s="1"/>
  <c r="F96" i="2"/>
  <c r="AA96" i="2"/>
  <c r="AH96" i="2"/>
  <c r="C97" i="2"/>
  <c r="E97" i="2"/>
  <c r="G97" i="2" s="1"/>
  <c r="F97" i="2"/>
  <c r="AA97" i="2"/>
  <c r="AH97" i="2"/>
  <c r="C98" i="2"/>
  <c r="E98" i="2" s="1"/>
  <c r="F98" i="2"/>
  <c r="AA98" i="2"/>
  <c r="AH98" i="2"/>
  <c r="C99" i="2"/>
  <c r="E99" i="2" s="1"/>
  <c r="F99" i="2"/>
  <c r="AA99" i="2"/>
  <c r="AH99" i="2"/>
  <c r="AA100" i="2"/>
  <c r="AH100" i="2"/>
  <c r="K101" i="2"/>
  <c r="AA101" i="2"/>
  <c r="AH101" i="2"/>
  <c r="I102" i="2"/>
  <c r="AH76" i="22" l="1"/>
  <c r="J77" i="19"/>
  <c r="B19" i="12"/>
  <c r="B20" i="12"/>
  <c r="B21" i="12" s="1"/>
  <c r="B22" i="12" s="1"/>
  <c r="D5" i="12" s="1"/>
  <c r="V15" i="12"/>
  <c r="V16" i="12" s="1"/>
  <c r="V17" i="12" s="1"/>
  <c r="V19" i="12" s="1"/>
  <c r="AH18" i="12"/>
  <c r="AH22" i="12" s="1"/>
  <c r="AH23" i="12" s="1"/>
  <c r="AH19" i="12"/>
  <c r="AH20" i="12" s="1"/>
  <c r="AH21" i="12" s="1"/>
  <c r="V14" i="12"/>
  <c r="L15" i="12"/>
  <c r="J163" i="10"/>
  <c r="E163" i="10"/>
  <c r="M98" i="9"/>
  <c r="M100" i="9"/>
  <c r="P99" i="9"/>
  <c r="M99" i="9"/>
  <c r="I31" i="9"/>
  <c r="M31" i="9"/>
  <c r="Q31" i="9"/>
  <c r="K31" i="9"/>
  <c r="O31" i="9"/>
  <c r="S31" i="9"/>
  <c r="AA31" i="9"/>
  <c r="J39" i="9"/>
  <c r="O95" i="9"/>
  <c r="P96" i="9" s="1"/>
  <c r="O31" i="5"/>
  <c r="K119" i="3"/>
  <c r="M119" i="3"/>
  <c r="N119" i="3"/>
  <c r="O119" i="3" s="1"/>
  <c r="I113" i="3"/>
  <c r="M113" i="3"/>
  <c r="O113" i="3" s="1"/>
  <c r="P113" i="3" s="1"/>
  <c r="H136" i="3"/>
  <c r="J136" i="3"/>
  <c r="D130" i="3"/>
  <c r="H137" i="3"/>
  <c r="J137" i="3"/>
  <c r="H133" i="3"/>
  <c r="H142" i="3" s="1"/>
  <c r="M116" i="3"/>
  <c r="N116" i="3"/>
  <c r="O116" i="3" s="1"/>
  <c r="Y10" i="3"/>
  <c r="H138" i="3"/>
  <c r="J138" i="3" s="1"/>
  <c r="H134" i="3"/>
  <c r="J134" i="3"/>
  <c r="M120" i="3"/>
  <c r="N120" i="3" s="1"/>
  <c r="O120" i="3" s="1"/>
  <c r="H117" i="3"/>
  <c r="J117" i="3"/>
  <c r="C76" i="3"/>
  <c r="J72" i="3" s="1"/>
  <c r="F10" i="3"/>
  <c r="L27" i="3" s="1"/>
  <c r="H135" i="3"/>
  <c r="J135" i="3" s="1"/>
  <c r="H121" i="3"/>
  <c r="J121" i="3"/>
  <c r="K118" i="3"/>
  <c r="M118" i="3"/>
  <c r="N118" i="3" s="1"/>
  <c r="O118" i="3" s="1"/>
  <c r="K116" i="3"/>
  <c r="L107" i="3"/>
  <c r="M107" i="3" s="1"/>
  <c r="F64" i="3"/>
  <c r="L40" i="3"/>
  <c r="N38" i="3"/>
  <c r="N34" i="3"/>
  <c r="L32" i="3"/>
  <c r="N30" i="3"/>
  <c r="N108" i="3"/>
  <c r="O108" i="3"/>
  <c r="P108" i="3" s="1"/>
  <c r="Q108" i="3" s="1"/>
  <c r="N41" i="3"/>
  <c r="L33" i="3"/>
  <c r="Z8" i="3"/>
  <c r="G96" i="2"/>
  <c r="I96" i="2"/>
  <c r="G99" i="2"/>
  <c r="I99" i="2" s="1"/>
  <c r="G98" i="2"/>
  <c r="I98" i="2" s="1"/>
  <c r="J80" i="2"/>
  <c r="G77" i="2"/>
  <c r="I77" i="2"/>
  <c r="V67" i="2"/>
  <c r="F11" i="2"/>
  <c r="E66" i="2"/>
  <c r="E11" i="2" s="1"/>
  <c r="B91" i="2"/>
  <c r="I82" i="2"/>
  <c r="I94" i="2"/>
  <c r="I97" i="2"/>
  <c r="I95" i="2"/>
  <c r="G94" i="2"/>
  <c r="G102" i="2" s="1"/>
  <c r="G78" i="2"/>
  <c r="I78" i="2" s="1"/>
  <c r="D74" i="2"/>
  <c r="D91" i="2"/>
  <c r="I81" i="2"/>
  <c r="L80" i="2"/>
  <c r="M80" i="2" s="1"/>
  <c r="N80" i="2" s="1"/>
  <c r="G79" i="2"/>
  <c r="I79" i="2" s="1"/>
  <c r="AH72" i="2"/>
  <c r="F62" i="2"/>
  <c r="AL62" i="2"/>
  <c r="AD64" i="2"/>
  <c r="F52" i="2"/>
  <c r="F50" i="2"/>
  <c r="F44" i="2"/>
  <c r="F61" i="2"/>
  <c r="F60" i="2"/>
  <c r="F59" i="2"/>
  <c r="F53" i="2"/>
  <c r="F51" i="2"/>
  <c r="F49" i="2"/>
  <c r="AD10" i="2"/>
  <c r="F58" i="2"/>
  <c r="F57" i="2"/>
  <c r="F56" i="2"/>
  <c r="F55" i="2"/>
  <c r="F54" i="2"/>
  <c r="F48" i="2"/>
  <c r="F47" i="2"/>
  <c r="F46" i="2"/>
  <c r="F45" i="2"/>
  <c r="AJ40" i="2"/>
  <c r="F40" i="2"/>
  <c r="F37" i="2"/>
  <c r="AW23" i="2"/>
  <c r="AW25" i="2" s="1"/>
  <c r="AX23" i="2"/>
  <c r="F13" i="2"/>
  <c r="W9" i="2"/>
  <c r="BC7" i="2"/>
  <c r="F26" i="2"/>
  <c r="AJ26" i="2"/>
  <c r="F22" i="2"/>
  <c r="AJ22" i="2"/>
  <c r="AL22" i="2"/>
  <c r="F20" i="2"/>
  <c r="AJ20" i="2"/>
  <c r="AL20" i="2"/>
  <c r="F18" i="2"/>
  <c r="AJ18" i="2"/>
  <c r="AL18" i="2"/>
  <c r="F16" i="2"/>
  <c r="AJ16" i="2"/>
  <c r="AN16" i="2" s="1"/>
  <c r="AL16" i="2"/>
  <c r="F14" i="2"/>
  <c r="AJ14" i="2"/>
  <c r="AN14" i="2" s="1"/>
  <c r="F21" i="2"/>
  <c r="F19" i="2"/>
  <c r="F17" i="2"/>
  <c r="F15" i="2"/>
  <c r="F23" i="2"/>
  <c r="AH77" i="22" l="1"/>
  <c r="AH78" i="22"/>
  <c r="AH79" i="22"/>
  <c r="J78" i="19"/>
  <c r="J79" i="19" s="1"/>
  <c r="V20" i="12"/>
  <c r="V21" i="12" s="1"/>
  <c r="D6" i="12"/>
  <c r="D7" i="12" s="1"/>
  <c r="V22" i="12"/>
  <c r="V23" i="12" s="1"/>
  <c r="V24" i="12" s="1"/>
  <c r="V25" i="12" s="1"/>
  <c r="V26" i="12" s="1"/>
  <c r="V27" i="12" s="1"/>
  <c r="V28" i="12" s="1"/>
  <c r="V31" i="12" s="1"/>
  <c r="V32" i="12" s="1"/>
  <c r="V33" i="12" s="1"/>
  <c r="V34" i="12" s="1"/>
  <c r="V35" i="12" s="1"/>
  <c r="V36" i="12" s="1"/>
  <c r="V37" i="12" s="1"/>
  <c r="V38" i="12" s="1"/>
  <c r="V39" i="12" s="1"/>
  <c r="V40" i="12" s="1"/>
  <c r="V41" i="12" s="1"/>
  <c r="V42" i="12" s="1"/>
  <c r="V43" i="12" s="1"/>
  <c r="V44" i="12" s="1"/>
  <c r="V45" i="12" s="1"/>
  <c r="V46" i="12" s="1"/>
  <c r="V47" i="12" s="1"/>
  <c r="V48" i="12" s="1"/>
  <c r="V49" i="12" s="1"/>
  <c r="V50" i="12" s="1"/>
  <c r="V51" i="12" s="1"/>
  <c r="V52" i="12" s="1"/>
  <c r="V53" i="12" s="1"/>
  <c r="V54" i="12" s="1"/>
  <c r="V55" i="12" s="1"/>
  <c r="V56" i="12" s="1"/>
  <c r="V57" i="12" s="1"/>
  <c r="V58" i="12" s="1"/>
  <c r="V59" i="12" s="1"/>
  <c r="V60" i="12" s="1"/>
  <c r="V61" i="12" s="1"/>
  <c r="V62" i="12" s="1"/>
  <c r="X5" i="12" s="1"/>
  <c r="L16" i="12"/>
  <c r="AH24" i="12"/>
  <c r="AH25" i="12" s="1"/>
  <c r="AH26" i="12" s="1"/>
  <c r="AH27" i="12" s="1"/>
  <c r="AH28" i="12" s="1"/>
  <c r="AH29" i="12" s="1"/>
  <c r="AH30" i="12" s="1"/>
  <c r="AH31" i="12" s="1"/>
  <c r="AH32" i="12" s="1"/>
  <c r="AH33" i="12" s="1"/>
  <c r="AH34" i="12" s="1"/>
  <c r="AH35" i="12" s="1"/>
  <c r="AH36" i="12" s="1"/>
  <c r="AH37" i="12" s="1"/>
  <c r="AH38" i="12" s="1"/>
  <c r="AH39" i="12" s="1"/>
  <c r="AH40" i="12" s="1"/>
  <c r="AH41" i="12" s="1"/>
  <c r="AH42" i="12" s="1"/>
  <c r="AH43" i="12" s="1"/>
  <c r="AH44" i="12" s="1"/>
  <c r="AH45" i="12" s="1"/>
  <c r="AH46" i="12" s="1"/>
  <c r="AH47" i="12" s="1"/>
  <c r="AH48" i="12" s="1"/>
  <c r="AH49" i="12" s="1"/>
  <c r="AH50" i="12" s="1"/>
  <c r="AH51" i="12" s="1"/>
  <c r="AH52" i="12" s="1"/>
  <c r="AH53" i="12" s="1"/>
  <c r="AH54" i="12" s="1"/>
  <c r="AH55" i="12" s="1"/>
  <c r="AH56" i="12" s="1"/>
  <c r="AH57" i="12" s="1"/>
  <c r="AH58" i="12" s="1"/>
  <c r="AH59" i="12" s="1"/>
  <c r="AK4" i="12" s="1"/>
  <c r="G163" i="10"/>
  <c r="K163" i="10" s="1"/>
  <c r="H163" i="10"/>
  <c r="K39" i="9"/>
  <c r="J31" i="9"/>
  <c r="Q39" i="9"/>
  <c r="P31" i="9"/>
  <c r="P39" i="9" s="1"/>
  <c r="S39" i="9"/>
  <c r="R31" i="9"/>
  <c r="R39" i="9" s="1"/>
  <c r="M39" i="9"/>
  <c r="L31" i="9"/>
  <c r="L39" i="9" s="1"/>
  <c r="O39" i="9"/>
  <c r="N31" i="9"/>
  <c r="N39" i="9" s="1"/>
  <c r="I39" i="9"/>
  <c r="H31" i="9"/>
  <c r="H39" i="9" s="1"/>
  <c r="M135" i="3"/>
  <c r="N135" i="3"/>
  <c r="O135" i="3" s="1"/>
  <c r="K135" i="3"/>
  <c r="M138" i="3"/>
  <c r="N138" i="3" s="1"/>
  <c r="O138" i="3" s="1"/>
  <c r="K138" i="3"/>
  <c r="O107" i="3"/>
  <c r="P107" i="3"/>
  <c r="J80" i="3"/>
  <c r="J81" i="3" s="1"/>
  <c r="N117" i="3"/>
  <c r="O117" i="3" s="1"/>
  <c r="K117" i="3"/>
  <c r="M117" i="3"/>
  <c r="O123" i="3"/>
  <c r="M137" i="3"/>
  <c r="N137" i="3"/>
  <c r="O137" i="3" s="1"/>
  <c r="K137" i="3"/>
  <c r="J28" i="3"/>
  <c r="P28" i="3" s="1"/>
  <c r="J30" i="3"/>
  <c r="P30" i="3" s="1"/>
  <c r="J32" i="3"/>
  <c r="P32" i="3" s="1"/>
  <c r="J34" i="3"/>
  <c r="P34" i="3" s="1"/>
  <c r="J36" i="3"/>
  <c r="P36" i="3" s="1"/>
  <c r="J38" i="3"/>
  <c r="P38" i="3" s="1"/>
  <c r="J40" i="3"/>
  <c r="P40" i="3" s="1"/>
  <c r="J41" i="3"/>
  <c r="P41" i="3" s="1"/>
  <c r="J44" i="3"/>
  <c r="P44" i="3" s="1"/>
  <c r="E10" i="3"/>
  <c r="L13" i="3"/>
  <c r="J14" i="3"/>
  <c r="L15" i="3"/>
  <c r="J16" i="3"/>
  <c r="P16" i="3" s="1"/>
  <c r="L17" i="3"/>
  <c r="J18" i="3"/>
  <c r="P18" i="3" s="1"/>
  <c r="L19" i="3"/>
  <c r="J20" i="3"/>
  <c r="P20" i="3" s="1"/>
  <c r="L21" i="3"/>
  <c r="L22" i="3"/>
  <c r="L23" i="3"/>
  <c r="J25" i="3"/>
  <c r="P25" i="3" s="1"/>
  <c r="L26" i="3"/>
  <c r="L42" i="3"/>
  <c r="J43" i="3"/>
  <c r="P43" i="3" s="1"/>
  <c r="L45" i="3"/>
  <c r="J46" i="3"/>
  <c r="P46" i="3" s="1"/>
  <c r="L47" i="3"/>
  <c r="J48" i="3"/>
  <c r="P48" i="3" s="1"/>
  <c r="L49" i="3"/>
  <c r="J50" i="3"/>
  <c r="P50" i="3" s="1"/>
  <c r="L51" i="3"/>
  <c r="J52" i="3"/>
  <c r="P52" i="3" s="1"/>
  <c r="L53" i="3"/>
  <c r="J54" i="3"/>
  <c r="P54" i="3" s="1"/>
  <c r="L55" i="3"/>
  <c r="J56" i="3"/>
  <c r="P56" i="3" s="1"/>
  <c r="L57" i="3"/>
  <c r="J58" i="3"/>
  <c r="P58" i="3" s="1"/>
  <c r="L59" i="3"/>
  <c r="J61" i="3"/>
  <c r="P61" i="3" s="1"/>
  <c r="L62" i="3"/>
  <c r="H10" i="3"/>
  <c r="I10" i="3" s="1"/>
  <c r="J19" i="3"/>
  <c r="P19" i="3" s="1"/>
  <c r="J21" i="3"/>
  <c r="P21" i="3" s="1"/>
  <c r="J24" i="3"/>
  <c r="P24" i="3" s="1"/>
  <c r="J27" i="3"/>
  <c r="P27" i="3" s="1"/>
  <c r="J29" i="3"/>
  <c r="P29" i="3" s="1"/>
  <c r="J31" i="3"/>
  <c r="P31" i="3" s="1"/>
  <c r="J33" i="3"/>
  <c r="P33" i="3" s="1"/>
  <c r="J35" i="3"/>
  <c r="P35" i="3" s="1"/>
  <c r="J37" i="3"/>
  <c r="P37" i="3" s="1"/>
  <c r="J39" i="3"/>
  <c r="P39" i="3" s="1"/>
  <c r="J60" i="3"/>
  <c r="P60" i="3" s="1"/>
  <c r="J13" i="3"/>
  <c r="L14" i="3"/>
  <c r="J15" i="3"/>
  <c r="L16" i="3"/>
  <c r="J17" i="3"/>
  <c r="P17" i="3" s="1"/>
  <c r="L18" i="3"/>
  <c r="L20" i="3"/>
  <c r="J22" i="3"/>
  <c r="P22" i="3" s="1"/>
  <c r="L48" i="3"/>
  <c r="J51" i="3"/>
  <c r="P51" i="3" s="1"/>
  <c r="L56" i="3"/>
  <c r="J59" i="3"/>
  <c r="P59" i="3" s="1"/>
  <c r="J26" i="3"/>
  <c r="P26" i="3" s="1"/>
  <c r="L43" i="3"/>
  <c r="J45" i="3"/>
  <c r="P45" i="3" s="1"/>
  <c r="L50" i="3"/>
  <c r="J53" i="3"/>
  <c r="P53" i="3" s="1"/>
  <c r="L58" i="3"/>
  <c r="L25" i="3"/>
  <c r="J47" i="3"/>
  <c r="P47" i="3" s="1"/>
  <c r="L52" i="3"/>
  <c r="J55" i="3"/>
  <c r="P55" i="3" s="1"/>
  <c r="J62" i="3"/>
  <c r="P62" i="3" s="1"/>
  <c r="J23" i="3"/>
  <c r="P23" i="3" s="1"/>
  <c r="J42" i="3"/>
  <c r="P42" i="3" s="1"/>
  <c r="L46" i="3"/>
  <c r="J49" i="3"/>
  <c r="P49" i="3" s="1"/>
  <c r="L54" i="3"/>
  <c r="J57" i="3"/>
  <c r="P57" i="3" s="1"/>
  <c r="L61" i="3"/>
  <c r="L39" i="3"/>
  <c r="M136" i="3"/>
  <c r="N136" i="3"/>
  <c r="O136" i="3" s="1"/>
  <c r="K136" i="3"/>
  <c r="V10" i="3"/>
  <c r="Z21" i="3"/>
  <c r="L41" i="3"/>
  <c r="L24" i="3"/>
  <c r="L28" i="3"/>
  <c r="L36" i="3"/>
  <c r="L31" i="3"/>
  <c r="L34" i="3"/>
  <c r="K121" i="3"/>
  <c r="M121" i="3"/>
  <c r="N121" i="3" s="1"/>
  <c r="O121" i="3" s="1"/>
  <c r="M134" i="3"/>
  <c r="N134" i="3"/>
  <c r="O134" i="3" s="1"/>
  <c r="K134" i="3"/>
  <c r="K142" i="3"/>
  <c r="H140" i="3"/>
  <c r="L37" i="3"/>
  <c r="L60" i="3"/>
  <c r="H125" i="3"/>
  <c r="L30" i="3"/>
  <c r="L29" i="3"/>
  <c r="L44" i="3"/>
  <c r="L35" i="3"/>
  <c r="L38" i="3"/>
  <c r="J133" i="3"/>
  <c r="K140" i="3"/>
  <c r="F130" i="3"/>
  <c r="H130" i="3" s="1"/>
  <c r="J98" i="2"/>
  <c r="L98" i="2"/>
  <c r="M98" i="2"/>
  <c r="N98" i="2" s="1"/>
  <c r="J99" i="2"/>
  <c r="L99" i="2"/>
  <c r="M99" i="2" s="1"/>
  <c r="N99" i="2" s="1"/>
  <c r="J79" i="2"/>
  <c r="L79" i="2"/>
  <c r="M79" i="2" s="1"/>
  <c r="N79" i="2" s="1"/>
  <c r="J78" i="2"/>
  <c r="L78" i="2"/>
  <c r="M78" i="2" s="1"/>
  <c r="N78" i="2" s="1"/>
  <c r="AX36" i="2"/>
  <c r="AT25" i="2"/>
  <c r="J95" i="2"/>
  <c r="L95" i="2"/>
  <c r="M95" i="2" s="1"/>
  <c r="N95" i="2" s="1"/>
  <c r="M77" i="2"/>
  <c r="N77" i="2" s="1"/>
  <c r="J77" i="2"/>
  <c r="L77" i="2"/>
  <c r="N84" i="2"/>
  <c r="AC10" i="2"/>
  <c r="AS11" i="2" s="1"/>
  <c r="AH14" i="2"/>
  <c r="AH15" i="2"/>
  <c r="AH16" i="2"/>
  <c r="AH17" i="2"/>
  <c r="AN17" i="2" s="1"/>
  <c r="AH18" i="2"/>
  <c r="AN18" i="2" s="1"/>
  <c r="AH19" i="2"/>
  <c r="AN19" i="2" s="1"/>
  <c r="AH20" i="2"/>
  <c r="AN20" i="2" s="1"/>
  <c r="AH21" i="2"/>
  <c r="AN21" i="2" s="1"/>
  <c r="AH22" i="2"/>
  <c r="AN22" i="2" s="1"/>
  <c r="AJ24" i="2"/>
  <c r="AJ25" i="2"/>
  <c r="AH23" i="2"/>
  <c r="AN23" i="2" s="1"/>
  <c r="AH13" i="2"/>
  <c r="AJ23" i="2"/>
  <c r="AJ28" i="2"/>
  <c r="AJ29" i="2"/>
  <c r="AJ30" i="2"/>
  <c r="AJ31" i="2"/>
  <c r="AJ32" i="2"/>
  <c r="AJ33" i="2"/>
  <c r="AJ34" i="2"/>
  <c r="AJ35" i="2"/>
  <c r="AJ36" i="2"/>
  <c r="AH37" i="2"/>
  <c r="AN37" i="2" s="1"/>
  <c r="AJ38" i="2"/>
  <c r="AJ15" i="2"/>
  <c r="AJ17" i="2"/>
  <c r="AJ19" i="2"/>
  <c r="AJ21" i="2"/>
  <c r="AH30" i="2"/>
  <c r="AN30" i="2" s="1"/>
  <c r="AH34" i="2"/>
  <c r="AN34" i="2" s="1"/>
  <c r="AH38" i="2"/>
  <c r="AN38" i="2" s="1"/>
  <c r="AH39" i="2"/>
  <c r="AN39" i="2" s="1"/>
  <c r="AJ42" i="2"/>
  <c r="AH44" i="2"/>
  <c r="AN44" i="2" s="1"/>
  <c r="AH49" i="2"/>
  <c r="AN49" i="2" s="1"/>
  <c r="AH50" i="2"/>
  <c r="AN50" i="2" s="1"/>
  <c r="AH51" i="2"/>
  <c r="AN51" i="2" s="1"/>
  <c r="AH52" i="2"/>
  <c r="AN52" i="2" s="1"/>
  <c r="AH53" i="2"/>
  <c r="AN53" i="2" s="1"/>
  <c r="AH60" i="2"/>
  <c r="AN60" i="2" s="1"/>
  <c r="AH24" i="2"/>
  <c r="AN24" i="2" s="1"/>
  <c r="AH25" i="2"/>
  <c r="AN25" i="2" s="1"/>
  <c r="AH26" i="2"/>
  <c r="AN26" i="2" s="1"/>
  <c r="AH31" i="2"/>
  <c r="AN31" i="2" s="1"/>
  <c r="AH35" i="2"/>
  <c r="AN35" i="2" s="1"/>
  <c r="AH45" i="2"/>
  <c r="AN45" i="2" s="1"/>
  <c r="AH46" i="2"/>
  <c r="AN46" i="2" s="1"/>
  <c r="AH47" i="2"/>
  <c r="AN47" i="2" s="1"/>
  <c r="AH48" i="2"/>
  <c r="AN48" i="2" s="1"/>
  <c r="AH54" i="2"/>
  <c r="AN54" i="2" s="1"/>
  <c r="AH55" i="2"/>
  <c r="AN55" i="2" s="1"/>
  <c r="AH56" i="2"/>
  <c r="AN56" i="2" s="1"/>
  <c r="AH57" i="2"/>
  <c r="AN57" i="2" s="1"/>
  <c r="AH58" i="2"/>
  <c r="AN58" i="2" s="1"/>
  <c r="AH61" i="2"/>
  <c r="AN61" i="2" s="1"/>
  <c r="AH62" i="2"/>
  <c r="AN62" i="2" s="1"/>
  <c r="AS7" i="2"/>
  <c r="AH27" i="2"/>
  <c r="AN27" i="2" s="1"/>
  <c r="AH28" i="2"/>
  <c r="AN28" i="2" s="1"/>
  <c r="AH32" i="2"/>
  <c r="AN32" i="2" s="1"/>
  <c r="AH36" i="2"/>
  <c r="AN36" i="2" s="1"/>
  <c r="AJ39" i="2"/>
  <c r="AH40" i="2"/>
  <c r="AN40" i="2" s="1"/>
  <c r="AH42" i="2"/>
  <c r="AN42" i="2" s="1"/>
  <c r="AF10" i="2"/>
  <c r="AG10" i="2" s="1"/>
  <c r="AH29" i="2"/>
  <c r="AN29" i="2" s="1"/>
  <c r="AJ37" i="2"/>
  <c r="AJ44" i="2"/>
  <c r="AJ45" i="2"/>
  <c r="AJ50" i="2"/>
  <c r="AJ52" i="2"/>
  <c r="AJ56" i="2"/>
  <c r="AH33" i="2"/>
  <c r="AN33" i="2" s="1"/>
  <c r="AJ48" i="2"/>
  <c r="AJ55" i="2"/>
  <c r="AH41" i="2"/>
  <c r="AN41" i="2" s="1"/>
  <c r="AJ47" i="2"/>
  <c r="AJ54" i="2"/>
  <c r="AJ58" i="2"/>
  <c r="AH59" i="2"/>
  <c r="AN59" i="2" s="1"/>
  <c r="AH43" i="2"/>
  <c r="AN43" i="2" s="1"/>
  <c r="AJ61" i="2"/>
  <c r="AJ46" i="2"/>
  <c r="AJ60" i="2"/>
  <c r="AJ57" i="2"/>
  <c r="AJ51" i="2"/>
  <c r="E74" i="2"/>
  <c r="G74" i="2" s="1"/>
  <c r="M97" i="2"/>
  <c r="N97" i="2" s="1"/>
  <c r="L97" i="2"/>
  <c r="J97" i="2"/>
  <c r="G85" i="2"/>
  <c r="AL14" i="2"/>
  <c r="AJ27" i="2"/>
  <c r="AJ43" i="2"/>
  <c r="AJ62" i="2"/>
  <c r="J81" i="2"/>
  <c r="L81" i="2"/>
  <c r="M81" i="2" s="1"/>
  <c r="N81" i="2" s="1"/>
  <c r="L94" i="2"/>
  <c r="N101" i="2"/>
  <c r="J94" i="2"/>
  <c r="M94" i="2"/>
  <c r="N94" i="2" s="1"/>
  <c r="L96" i="2"/>
  <c r="J96" i="2"/>
  <c r="M96" i="2"/>
  <c r="N96" i="2" s="1"/>
  <c r="F64" i="2"/>
  <c r="AJ41" i="2"/>
  <c r="AJ13" i="2"/>
  <c r="AJ59" i="2"/>
  <c r="AJ49" i="2"/>
  <c r="AJ53" i="2"/>
  <c r="AH80" i="2"/>
  <c r="AH81" i="2" s="1"/>
  <c r="E91" i="2"/>
  <c r="G91" i="2" s="1"/>
  <c r="J101" i="2"/>
  <c r="J102" i="2" s="1"/>
  <c r="G101" i="2"/>
  <c r="L82" i="2"/>
  <c r="J82" i="2"/>
  <c r="M82" i="2"/>
  <c r="N82" i="2" s="1"/>
  <c r="AH82" i="22" l="1"/>
  <c r="AH84" i="22" s="1"/>
  <c r="J82" i="19"/>
  <c r="J84" i="19" s="1"/>
  <c r="X6" i="12"/>
  <c r="X7" i="12"/>
  <c r="X8" i="12"/>
  <c r="AK5" i="12"/>
  <c r="D8" i="12"/>
  <c r="L18" i="12"/>
  <c r="M130" i="3"/>
  <c r="O130" i="3"/>
  <c r="P130" i="3" s="1"/>
  <c r="I130" i="3"/>
  <c r="H123" i="3"/>
  <c r="K123" i="3"/>
  <c r="K125" i="3" s="1"/>
  <c r="L64" i="3"/>
  <c r="N13" i="3"/>
  <c r="P13" i="3"/>
  <c r="M133" i="3"/>
  <c r="N133" i="3" s="1"/>
  <c r="O133" i="3" s="1"/>
  <c r="O140" i="3"/>
  <c r="K133" i="3"/>
  <c r="N15" i="3"/>
  <c r="P15" i="3"/>
  <c r="N14" i="3"/>
  <c r="P14" i="3"/>
  <c r="H91" i="2"/>
  <c r="L91" i="2"/>
  <c r="N91" i="2" s="1"/>
  <c r="O91" i="2" s="1"/>
  <c r="L74" i="2"/>
  <c r="N74" i="2" s="1"/>
  <c r="O74" i="2" s="1"/>
  <c r="H74" i="2"/>
  <c r="G13" i="2"/>
  <c r="S13" i="2"/>
  <c r="J14" i="2"/>
  <c r="J15" i="2"/>
  <c r="J16" i="2"/>
  <c r="J17" i="2"/>
  <c r="J18" i="2"/>
  <c r="J19" i="2"/>
  <c r="J20" i="2"/>
  <c r="J21" i="2"/>
  <c r="J22" i="2"/>
  <c r="M23" i="2"/>
  <c r="L24" i="2"/>
  <c r="P24" i="2"/>
  <c r="L25" i="2"/>
  <c r="P25" i="2"/>
  <c r="J26" i="2"/>
  <c r="P13" i="2"/>
  <c r="G14" i="2"/>
  <c r="S14" i="2"/>
  <c r="G15" i="2"/>
  <c r="S15" i="2"/>
  <c r="G16" i="2"/>
  <c r="S16" i="2"/>
  <c r="G17" i="2"/>
  <c r="S17" i="2"/>
  <c r="G18" i="2"/>
  <c r="S18" i="2"/>
  <c r="G19" i="2"/>
  <c r="S19" i="2"/>
  <c r="G20" i="2"/>
  <c r="S20" i="2"/>
  <c r="G21" i="2"/>
  <c r="S21" i="2"/>
  <c r="G22" i="2"/>
  <c r="S22" i="2"/>
  <c r="J23" i="2"/>
  <c r="M24" i="2"/>
  <c r="M25" i="2"/>
  <c r="G26" i="2"/>
  <c r="S26" i="2"/>
  <c r="G27" i="2"/>
  <c r="S27" i="2"/>
  <c r="G28" i="2"/>
  <c r="M13" i="2"/>
  <c r="P23" i="2"/>
  <c r="R24" i="2"/>
  <c r="J25" i="2"/>
  <c r="L28" i="2"/>
  <c r="P28" i="2"/>
  <c r="L29" i="2"/>
  <c r="P29" i="2"/>
  <c r="L30" i="2"/>
  <c r="P30" i="2"/>
  <c r="L31" i="2"/>
  <c r="P31" i="2"/>
  <c r="L32" i="2"/>
  <c r="P32" i="2"/>
  <c r="L33" i="2"/>
  <c r="P33" i="2"/>
  <c r="L34" i="2"/>
  <c r="P34" i="2"/>
  <c r="L35" i="2"/>
  <c r="P35" i="2"/>
  <c r="L36" i="2"/>
  <c r="P36" i="2"/>
  <c r="J37" i="2"/>
  <c r="L38" i="2"/>
  <c r="P38" i="2"/>
  <c r="P14" i="2"/>
  <c r="M15" i="2"/>
  <c r="P16" i="2"/>
  <c r="M17" i="2"/>
  <c r="P18" i="2"/>
  <c r="M19" i="2"/>
  <c r="P20" i="2"/>
  <c r="M21" i="2"/>
  <c r="P22" i="2"/>
  <c r="L23" i="2"/>
  <c r="G24" i="2"/>
  <c r="S24" i="2"/>
  <c r="R25" i="2"/>
  <c r="P26" i="2"/>
  <c r="M27" i="2"/>
  <c r="M28" i="2"/>
  <c r="M29" i="2"/>
  <c r="M30" i="2"/>
  <c r="M31" i="2"/>
  <c r="M32" i="2"/>
  <c r="M33" i="2"/>
  <c r="M34" i="2"/>
  <c r="M35" i="2"/>
  <c r="M36" i="2"/>
  <c r="G37" i="2"/>
  <c r="S37" i="2"/>
  <c r="M38" i="2"/>
  <c r="M39" i="2"/>
  <c r="P40" i="2"/>
  <c r="M14" i="2"/>
  <c r="U15" i="2"/>
  <c r="M16" i="2"/>
  <c r="U17" i="2"/>
  <c r="M18" i="2"/>
  <c r="U19" i="2"/>
  <c r="M20" i="2"/>
  <c r="U21" i="2"/>
  <c r="M22" i="2"/>
  <c r="S23" i="2"/>
  <c r="O24" i="2"/>
  <c r="G25" i="2"/>
  <c r="O25" i="2"/>
  <c r="M26" i="2"/>
  <c r="U27" i="2"/>
  <c r="R28" i="2"/>
  <c r="J29" i="2"/>
  <c r="O30" i="2"/>
  <c r="G31" i="2"/>
  <c r="S31" i="2"/>
  <c r="R32" i="2"/>
  <c r="J33" i="2"/>
  <c r="O34" i="2"/>
  <c r="G35" i="2"/>
  <c r="S35" i="2"/>
  <c r="R36" i="2"/>
  <c r="P37" i="2"/>
  <c r="O38" i="2"/>
  <c r="G39" i="2"/>
  <c r="L39" i="2"/>
  <c r="I40" i="2"/>
  <c r="S40" i="2"/>
  <c r="G41" i="2"/>
  <c r="S41" i="2"/>
  <c r="L42" i="2"/>
  <c r="P42" i="2"/>
  <c r="G43" i="2"/>
  <c r="S43" i="2"/>
  <c r="J44" i="2"/>
  <c r="M45" i="2"/>
  <c r="M46" i="2"/>
  <c r="M47" i="2"/>
  <c r="M48" i="2"/>
  <c r="J49" i="2"/>
  <c r="J50" i="2"/>
  <c r="J51" i="2"/>
  <c r="J52" i="2"/>
  <c r="J53" i="2"/>
  <c r="M54" i="2"/>
  <c r="M55" i="2"/>
  <c r="M56" i="2"/>
  <c r="M57" i="2"/>
  <c r="M58" i="2"/>
  <c r="G59" i="2"/>
  <c r="S59" i="2"/>
  <c r="J60" i="2"/>
  <c r="P15" i="2"/>
  <c r="P17" i="2"/>
  <c r="P19" i="2"/>
  <c r="P21" i="2"/>
  <c r="J24" i="2"/>
  <c r="P27" i="2"/>
  <c r="S28" i="2"/>
  <c r="R29" i="2"/>
  <c r="J30" i="2"/>
  <c r="O31" i="2"/>
  <c r="G32" i="2"/>
  <c r="S32" i="2"/>
  <c r="R33" i="2"/>
  <c r="J34" i="2"/>
  <c r="O35" i="2"/>
  <c r="G36" i="2"/>
  <c r="S36" i="2"/>
  <c r="J38" i="2"/>
  <c r="R39" i="2"/>
  <c r="J40" i="2"/>
  <c r="P41" i="2"/>
  <c r="M42" i="2"/>
  <c r="P43" i="2"/>
  <c r="G44" i="2"/>
  <c r="S44" i="2"/>
  <c r="J45" i="2"/>
  <c r="J46" i="2"/>
  <c r="J47" i="2"/>
  <c r="J48" i="2"/>
  <c r="G49" i="2"/>
  <c r="S49" i="2"/>
  <c r="G50" i="2"/>
  <c r="S50" i="2"/>
  <c r="G51" i="2"/>
  <c r="S51" i="2"/>
  <c r="G52" i="2"/>
  <c r="S52" i="2"/>
  <c r="G53" i="2"/>
  <c r="S53" i="2"/>
  <c r="J54" i="2"/>
  <c r="J55" i="2"/>
  <c r="J56" i="2"/>
  <c r="J57" i="2"/>
  <c r="J58" i="2"/>
  <c r="P59" i="2"/>
  <c r="G60" i="2"/>
  <c r="S60" i="2"/>
  <c r="J61" i="2"/>
  <c r="J62" i="2"/>
  <c r="I15" i="2"/>
  <c r="I17" i="2"/>
  <c r="I19" i="2"/>
  <c r="I21" i="2"/>
  <c r="G23" i="2"/>
  <c r="W23" i="2" s="1"/>
  <c r="O23" i="2"/>
  <c r="S25" i="2"/>
  <c r="J27" i="2"/>
  <c r="O28" i="2"/>
  <c r="G29" i="2"/>
  <c r="S29" i="2"/>
  <c r="R30" i="2"/>
  <c r="J31" i="2"/>
  <c r="O32" i="2"/>
  <c r="G33" i="2"/>
  <c r="W33" i="2" s="1"/>
  <c r="S33" i="2"/>
  <c r="R34" i="2"/>
  <c r="J35" i="2"/>
  <c r="O36" i="2"/>
  <c r="M37" i="2"/>
  <c r="R38" i="2"/>
  <c r="J39" i="2"/>
  <c r="O39" i="2"/>
  <c r="S39" i="2"/>
  <c r="G40" i="2"/>
  <c r="U40" i="2"/>
  <c r="M41" i="2"/>
  <c r="J42" i="2"/>
  <c r="R42" i="2"/>
  <c r="M43" i="2"/>
  <c r="L26" i="2"/>
  <c r="J28" i="2"/>
  <c r="O29" i="2"/>
  <c r="S30" i="2"/>
  <c r="G34" i="2"/>
  <c r="I37" i="2"/>
  <c r="G38" i="2"/>
  <c r="I44" i="2"/>
  <c r="U44" i="2"/>
  <c r="P45" i="2"/>
  <c r="L46" i="2"/>
  <c r="G47" i="2"/>
  <c r="S47" i="2"/>
  <c r="O48" i="2"/>
  <c r="I50" i="2"/>
  <c r="U50" i="2"/>
  <c r="I52" i="2"/>
  <c r="U52" i="2"/>
  <c r="G54" i="2"/>
  <c r="S54" i="2"/>
  <c r="O55" i="2"/>
  <c r="P56" i="2"/>
  <c r="L57" i="2"/>
  <c r="G58" i="2"/>
  <c r="S58" i="2"/>
  <c r="J59" i="2"/>
  <c r="P60" i="2"/>
  <c r="S61" i="2"/>
  <c r="G62" i="2"/>
  <c r="P62" i="2"/>
  <c r="J13" i="2"/>
  <c r="R13" i="2"/>
  <c r="L18" i="2"/>
  <c r="L22" i="2"/>
  <c r="J32" i="2"/>
  <c r="O33" i="2"/>
  <c r="S34" i="2"/>
  <c r="U37" i="2"/>
  <c r="S38" i="2"/>
  <c r="R40" i="2"/>
  <c r="G42" i="2"/>
  <c r="O42" i="2"/>
  <c r="P44" i="2"/>
  <c r="L45" i="2"/>
  <c r="G46" i="2"/>
  <c r="W46" i="2" s="1"/>
  <c r="S46" i="2"/>
  <c r="O47" i="2"/>
  <c r="P48" i="2"/>
  <c r="M49" i="2"/>
  <c r="P50" i="2"/>
  <c r="M51" i="2"/>
  <c r="P52" i="2"/>
  <c r="M53" i="2"/>
  <c r="O54" i="2"/>
  <c r="P55" i="2"/>
  <c r="L56" i="2"/>
  <c r="G57" i="2"/>
  <c r="S57" i="2"/>
  <c r="O58" i="2"/>
  <c r="M62" i="2"/>
  <c r="L14" i="2"/>
  <c r="R31" i="2"/>
  <c r="J36" i="2"/>
  <c r="P39" i="2"/>
  <c r="M40" i="2"/>
  <c r="J41" i="2"/>
  <c r="R41" i="2"/>
  <c r="G45" i="2"/>
  <c r="S45" i="2"/>
  <c r="O46" i="2"/>
  <c r="P47" i="2"/>
  <c r="L48" i="2"/>
  <c r="P54" i="2"/>
  <c r="L55" i="2"/>
  <c r="G56" i="2"/>
  <c r="W56" i="2" s="1"/>
  <c r="S56" i="2"/>
  <c r="O57" i="2"/>
  <c r="P58" i="2"/>
  <c r="M59" i="2"/>
  <c r="M60" i="2"/>
  <c r="G61" i="2"/>
  <c r="P61" i="2"/>
  <c r="S62" i="2"/>
  <c r="G30" i="2"/>
  <c r="W30" i="2" s="1"/>
  <c r="O45" i="2"/>
  <c r="P46" i="2"/>
  <c r="G48" i="2"/>
  <c r="P51" i="2"/>
  <c r="M52" i="2"/>
  <c r="I59" i="2"/>
  <c r="R35" i="2"/>
  <c r="L47" i="2"/>
  <c r="S48" i="2"/>
  <c r="P53" i="2"/>
  <c r="G55" i="2"/>
  <c r="W55" i="2" s="1"/>
  <c r="O56" i="2"/>
  <c r="P57" i="2"/>
  <c r="U59" i="2"/>
  <c r="L20" i="2"/>
  <c r="J43" i="2"/>
  <c r="R43" i="2"/>
  <c r="M44" i="2"/>
  <c r="L54" i="2"/>
  <c r="S55" i="2"/>
  <c r="L58" i="2"/>
  <c r="I60" i="2"/>
  <c r="M61" i="2"/>
  <c r="L16" i="2"/>
  <c r="S42" i="2"/>
  <c r="P49" i="2"/>
  <c r="M50" i="2"/>
  <c r="U60" i="2"/>
  <c r="I34" i="2"/>
  <c r="U62" i="2"/>
  <c r="I55" i="2"/>
  <c r="O52" i="2"/>
  <c r="R44" i="2"/>
  <c r="I42" i="2"/>
  <c r="R61" i="2"/>
  <c r="O60" i="2"/>
  <c r="O41" i="2"/>
  <c r="I61" i="2"/>
  <c r="I47" i="2"/>
  <c r="U41" i="2"/>
  <c r="I23" i="2"/>
  <c r="O40" i="2"/>
  <c r="O37" i="2"/>
  <c r="I28" i="2"/>
  <c r="V28" i="2" s="1"/>
  <c r="R27" i="2"/>
  <c r="U57" i="2"/>
  <c r="U48" i="2"/>
  <c r="U26" i="2"/>
  <c r="R22" i="2"/>
  <c r="O20" i="2"/>
  <c r="I18" i="2"/>
  <c r="U16" i="2"/>
  <c r="R14" i="2"/>
  <c r="U38" i="2"/>
  <c r="U33" i="2"/>
  <c r="U29" i="2"/>
  <c r="I24" i="2"/>
  <c r="O21" i="2"/>
  <c r="O19" i="2"/>
  <c r="O17" i="2"/>
  <c r="O15" i="2"/>
  <c r="R23" i="2"/>
  <c r="U25" i="2"/>
  <c r="I49" i="2"/>
  <c r="U53" i="2"/>
  <c r="L52" i="2"/>
  <c r="R50" i="2"/>
  <c r="U49" i="2"/>
  <c r="O44" i="2"/>
  <c r="O61" i="2"/>
  <c r="L60" i="2"/>
  <c r="R59" i="2"/>
  <c r="I39" i="2"/>
  <c r="R53" i="2"/>
  <c r="R51" i="2"/>
  <c r="R49" i="2"/>
  <c r="I41" i="2"/>
  <c r="V41" i="2" s="1"/>
  <c r="O13" i="2"/>
  <c r="I13" i="2"/>
  <c r="R57" i="2"/>
  <c r="R55" i="2"/>
  <c r="R48" i="2"/>
  <c r="R46" i="2"/>
  <c r="L41" i="2"/>
  <c r="L37" i="2"/>
  <c r="O27" i="2"/>
  <c r="U56" i="2"/>
  <c r="U47" i="2"/>
  <c r="I35" i="2"/>
  <c r="R26" i="2"/>
  <c r="O22" i="2"/>
  <c r="I20" i="2"/>
  <c r="U18" i="2"/>
  <c r="R16" i="2"/>
  <c r="O14" i="2"/>
  <c r="U36" i="2"/>
  <c r="U32" i="2"/>
  <c r="U28" i="2"/>
  <c r="L21" i="2"/>
  <c r="L19" i="2"/>
  <c r="L17" i="2"/>
  <c r="L15" i="2"/>
  <c r="O16" i="2"/>
  <c r="U31" i="2"/>
  <c r="O62" i="2"/>
  <c r="I48" i="2"/>
  <c r="R62" i="2"/>
  <c r="I62" i="2"/>
  <c r="I51" i="2"/>
  <c r="U61" i="2"/>
  <c r="O50" i="2"/>
  <c r="I45" i="2"/>
  <c r="L44" i="2"/>
  <c r="O59" i="2"/>
  <c r="I46" i="2"/>
  <c r="I58" i="2"/>
  <c r="O53" i="2"/>
  <c r="O51" i="2"/>
  <c r="O49" i="2"/>
  <c r="U43" i="2"/>
  <c r="I33" i="2"/>
  <c r="V33" i="2" s="1"/>
  <c r="X33" i="2" s="1"/>
  <c r="U13" i="2"/>
  <c r="L43" i="2"/>
  <c r="L40" i="2"/>
  <c r="I36" i="2"/>
  <c r="V36" i="2" s="1"/>
  <c r="L27" i="2"/>
  <c r="U55" i="2"/>
  <c r="U46" i="2"/>
  <c r="I31" i="2"/>
  <c r="V31" i="2" s="1"/>
  <c r="O26" i="2"/>
  <c r="I25" i="2"/>
  <c r="V25" i="2" s="1"/>
  <c r="I22" i="2"/>
  <c r="U20" i="2"/>
  <c r="R18" i="2"/>
  <c r="I14" i="2"/>
  <c r="U35" i="2"/>
  <c r="U23" i="2"/>
  <c r="L61" i="2"/>
  <c r="I38" i="2"/>
  <c r="V38" i="2" s="1"/>
  <c r="I53" i="2"/>
  <c r="L62" i="2"/>
  <c r="I56" i="2"/>
  <c r="R52" i="2"/>
  <c r="U51" i="2"/>
  <c r="L50" i="2"/>
  <c r="O43" i="2"/>
  <c r="I30" i="2"/>
  <c r="V30" i="2" s="1"/>
  <c r="X30" i="2" s="1"/>
  <c r="R60" i="2"/>
  <c r="L59" i="2"/>
  <c r="I57" i="2"/>
  <c r="V57" i="2" s="1"/>
  <c r="I54" i="2"/>
  <c r="L53" i="2"/>
  <c r="L51" i="2"/>
  <c r="L49" i="2"/>
  <c r="I43" i="2"/>
  <c r="V43" i="2" s="1"/>
  <c r="I29" i="2"/>
  <c r="V29" i="2" s="1"/>
  <c r="L13" i="2"/>
  <c r="L64" i="2" s="1"/>
  <c r="K66" i="2" s="1"/>
  <c r="K11" i="2" s="1"/>
  <c r="R58" i="2"/>
  <c r="R56" i="2"/>
  <c r="R54" i="2"/>
  <c r="R47" i="2"/>
  <c r="R45" i="2"/>
  <c r="U42" i="2"/>
  <c r="R37" i="2"/>
  <c r="I32" i="2"/>
  <c r="V32" i="2" s="1"/>
  <c r="I27" i="2"/>
  <c r="V27" i="2" s="1"/>
  <c r="U58" i="2"/>
  <c r="U54" i="2"/>
  <c r="U45" i="2"/>
  <c r="I26" i="2"/>
  <c r="V26" i="2" s="1"/>
  <c r="U22" i="2"/>
  <c r="R20" i="2"/>
  <c r="O18" i="2"/>
  <c r="I16" i="2"/>
  <c r="V16" i="2" s="1"/>
  <c r="X16" i="2" s="1"/>
  <c r="U14" i="2"/>
  <c r="U39" i="2"/>
  <c r="U34" i="2"/>
  <c r="U30" i="2"/>
  <c r="R21" i="2"/>
  <c r="R19" i="2"/>
  <c r="R17" i="2"/>
  <c r="R15" i="2"/>
  <c r="U24" i="2"/>
  <c r="AN15" i="2"/>
  <c r="AL15" i="2"/>
  <c r="G84" i="2"/>
  <c r="AN13" i="2"/>
  <c r="AN12" i="2" s="1"/>
  <c r="AJ64" i="2"/>
  <c r="AL13" i="2"/>
  <c r="J84" i="2"/>
  <c r="J85" i="2" s="1"/>
  <c r="AH88" i="22" l="1"/>
  <c r="AH89" i="22" s="1"/>
  <c r="J88" i="19"/>
  <c r="J89" i="19" s="1"/>
  <c r="J90" i="19" s="1"/>
  <c r="J91" i="19" s="1"/>
  <c r="J92" i="19" s="1"/>
  <c r="J95" i="19" s="1"/>
  <c r="D9" i="12"/>
  <c r="X10" i="12"/>
  <c r="X9" i="12"/>
  <c r="L19" i="12"/>
  <c r="L20" i="12" s="1"/>
  <c r="L21" i="12" s="1"/>
  <c r="L22" i="12" s="1"/>
  <c r="L23" i="12" s="1"/>
  <c r="L24" i="12" s="1"/>
  <c r="L25" i="12" s="1"/>
  <c r="L26" i="12" s="1"/>
  <c r="L27" i="12" s="1"/>
  <c r="L28" i="12" s="1"/>
  <c r="L29" i="12" s="1"/>
  <c r="L30" i="12" s="1"/>
  <c r="L31" i="12" s="1"/>
  <c r="L32" i="12" s="1"/>
  <c r="L33" i="12" s="1"/>
  <c r="L34" i="12" s="1"/>
  <c r="L35" i="12" s="1"/>
  <c r="L36" i="12" s="1"/>
  <c r="L37" i="12" s="1"/>
  <c r="L38" i="12" s="1"/>
  <c r="L40" i="12" s="1"/>
  <c r="L41" i="12" s="1"/>
  <c r="L42" i="12" s="1"/>
  <c r="L43" i="12" s="1"/>
  <c r="L44" i="12" s="1"/>
  <c r="L45" i="12" s="1"/>
  <c r="L46" i="12" s="1"/>
  <c r="L47" i="12" s="1"/>
  <c r="L48" i="12" s="1"/>
  <c r="L49" i="12" s="1"/>
  <c r="L50" i="12" s="1"/>
  <c r="L51" i="12" s="1"/>
  <c r="L52" i="12" s="1"/>
  <c r="N5" i="12" s="1"/>
  <c r="AK6" i="12"/>
  <c r="L11" i="3"/>
  <c r="N64" i="3"/>
  <c r="N11" i="3" s="1"/>
  <c r="P12" i="3"/>
  <c r="V51" i="2"/>
  <c r="V35" i="2"/>
  <c r="X35" i="2" s="1"/>
  <c r="V39" i="2"/>
  <c r="V24" i="2"/>
  <c r="V23" i="2"/>
  <c r="X23" i="2" s="1"/>
  <c r="V34" i="2"/>
  <c r="W61" i="2"/>
  <c r="W57" i="2"/>
  <c r="W42" i="2"/>
  <c r="W62" i="2"/>
  <c r="V52" i="2"/>
  <c r="X52" i="2" s="1"/>
  <c r="W34" i="2"/>
  <c r="V19" i="2"/>
  <c r="W52" i="2"/>
  <c r="W50" i="2"/>
  <c r="W44" i="2"/>
  <c r="W36" i="2"/>
  <c r="X36" i="2" s="1"/>
  <c r="W35" i="2"/>
  <c r="W25" i="2"/>
  <c r="W37" i="2"/>
  <c r="W27" i="2"/>
  <c r="AJ11" i="2"/>
  <c r="V53" i="2"/>
  <c r="V22" i="2"/>
  <c r="V58" i="2"/>
  <c r="V45" i="2"/>
  <c r="V62" i="2"/>
  <c r="X62" i="2" s="1"/>
  <c r="V20" i="2"/>
  <c r="V49" i="2"/>
  <c r="W45" i="2"/>
  <c r="R64" i="2"/>
  <c r="Q66" i="2" s="1"/>
  <c r="Q11" i="2" s="1"/>
  <c r="W58" i="2"/>
  <c r="W47" i="2"/>
  <c r="V44" i="2"/>
  <c r="X44" i="2" s="1"/>
  <c r="W29" i="2"/>
  <c r="X29" i="2" s="1"/>
  <c r="V17" i="2"/>
  <c r="W32" i="2"/>
  <c r="V40" i="2"/>
  <c r="X40" i="2" s="1"/>
  <c r="W31" i="2"/>
  <c r="X31" i="2" s="1"/>
  <c r="W21" i="2"/>
  <c r="W19" i="2"/>
  <c r="W17" i="2"/>
  <c r="W15" i="2"/>
  <c r="W13" i="2"/>
  <c r="V14" i="2"/>
  <c r="X14" i="2" s="1"/>
  <c r="X25" i="2"/>
  <c r="V46" i="2"/>
  <c r="X46" i="2" s="1"/>
  <c r="I64" i="2"/>
  <c r="H66" i="2" s="1"/>
  <c r="H11" i="2" s="1"/>
  <c r="V13" i="2"/>
  <c r="V18" i="2"/>
  <c r="V47" i="2"/>
  <c r="X47" i="2" s="1"/>
  <c r="V55" i="2"/>
  <c r="X55" i="2" s="1"/>
  <c r="W48" i="2"/>
  <c r="W54" i="2"/>
  <c r="V50" i="2"/>
  <c r="X50" i="2" s="1"/>
  <c r="W38" i="2"/>
  <c r="X38" i="2" s="1"/>
  <c r="W40" i="2"/>
  <c r="V15" i="2"/>
  <c r="X15" i="2" s="1"/>
  <c r="W60" i="2"/>
  <c r="W53" i="2"/>
  <c r="W51" i="2"/>
  <c r="W49" i="2"/>
  <c r="W59" i="2"/>
  <c r="W24" i="2"/>
  <c r="W28" i="2"/>
  <c r="X28" i="2" s="1"/>
  <c r="W26" i="2"/>
  <c r="X32" i="2"/>
  <c r="V54" i="2"/>
  <c r="X54" i="2" s="1"/>
  <c r="AL64" i="2"/>
  <c r="AL11" i="2" s="1"/>
  <c r="X26" i="2"/>
  <c r="X27" i="2"/>
  <c r="X57" i="2"/>
  <c r="V56" i="2"/>
  <c r="X56" i="2" s="1"/>
  <c r="U64" i="2"/>
  <c r="T66" i="2" s="1"/>
  <c r="T11" i="2" s="1"/>
  <c r="V48" i="2"/>
  <c r="X48" i="2" s="1"/>
  <c r="O64" i="2"/>
  <c r="N66" i="2" s="1"/>
  <c r="N11" i="2" s="1"/>
  <c r="V61" i="2"/>
  <c r="X61" i="2" s="1"/>
  <c r="V42" i="2"/>
  <c r="X42" i="2" s="1"/>
  <c r="V60" i="2"/>
  <c r="X60" i="2" s="1"/>
  <c r="V59" i="2"/>
  <c r="X59" i="2" s="1"/>
  <c r="V37" i="2"/>
  <c r="X37" i="2" s="1"/>
  <c r="V21" i="2"/>
  <c r="X21" i="2" s="1"/>
  <c r="W43" i="2"/>
  <c r="X43" i="2" s="1"/>
  <c r="W41" i="2"/>
  <c r="X41" i="2" s="1"/>
  <c r="W39" i="2"/>
  <c r="W22" i="2"/>
  <c r="W20" i="2"/>
  <c r="W18" i="2"/>
  <c r="W16" i="2"/>
  <c r="W14" i="2"/>
  <c r="AH90" i="22" l="1"/>
  <c r="AH91" i="22"/>
  <c r="AH92" i="22" s="1"/>
  <c r="AH95" i="22" s="1"/>
  <c r="N6" i="12"/>
  <c r="N7" i="12" s="1"/>
  <c r="X11" i="12"/>
  <c r="AK7" i="12"/>
  <c r="D11" i="12"/>
  <c r="N65" i="3"/>
  <c r="M11" i="3" s="1"/>
  <c r="X53" i="2"/>
  <c r="X19" i="2"/>
  <c r="X45" i="2"/>
  <c r="X24" i="2"/>
  <c r="X51" i="2"/>
  <c r="X18" i="2"/>
  <c r="X17" i="2"/>
  <c r="X49" i="2"/>
  <c r="X58" i="2"/>
  <c r="AL65" i="2"/>
  <c r="AK11" i="2" s="1"/>
  <c r="X39" i="2"/>
  <c r="X13" i="2"/>
  <c r="V63" i="2"/>
  <c r="V64" i="2"/>
  <c r="C11" i="2" s="1"/>
  <c r="X20" i="2"/>
  <c r="X22" i="2"/>
  <c r="X34" i="2"/>
  <c r="N8" i="12" l="1"/>
  <c r="N9" i="12"/>
  <c r="D13" i="12"/>
  <c r="X12" i="12"/>
  <c r="AK8" i="12"/>
  <c r="X10" i="2"/>
  <c r="X12" i="2" s="1"/>
  <c r="X64" i="2"/>
  <c r="W66" i="2" s="1"/>
  <c r="D15" i="12" l="1"/>
  <c r="N10" i="12"/>
  <c r="X13" i="12"/>
  <c r="D16" i="12"/>
  <c r="D18" i="12" s="1"/>
  <c r="D20" i="12" s="1"/>
  <c r="D22" i="12" s="1"/>
  <c r="D23" i="12" s="1"/>
  <c r="D24" i="12" s="1"/>
  <c r="D25" i="12" s="1"/>
  <c r="D26" i="12" s="1"/>
  <c r="F5" i="12" s="1"/>
  <c r="AK9" i="12"/>
  <c r="F6" i="12" l="1"/>
  <c r="AK10" i="12"/>
  <c r="AK11" i="12"/>
  <c r="AK12" i="12" s="1"/>
  <c r="X14" i="12"/>
  <c r="N11" i="12"/>
  <c r="N14" i="12" l="1"/>
  <c r="N13" i="12"/>
  <c r="F7" i="12"/>
  <c r="AK13" i="12"/>
  <c r="X15" i="12"/>
  <c r="X16" i="12" l="1"/>
  <c r="N15" i="12"/>
  <c r="AK14" i="12"/>
  <c r="F8" i="12"/>
  <c r="AK15" i="12" l="1"/>
  <c r="AK16" i="12" s="1"/>
  <c r="AK17" i="12" s="1"/>
  <c r="AK18" i="12" s="1"/>
  <c r="AK19" i="12" s="1"/>
  <c r="AK20" i="12" s="1"/>
  <c r="AK21" i="12" s="1"/>
  <c r="AK22" i="12" s="1"/>
  <c r="AK23" i="12" s="1"/>
  <c r="AK24" i="12" s="1"/>
  <c r="AK25" i="12" s="1"/>
  <c r="AK26" i="12" s="1"/>
  <c r="AK27" i="12" s="1"/>
  <c r="AK28" i="12" s="1"/>
  <c r="AK29" i="12" s="1"/>
  <c r="AK30" i="12" s="1"/>
  <c r="AK31" i="12" s="1"/>
  <c r="AK32" i="12" s="1"/>
  <c r="AK33" i="12" s="1"/>
  <c r="AK34" i="12" s="1"/>
  <c r="AK35" i="12" s="1"/>
  <c r="AK36" i="12" s="1"/>
  <c r="AK37" i="12" s="1"/>
  <c r="AK38" i="12" s="1"/>
  <c r="AK39" i="12" s="1"/>
  <c r="AK40" i="12" s="1"/>
  <c r="AK41" i="12" s="1"/>
  <c r="AK42" i="12" s="1"/>
  <c r="AK43" i="12" s="1"/>
  <c r="AK44" i="12" s="1"/>
  <c r="AK45" i="12" s="1"/>
  <c r="AK46" i="12" s="1"/>
  <c r="AK47" i="12" s="1"/>
  <c r="AK48" i="12" s="1"/>
  <c r="AK49" i="12" s="1"/>
  <c r="AK50" i="12" s="1"/>
  <c r="AK51" i="12" s="1"/>
  <c r="AK52" i="12" s="1"/>
  <c r="AK53" i="12" s="1"/>
  <c r="AK54" i="12" s="1"/>
  <c r="AK55" i="12" s="1"/>
  <c r="AK56" i="12" s="1"/>
  <c r="AK57" i="12" s="1"/>
  <c r="AK58" i="12" s="1"/>
  <c r="N17" i="12"/>
  <c r="N18" i="12" s="1"/>
  <c r="N19" i="12" s="1"/>
  <c r="N20" i="12" s="1"/>
  <c r="N21" i="12" s="1"/>
  <c r="N22" i="12" s="1"/>
  <c r="N23" i="12" s="1"/>
  <c r="N24" i="12" s="1"/>
  <c r="N25" i="12" s="1"/>
  <c r="N26" i="12" s="1"/>
  <c r="N27" i="12" s="1"/>
  <c r="N28" i="12" s="1"/>
  <c r="N29" i="12" s="1"/>
  <c r="N30" i="12" s="1"/>
  <c r="N31" i="12" s="1"/>
  <c r="N33" i="12" s="1"/>
  <c r="N34" i="12" s="1"/>
  <c r="N35" i="12" s="1"/>
  <c r="N36" i="12" s="1"/>
  <c r="N37" i="12" s="1"/>
  <c r="N38" i="12" s="1"/>
  <c r="N39" i="12" s="1"/>
  <c r="N40" i="12" s="1"/>
  <c r="N41" i="12" s="1"/>
  <c r="N42" i="12" s="1"/>
  <c r="N43" i="12" s="1"/>
  <c r="N44" i="12" s="1"/>
  <c r="N45" i="12" s="1"/>
  <c r="N46" i="12" s="1"/>
  <c r="N48" i="12" s="1"/>
  <c r="N49" i="12" s="1"/>
  <c r="N50" i="12" s="1"/>
  <c r="N51" i="12" s="1"/>
  <c r="N52" i="12" s="1"/>
  <c r="P5" i="12" s="1"/>
  <c r="N16" i="12"/>
  <c r="F9" i="12"/>
  <c r="F10" i="12" s="1"/>
  <c r="X17" i="12"/>
  <c r="X18" i="12" s="1"/>
  <c r="X19" i="12" s="1"/>
  <c r="X20" i="12" s="1"/>
  <c r="X21" i="12" s="1"/>
  <c r="X22" i="12" s="1"/>
  <c r="X23" i="12" s="1"/>
  <c r="X24" i="12" s="1"/>
  <c r="X25" i="12" s="1"/>
  <c r="X26" i="12" s="1"/>
  <c r="X27" i="12" s="1"/>
  <c r="X28" i="12" s="1"/>
  <c r="X29" i="12" s="1"/>
  <c r="X30" i="12" s="1"/>
  <c r="X31" i="12" s="1"/>
  <c r="X32" i="12" s="1"/>
  <c r="X33" i="12" s="1"/>
  <c r="X36" i="12" s="1"/>
  <c r="X37" i="12" s="1"/>
  <c r="X38" i="12" s="1"/>
  <c r="X39" i="12" s="1"/>
  <c r="X40" i="12" s="1"/>
  <c r="X41" i="12" s="1"/>
  <c r="X42" i="12" s="1"/>
  <c r="X43" i="12" s="1"/>
  <c r="X44" i="12" s="1"/>
  <c r="X45" i="12" s="1"/>
  <c r="X46" i="12" s="1"/>
  <c r="X47" i="12" s="1"/>
  <c r="X48" i="12" s="1"/>
  <c r="X49" i="12" s="1"/>
  <c r="X50" i="12" s="1"/>
  <c r="X51" i="12" s="1"/>
  <c r="X52" i="12" s="1"/>
  <c r="X53" i="12" s="1"/>
  <c r="X54" i="12" s="1"/>
  <c r="X55" i="12" s="1"/>
  <c r="X56" i="12" s="1"/>
  <c r="X57" i="12" s="1"/>
  <c r="X58" i="12" s="1"/>
  <c r="X59" i="12" s="1"/>
  <c r="X60" i="12" s="1"/>
  <c r="X61" i="12" s="1"/>
  <c r="X62" i="12" s="1"/>
  <c r="X63" i="12" s="1"/>
  <c r="Z5" i="12" s="1"/>
  <c r="F11" i="12" l="1"/>
  <c r="P6" i="12"/>
  <c r="P7" i="12"/>
  <c r="Z6" i="12"/>
  <c r="Z8" i="12" s="1"/>
  <c r="Z7" i="12"/>
  <c r="Z9" i="12" l="1"/>
  <c r="Z10" i="12"/>
  <c r="F12" i="12"/>
  <c r="P9" i="12"/>
  <c r="P12" i="12" l="1"/>
  <c r="P13" i="12"/>
  <c r="P11" i="12"/>
  <c r="Z11" i="12"/>
  <c r="F14" i="12"/>
  <c r="F15" i="12" s="1"/>
  <c r="F16" i="12" s="1"/>
  <c r="F17" i="12" s="1"/>
  <c r="F18" i="12" s="1"/>
  <c r="F19" i="12" s="1"/>
  <c r="F20" i="12" s="1"/>
  <c r="F21" i="12" s="1"/>
  <c r="F22" i="12" s="1"/>
  <c r="F23" i="12" s="1"/>
  <c r="F24" i="12" s="1"/>
  <c r="H5" i="12" s="1"/>
  <c r="H6" i="12" l="1"/>
  <c r="H7" i="12"/>
  <c r="P14" i="12"/>
  <c r="Z12" i="12"/>
  <c r="P16" i="12"/>
  <c r="P17" i="12" l="1"/>
  <c r="P18" i="12"/>
  <c r="P19" i="12" s="1"/>
  <c r="H10" i="12"/>
  <c r="H11" i="12" s="1"/>
  <c r="Z13" i="12"/>
  <c r="H8" i="12"/>
  <c r="H12" i="12" l="1"/>
  <c r="Z14" i="12"/>
  <c r="H14" i="12"/>
  <c r="P20" i="12"/>
  <c r="H16" i="12"/>
  <c r="H18" i="12" s="1"/>
  <c r="H19" i="12" s="1"/>
  <c r="Z15" i="12" l="1"/>
  <c r="P21" i="12"/>
  <c r="Z16" i="12" l="1"/>
  <c r="Z17" i="12" s="1"/>
  <c r="Z18" i="12" s="1"/>
  <c r="Z19" i="12" s="1"/>
  <c r="Z20" i="12" s="1"/>
  <c r="Z21" i="12" s="1"/>
  <c r="Z22" i="12" s="1"/>
  <c r="Z23" i="12" s="1"/>
  <c r="Z24" i="12" s="1"/>
  <c r="Z25" i="12" s="1"/>
  <c r="Z26" i="12" s="1"/>
  <c r="Z29" i="12" s="1"/>
  <c r="Z30" i="12" s="1"/>
  <c r="Z31" i="12" s="1"/>
  <c r="Z32" i="12" s="1"/>
  <c r="Z33" i="12" s="1"/>
  <c r="Z34" i="12" s="1"/>
  <c r="Z35" i="12" s="1"/>
  <c r="Z36" i="12" s="1"/>
  <c r="Z37" i="12" s="1"/>
  <c r="Z38" i="12" s="1"/>
  <c r="Z39" i="12" s="1"/>
  <c r="Z40" i="12" s="1"/>
  <c r="Z41" i="12" s="1"/>
  <c r="Z44" i="12" s="1"/>
  <c r="Z45" i="12" s="1"/>
  <c r="Z46" i="12" s="1"/>
  <c r="Z47" i="12" s="1"/>
  <c r="Z48" i="12" s="1"/>
  <c r="Z51" i="12" s="1"/>
  <c r="Z54" i="12" s="1"/>
  <c r="Z55" i="12" s="1"/>
  <c r="Z56" i="12" s="1"/>
  <c r="Z57" i="12" s="1"/>
  <c r="Z58" i="12" s="1"/>
  <c r="Z59" i="12" s="1"/>
  <c r="Z60" i="12" s="1"/>
  <c r="Z61" i="12" s="1"/>
  <c r="Z62" i="12" s="1"/>
  <c r="AB5" i="12" s="1"/>
  <c r="P22" i="12"/>
  <c r="P23" i="12" s="1"/>
  <c r="P24" i="12" s="1"/>
  <c r="P25" i="12" s="1"/>
  <c r="P26" i="12" s="1"/>
  <c r="P27" i="12" s="1"/>
  <c r="P29" i="12" s="1"/>
  <c r="P30" i="12" s="1"/>
  <c r="P33" i="12" s="1"/>
  <c r="P34" i="12" s="1"/>
  <c r="P35" i="12" s="1"/>
  <c r="P36" i="12" s="1"/>
  <c r="P37" i="12" s="1"/>
  <c r="P38" i="12" s="1"/>
  <c r="P39" i="12" s="1"/>
  <c r="P40" i="12" s="1"/>
  <c r="P41" i="12" s="1"/>
  <c r="P42" i="12" s="1"/>
  <c r="P43" i="12" s="1"/>
  <c r="P45" i="12" s="1"/>
  <c r="P48" i="12" s="1"/>
  <c r="P49" i="12" s="1"/>
  <c r="P50" i="12" s="1"/>
  <c r="P51" i="12" s="1"/>
  <c r="P52" i="12" s="1"/>
  <c r="R5" i="12" s="1"/>
  <c r="R6" i="12" l="1"/>
  <c r="AB8" i="12"/>
  <c r="AB6" i="12"/>
  <c r="AB7" i="12"/>
  <c r="R7" i="12" l="1"/>
  <c r="AB9" i="12"/>
  <c r="AB10" i="12" s="1"/>
  <c r="AB12" i="12" l="1"/>
  <c r="AB11" i="12"/>
  <c r="R8" i="12"/>
  <c r="R9" i="12" l="1"/>
  <c r="R10" i="12"/>
  <c r="AB13" i="12"/>
  <c r="AB14" i="12" l="1"/>
  <c r="R11" i="12"/>
  <c r="R13" i="12" s="1"/>
  <c r="R14" i="12" l="1"/>
  <c r="R15" i="12"/>
  <c r="AB18" i="12"/>
  <c r="AB19" i="12" s="1"/>
  <c r="AB20" i="12" s="1"/>
  <c r="AB21" i="12" s="1"/>
  <c r="AB15" i="12"/>
  <c r="AB16" i="12" s="1"/>
  <c r="AB17" i="12" s="1"/>
  <c r="AB22" i="12" l="1"/>
  <c r="AB23" i="12" s="1"/>
  <c r="AB24" i="12" s="1"/>
  <c r="AB25" i="12" s="1"/>
  <c r="R16" i="12"/>
  <c r="AB26" i="12"/>
  <c r="AB27" i="12" s="1"/>
  <c r="AB28" i="12" s="1"/>
  <c r="AB30" i="12" s="1"/>
  <c r="AB31" i="12" s="1"/>
  <c r="AB33" i="12" s="1"/>
  <c r="AB34" i="12" s="1"/>
  <c r="AB35" i="12" s="1"/>
  <c r="AB36" i="12" s="1"/>
  <c r="AB37" i="12" s="1"/>
  <c r="AB38" i="12" s="1"/>
  <c r="AB39" i="12" s="1"/>
  <c r="AB40" i="12" s="1"/>
  <c r="AB41" i="12" s="1"/>
  <c r="AB42" i="12" s="1"/>
  <c r="AB43" i="12" s="1"/>
  <c r="AB44" i="12" s="1"/>
  <c r="AB45" i="12" s="1"/>
  <c r="AB46" i="12" s="1"/>
  <c r="AB47" i="12" s="1"/>
  <c r="AB48" i="12" s="1"/>
  <c r="AB49" i="12" s="1"/>
  <c r="AB50" i="12" s="1"/>
  <c r="AB51" i="12" s="1"/>
  <c r="AB52" i="12" s="1"/>
  <c r="AB53" i="12" s="1"/>
  <c r="AB54" i="12" s="1"/>
  <c r="AB55" i="12" s="1"/>
  <c r="AB56" i="12" s="1"/>
  <c r="AB57" i="12" s="1"/>
  <c r="AB58" i="12" s="1"/>
  <c r="AB59" i="12" s="1"/>
  <c r="AB62" i="12" s="1"/>
  <c r="AD5" i="12" s="1"/>
  <c r="AD6" i="12" l="1"/>
  <c r="R17" i="12"/>
  <c r="R18" i="12" s="1"/>
  <c r="R19" i="12" s="1"/>
  <c r="R21" i="12" s="1"/>
  <c r="R22" i="12" s="1"/>
  <c r="R23" i="12" s="1"/>
  <c r="R24" i="12" s="1"/>
  <c r="R25" i="12" s="1"/>
  <c r="R26" i="12" s="1"/>
  <c r="R27" i="12" s="1"/>
  <c r="R28" i="12" s="1"/>
  <c r="R29" i="12" s="1"/>
  <c r="R30" i="12" s="1"/>
  <c r="R31" i="12" s="1"/>
  <c r="R34" i="12" s="1"/>
  <c r="R35" i="12" s="1"/>
  <c r="R36" i="12" s="1"/>
  <c r="R39" i="12" s="1"/>
  <c r="AD7" i="12" l="1"/>
  <c r="T89" i="1"/>
  <c r="V87" i="1"/>
  <c r="E84" i="1"/>
  <c r="D77" i="1"/>
  <c r="Y76" i="1"/>
  <c r="X76" i="1"/>
  <c r="B74" i="1"/>
  <c r="D68" i="1"/>
  <c r="E68" i="1" s="1"/>
  <c r="C68" i="1"/>
  <c r="C85" i="1" s="1"/>
  <c r="E85" i="1" s="1"/>
  <c r="T85" i="1" s="1"/>
  <c r="AS67" i="1"/>
  <c r="AR67" i="1"/>
  <c r="E67" i="1"/>
  <c r="D67" i="1"/>
  <c r="C67" i="1"/>
  <c r="C84" i="1" s="1"/>
  <c r="AO66" i="1"/>
  <c r="D66" i="1"/>
  <c r="C66" i="1"/>
  <c r="D65" i="1"/>
  <c r="C65" i="1"/>
  <c r="C82" i="1" s="1"/>
  <c r="E82" i="1" s="1"/>
  <c r="T82" i="1" s="1"/>
  <c r="E64" i="1"/>
  <c r="D64" i="1"/>
  <c r="C64" i="1"/>
  <c r="C81" i="1" s="1"/>
  <c r="E81" i="1" s="1"/>
  <c r="D63" i="1"/>
  <c r="C63" i="1"/>
  <c r="C80" i="1" s="1"/>
  <c r="AO61" i="1"/>
  <c r="AN61" i="1"/>
  <c r="AM61" i="1"/>
  <c r="B60" i="1"/>
  <c r="AN59" i="1"/>
  <c r="X59" i="1"/>
  <c r="W59" i="1"/>
  <c r="AN58" i="1"/>
  <c r="B57" i="1"/>
  <c r="AJ55" i="1"/>
  <c r="AI55" i="1"/>
  <c r="AH55" i="1"/>
  <c r="AG55" i="1"/>
  <c r="AF55" i="1"/>
  <c r="AE55" i="1"/>
  <c r="AD55" i="1"/>
  <c r="AC55" i="1"/>
  <c r="AB55" i="1"/>
  <c r="AA55" i="1"/>
  <c r="Z55" i="1"/>
  <c r="Y55" i="1"/>
  <c r="X55" i="1"/>
  <c r="W55" i="1"/>
  <c r="V55" i="1"/>
  <c r="U55" i="1"/>
  <c r="T55" i="1"/>
  <c r="S55" i="1"/>
  <c r="R55" i="1"/>
  <c r="Q55" i="1"/>
  <c r="P55" i="1"/>
  <c r="O55" i="1"/>
  <c r="N55" i="1"/>
  <c r="M55" i="1"/>
  <c r="L55" i="1"/>
  <c r="K55" i="1"/>
  <c r="J55" i="1"/>
  <c r="I55" i="1"/>
  <c r="H55" i="1"/>
  <c r="G55" i="1"/>
  <c r="F55" i="1"/>
  <c r="E55" i="1"/>
  <c r="D55" i="1"/>
  <c r="C55" i="1"/>
  <c r="B55" i="1"/>
  <c r="AA54" i="1"/>
  <c r="AA53" i="1"/>
  <c r="AA52" i="1"/>
  <c r="W52" i="1"/>
  <c r="E52" i="1"/>
  <c r="AK51" i="1"/>
  <c r="AA51" i="1"/>
  <c r="W51" i="1"/>
  <c r="E51" i="1"/>
  <c r="U51" i="1" s="1"/>
  <c r="AA50" i="1"/>
  <c r="W50" i="1"/>
  <c r="E50" i="1"/>
  <c r="U50" i="1" s="1"/>
  <c r="AA49" i="1"/>
  <c r="W49" i="1"/>
  <c r="U49" i="1"/>
  <c r="E49" i="1"/>
  <c r="W48" i="1"/>
  <c r="U48" i="1"/>
  <c r="E48" i="1"/>
  <c r="W47" i="1"/>
  <c r="U47" i="1"/>
  <c r="E47" i="1"/>
  <c r="W46" i="1"/>
  <c r="U46" i="1"/>
  <c r="E46" i="1"/>
  <c r="AA45" i="1"/>
  <c r="W45" i="1"/>
  <c r="U45" i="1"/>
  <c r="E45" i="1"/>
  <c r="AA44" i="1"/>
  <c r="W44" i="1"/>
  <c r="E44" i="1"/>
  <c r="U44" i="1" s="1"/>
  <c r="AA43" i="1"/>
  <c r="W43" i="1"/>
  <c r="E43" i="1"/>
  <c r="U43" i="1" s="1"/>
  <c r="AO42" i="1"/>
  <c r="AA42" i="1"/>
  <c r="W42" i="1"/>
  <c r="E42" i="1"/>
  <c r="AA41" i="1"/>
  <c r="W41" i="1"/>
  <c r="E41" i="1"/>
  <c r="AO40" i="1"/>
  <c r="AA40" i="1"/>
  <c r="W40" i="1"/>
  <c r="E40" i="1"/>
  <c r="AO39" i="1"/>
  <c r="AA39" i="1"/>
  <c r="W39" i="1"/>
  <c r="U39" i="1"/>
  <c r="E39" i="1"/>
  <c r="AA38" i="1"/>
  <c r="W38" i="1"/>
  <c r="U38" i="1"/>
  <c r="E38" i="1"/>
  <c r="AO37" i="1"/>
  <c r="AA37" i="1"/>
  <c r="W37" i="1"/>
  <c r="E37" i="1"/>
  <c r="U37" i="1" s="1"/>
  <c r="AO36" i="1"/>
  <c r="AA36" i="1"/>
  <c r="W36" i="1"/>
  <c r="E36" i="1"/>
  <c r="U36" i="1" s="1"/>
  <c r="AA35" i="1"/>
  <c r="W35" i="1"/>
  <c r="E35" i="1"/>
  <c r="U35" i="1" s="1"/>
  <c r="AA34" i="1"/>
  <c r="W34" i="1"/>
  <c r="E34" i="1"/>
  <c r="U34" i="1" s="1"/>
  <c r="AA33" i="1"/>
  <c r="W33" i="1"/>
  <c r="E33" i="1"/>
  <c r="AA32" i="1"/>
  <c r="W32" i="1"/>
  <c r="E32" i="1"/>
  <c r="U32" i="1" s="1"/>
  <c r="AA31" i="1"/>
  <c r="W31" i="1"/>
  <c r="E31" i="1"/>
  <c r="U31" i="1" s="1"/>
  <c r="AA30" i="1"/>
  <c r="W30" i="1"/>
  <c r="E30" i="1"/>
  <c r="U30" i="1" s="1"/>
  <c r="AA29" i="1"/>
  <c r="W29" i="1"/>
  <c r="E29" i="1"/>
  <c r="AA28" i="1"/>
  <c r="W28" i="1"/>
  <c r="E28" i="1"/>
  <c r="AA27" i="1"/>
  <c r="W27" i="1"/>
  <c r="E27" i="1"/>
  <c r="AA26" i="1"/>
  <c r="W26" i="1"/>
  <c r="U26" i="1"/>
  <c r="E26" i="1"/>
  <c r="AA25" i="1"/>
  <c r="W25" i="1"/>
  <c r="U25" i="1"/>
  <c r="E25" i="1"/>
  <c r="AO24" i="1"/>
  <c r="W24" i="1"/>
  <c r="E24" i="1"/>
  <c r="U24" i="1" s="1"/>
  <c r="AO23" i="1"/>
  <c r="W23" i="1"/>
  <c r="E23" i="1"/>
  <c r="U23" i="1" s="1"/>
  <c r="AA22" i="1"/>
  <c r="W22" i="1"/>
  <c r="E22" i="1"/>
  <c r="U22" i="1" s="1"/>
  <c r="W21" i="1"/>
  <c r="E21" i="1"/>
  <c r="U21" i="1" s="1"/>
  <c r="W20" i="1"/>
  <c r="E20" i="1"/>
  <c r="U20" i="1" s="1"/>
  <c r="AJ19" i="1"/>
  <c r="W19" i="1"/>
  <c r="E19" i="1"/>
  <c r="U19" i="1" s="1"/>
  <c r="W18" i="1"/>
  <c r="E18" i="1"/>
  <c r="U18" i="1" s="1"/>
  <c r="AI17" i="1"/>
  <c r="AI19" i="1" s="1"/>
  <c r="AH17" i="1"/>
  <c r="AH19" i="1" s="1"/>
  <c r="AG17" i="1"/>
  <c r="AG19" i="1" s="1"/>
  <c r="AF17" i="1"/>
  <c r="AF19" i="1" s="1"/>
  <c r="AE17" i="1"/>
  <c r="AE19" i="1" s="1"/>
  <c r="AD17" i="1"/>
  <c r="AD19" i="1" s="1"/>
  <c r="W17" i="1"/>
  <c r="E17" i="1"/>
  <c r="U17" i="1" s="1"/>
  <c r="W16" i="1"/>
  <c r="F16" i="1"/>
  <c r="E16" i="1"/>
  <c r="U16" i="1" s="1"/>
  <c r="AI15" i="1"/>
  <c r="AI18" i="1" s="1"/>
  <c r="AH15" i="1"/>
  <c r="AH18" i="1" s="1"/>
  <c r="AG15" i="1"/>
  <c r="AG18" i="1" s="1"/>
  <c r="AF15" i="1"/>
  <c r="AF18" i="1" s="1"/>
  <c r="AE15" i="1"/>
  <c r="AE18" i="1" s="1"/>
  <c r="AD15" i="1"/>
  <c r="AD18" i="1" s="1"/>
  <c r="W15" i="1"/>
  <c r="F15" i="1"/>
  <c r="E15" i="1"/>
  <c r="AJ13" i="1"/>
  <c r="S12" i="1"/>
  <c r="Q12" i="1"/>
  <c r="O12" i="1"/>
  <c r="M12" i="1"/>
  <c r="K12" i="1"/>
  <c r="I12" i="1"/>
  <c r="AO11" i="1"/>
  <c r="AO10" i="1"/>
  <c r="X10" i="1"/>
  <c r="AO58" i="1" s="1"/>
  <c r="S10" i="1"/>
  <c r="H10" i="1"/>
  <c r="V10" i="1" s="1"/>
  <c r="AO57" i="1" s="1"/>
  <c r="AO9" i="1"/>
  <c r="AC8" i="1"/>
  <c r="Y8" i="1"/>
  <c r="AO7" i="1"/>
  <c r="W7" i="1"/>
  <c r="A3" i="1"/>
  <c r="A2" i="1"/>
  <c r="Q1" i="1"/>
  <c r="B1" i="1"/>
  <c r="AD8" i="12" l="1"/>
  <c r="F17" i="1"/>
  <c r="T81" i="1"/>
  <c r="U81" i="1" s="1"/>
  <c r="E63" i="1"/>
  <c r="D60" i="1"/>
  <c r="E60" i="1" s="1"/>
  <c r="L18" i="1"/>
  <c r="AJ18" i="1"/>
  <c r="L30" i="1"/>
  <c r="U27" i="1"/>
  <c r="U29" i="1"/>
  <c r="J38" i="1"/>
  <c r="E54" i="1"/>
  <c r="B9" i="1" s="1"/>
  <c r="L25" i="1"/>
  <c r="U28" i="1"/>
  <c r="U52" i="1"/>
  <c r="AJ15" i="1"/>
  <c r="L38" i="1" s="1"/>
  <c r="J17" i="1"/>
  <c r="H23" i="1"/>
  <c r="N24" i="1"/>
  <c r="U33" i="1"/>
  <c r="R39" i="1"/>
  <c r="AA46" i="1"/>
  <c r="AA47" i="1" s="1"/>
  <c r="AA23" i="1"/>
  <c r="AA24" i="1" s="1"/>
  <c r="L32" i="1"/>
  <c r="H32" i="1"/>
  <c r="U40" i="1"/>
  <c r="U42" i="1"/>
  <c r="P31" i="1"/>
  <c r="L35" i="1"/>
  <c r="H35" i="1"/>
  <c r="U41" i="1"/>
  <c r="T84" i="1"/>
  <c r="U84" i="1" s="1"/>
  <c r="G64" i="1"/>
  <c r="T64" i="1" s="1"/>
  <c r="G67" i="1"/>
  <c r="T67" i="1" s="1"/>
  <c r="C83" i="1"/>
  <c r="E83" i="1" s="1"/>
  <c r="E66" i="1"/>
  <c r="R44" i="1"/>
  <c r="R48" i="1"/>
  <c r="B77" i="1"/>
  <c r="U82" i="1"/>
  <c r="G68" i="1"/>
  <c r="T68" i="1" s="1"/>
  <c r="E80" i="1"/>
  <c r="U85" i="1"/>
  <c r="J45" i="1"/>
  <c r="N45" i="1"/>
  <c r="N47" i="1"/>
  <c r="N48" i="1"/>
  <c r="N50" i="1"/>
  <c r="J51" i="1"/>
  <c r="N51" i="1"/>
  <c r="E65" i="1"/>
  <c r="AD9" i="12" l="1"/>
  <c r="F18" i="1"/>
  <c r="W81" i="1"/>
  <c r="V81" i="1"/>
  <c r="X81" i="1"/>
  <c r="Y81" i="1" s="1"/>
  <c r="T63" i="1"/>
  <c r="U63" i="1" s="1"/>
  <c r="H43" i="1"/>
  <c r="L23" i="1"/>
  <c r="P37" i="1"/>
  <c r="P25" i="1"/>
  <c r="R25" i="1"/>
  <c r="L39" i="1"/>
  <c r="N49" i="1"/>
  <c r="J47" i="1"/>
  <c r="N44" i="1"/>
  <c r="R47" i="1"/>
  <c r="H31" i="1"/>
  <c r="G60" i="1"/>
  <c r="T60" i="1" s="1"/>
  <c r="H36" i="1"/>
  <c r="P32" i="1"/>
  <c r="G63" i="1"/>
  <c r="R30" i="1"/>
  <c r="L21" i="1"/>
  <c r="H39" i="1"/>
  <c r="R43" i="1"/>
  <c r="N19" i="1"/>
  <c r="N30" i="1"/>
  <c r="L24" i="1"/>
  <c r="H16" i="1"/>
  <c r="AA48" i="1"/>
  <c r="J49" i="1"/>
  <c r="N46" i="1"/>
  <c r="R51" i="1"/>
  <c r="R50" i="1"/>
  <c r="L31" i="1"/>
  <c r="R49" i="1"/>
  <c r="L36" i="1"/>
  <c r="J30" i="1"/>
  <c r="P21" i="1"/>
  <c r="H34" i="1"/>
  <c r="J20" i="1"/>
  <c r="R19" i="1"/>
  <c r="U67" i="1"/>
  <c r="V67" i="1"/>
  <c r="W67" i="1" s="1"/>
  <c r="X67" i="1" s="1"/>
  <c r="V68" i="1"/>
  <c r="W68" i="1" s="1"/>
  <c r="X68" i="1" s="1"/>
  <c r="U68" i="1"/>
  <c r="C77" i="1"/>
  <c r="T80" i="1"/>
  <c r="U80" i="1" s="1"/>
  <c r="W84" i="1"/>
  <c r="X84" i="1" s="1"/>
  <c r="Y84" i="1" s="1"/>
  <c r="V84" i="1"/>
  <c r="P27" i="1"/>
  <c r="H27" i="1"/>
  <c r="N27" i="1"/>
  <c r="R27" i="1"/>
  <c r="L27" i="1"/>
  <c r="J27" i="1"/>
  <c r="P51" i="1"/>
  <c r="L51" i="1"/>
  <c r="H51" i="1"/>
  <c r="P50" i="1"/>
  <c r="L50" i="1"/>
  <c r="H50" i="1"/>
  <c r="P49" i="1"/>
  <c r="L49" i="1"/>
  <c r="H49" i="1"/>
  <c r="P48" i="1"/>
  <c r="L48" i="1"/>
  <c r="H48" i="1"/>
  <c r="P47" i="1"/>
  <c r="L47" i="1"/>
  <c r="H47" i="1"/>
  <c r="P46" i="1"/>
  <c r="L46" i="1"/>
  <c r="H46" i="1"/>
  <c r="P45" i="1"/>
  <c r="L45" i="1"/>
  <c r="H45" i="1"/>
  <c r="P44" i="1"/>
  <c r="L44" i="1"/>
  <c r="H44" i="1"/>
  <c r="R36" i="1"/>
  <c r="R32" i="1"/>
  <c r="N36" i="1"/>
  <c r="N31" i="1"/>
  <c r="R37" i="1"/>
  <c r="J24" i="1"/>
  <c r="J22" i="1"/>
  <c r="R21" i="1"/>
  <c r="H20" i="1"/>
  <c r="P19" i="1"/>
  <c r="J36" i="1"/>
  <c r="R35" i="1"/>
  <c r="J32" i="1"/>
  <c r="H19" i="1"/>
  <c r="L43" i="1"/>
  <c r="N35" i="1"/>
  <c r="N32" i="1"/>
  <c r="N21" i="1"/>
  <c r="P17" i="1"/>
  <c r="L17" i="1"/>
  <c r="H17" i="1"/>
  <c r="AF10" i="1"/>
  <c r="H37" i="1"/>
  <c r="R31" i="1"/>
  <c r="J23" i="1"/>
  <c r="L19" i="1"/>
  <c r="N39" i="1"/>
  <c r="L34" i="1"/>
  <c r="P43" i="1"/>
  <c r="R22" i="1"/>
  <c r="J19" i="1"/>
  <c r="N38" i="1"/>
  <c r="L37" i="1"/>
  <c r="P26" i="1"/>
  <c r="J25" i="1"/>
  <c r="P24" i="1"/>
  <c r="N20" i="1"/>
  <c r="P30" i="1"/>
  <c r="N18" i="1"/>
  <c r="P18" i="1"/>
  <c r="N22" i="1"/>
  <c r="L16" i="1"/>
  <c r="R26" i="1"/>
  <c r="G65" i="1"/>
  <c r="G71" i="1" s="1"/>
  <c r="J50" i="1"/>
  <c r="J48" i="1"/>
  <c r="J46" i="1"/>
  <c r="J44" i="1"/>
  <c r="W82" i="1"/>
  <c r="X82" i="1" s="1"/>
  <c r="Y82" i="1" s="1"/>
  <c r="V82" i="1"/>
  <c r="G66" i="1"/>
  <c r="T66" i="1"/>
  <c r="R46" i="1"/>
  <c r="L41" i="1"/>
  <c r="N41" i="1"/>
  <c r="J41" i="1"/>
  <c r="H41" i="1"/>
  <c r="P41" i="1"/>
  <c r="R41" i="1"/>
  <c r="P35" i="1"/>
  <c r="R45" i="1"/>
  <c r="P40" i="1"/>
  <c r="L40" i="1"/>
  <c r="H40" i="1"/>
  <c r="R40" i="1"/>
  <c r="N40" i="1"/>
  <c r="J40" i="1"/>
  <c r="P36" i="1"/>
  <c r="R38" i="1"/>
  <c r="P33" i="1"/>
  <c r="L33" i="1"/>
  <c r="H33" i="1"/>
  <c r="N33" i="1"/>
  <c r="R33" i="1"/>
  <c r="J33" i="1"/>
  <c r="H26" i="1"/>
  <c r="H22" i="1"/>
  <c r="L20" i="1"/>
  <c r="J39" i="1"/>
  <c r="N34" i="1"/>
  <c r="P34" i="1"/>
  <c r="J43" i="1"/>
  <c r="P28" i="1"/>
  <c r="L28" i="1"/>
  <c r="H28" i="1"/>
  <c r="N28" i="1"/>
  <c r="R28" i="1"/>
  <c r="J28" i="1"/>
  <c r="R24" i="1"/>
  <c r="L22" i="1"/>
  <c r="V50" i="1"/>
  <c r="Z50" i="1" s="1"/>
  <c r="V41" i="1"/>
  <c r="Z41" i="1" s="1"/>
  <c r="X15" i="1"/>
  <c r="V24" i="1"/>
  <c r="Z24" i="1" s="1"/>
  <c r="E10" i="1"/>
  <c r="V26" i="1"/>
  <c r="Z26" i="1" s="1"/>
  <c r="N25" i="1"/>
  <c r="J35" i="1"/>
  <c r="P29" i="1"/>
  <c r="L29" i="1"/>
  <c r="H29" i="1"/>
  <c r="R29" i="1"/>
  <c r="N29" i="1"/>
  <c r="J29" i="1"/>
  <c r="J26" i="1"/>
  <c r="P23" i="1"/>
  <c r="R20" i="1"/>
  <c r="H38" i="1"/>
  <c r="N26" i="1"/>
  <c r="AH10" i="1"/>
  <c r="W8" i="1"/>
  <c r="V38" i="1" s="1"/>
  <c r="Z38" i="1" s="1"/>
  <c r="AH8" i="1"/>
  <c r="R18" i="1"/>
  <c r="J18" i="1"/>
  <c r="N16" i="1"/>
  <c r="P16" i="1"/>
  <c r="U64" i="1"/>
  <c r="V64" i="1"/>
  <c r="W64" i="1" s="1"/>
  <c r="X64" i="1" s="1"/>
  <c r="W85" i="1"/>
  <c r="X85" i="1" s="1"/>
  <c r="Y85" i="1" s="1"/>
  <c r="V85" i="1"/>
  <c r="T83" i="1"/>
  <c r="U83" i="1" s="1"/>
  <c r="V60" i="1"/>
  <c r="W60" i="1" s="1"/>
  <c r="X60" i="1" s="1"/>
  <c r="L42" i="1"/>
  <c r="N42" i="1"/>
  <c r="P42" i="1"/>
  <c r="H42" i="1"/>
  <c r="R42" i="1"/>
  <c r="J42" i="1"/>
  <c r="V63" i="1"/>
  <c r="N37" i="1"/>
  <c r="J31" i="1"/>
  <c r="H25" i="1"/>
  <c r="H21" i="1"/>
  <c r="N17" i="1"/>
  <c r="P39" i="1"/>
  <c r="J34" i="1"/>
  <c r="R52" i="1"/>
  <c r="J52" i="1"/>
  <c r="P52" i="1"/>
  <c r="H52" i="1"/>
  <c r="N52" i="1"/>
  <c r="L52" i="1"/>
  <c r="N43" i="1"/>
  <c r="L26" i="1"/>
  <c r="R23" i="1"/>
  <c r="P20" i="1"/>
  <c r="P38" i="1"/>
  <c r="J37" i="1"/>
  <c r="H24" i="1"/>
  <c r="P22" i="1"/>
  <c r="H30" i="1"/>
  <c r="R34" i="1"/>
  <c r="N23" i="1"/>
  <c r="H18" i="1"/>
  <c r="R17" i="1"/>
  <c r="J16" i="1"/>
  <c r="R16" i="1"/>
  <c r="J21" i="1"/>
  <c r="AD10" i="12" l="1"/>
  <c r="AD11" i="12"/>
  <c r="F19" i="1"/>
  <c r="F20" i="1"/>
  <c r="X21" i="1"/>
  <c r="X35" i="1"/>
  <c r="V16" i="1"/>
  <c r="Z16" i="1" s="1"/>
  <c r="X49" i="1"/>
  <c r="I49" i="1" s="1"/>
  <c r="W63" i="1"/>
  <c r="X63" i="1" s="1"/>
  <c r="V32" i="1"/>
  <c r="Z32" i="1" s="1"/>
  <c r="V44" i="1"/>
  <c r="Z44" i="1" s="1"/>
  <c r="V28" i="1"/>
  <c r="Z28" i="1" s="1"/>
  <c r="V27" i="1"/>
  <c r="Z27" i="1" s="1"/>
  <c r="V46" i="1"/>
  <c r="Z46" i="1" s="1"/>
  <c r="V52" i="1"/>
  <c r="Z52" i="1" s="1"/>
  <c r="V17" i="1"/>
  <c r="Z17" i="1" s="1"/>
  <c r="X36" i="1"/>
  <c r="X23" i="1"/>
  <c r="X25" i="1"/>
  <c r="K25" i="1" s="1"/>
  <c r="V25" i="1"/>
  <c r="Z25" i="1" s="1"/>
  <c r="V36" i="1"/>
  <c r="Z36" i="1" s="1"/>
  <c r="V23" i="1"/>
  <c r="Z23" i="1" s="1"/>
  <c r="X47" i="1"/>
  <c r="S47" i="1" s="1"/>
  <c r="V83" i="1"/>
  <c r="X83" i="1"/>
  <c r="Y83" i="1" s="1"/>
  <c r="W83" i="1"/>
  <c r="G70" i="1"/>
  <c r="U70" i="1"/>
  <c r="U71" i="1" s="1"/>
  <c r="Q23" i="1"/>
  <c r="M23" i="1"/>
  <c r="I23" i="1"/>
  <c r="S23" i="1"/>
  <c r="O23" i="1"/>
  <c r="K23" i="1"/>
  <c r="S25" i="1"/>
  <c r="O25" i="1"/>
  <c r="I25" i="1"/>
  <c r="Q25" i="1"/>
  <c r="X31" i="1"/>
  <c r="V31" i="1"/>
  <c r="Z31" i="1" s="1"/>
  <c r="V30" i="1"/>
  <c r="Z30" i="1" s="1"/>
  <c r="X38" i="1"/>
  <c r="X50" i="1"/>
  <c r="V49" i="1"/>
  <c r="Z49" i="1" s="1"/>
  <c r="V43" i="1"/>
  <c r="Z43" i="1" s="1"/>
  <c r="V51" i="1"/>
  <c r="Z51" i="1" s="1"/>
  <c r="W80" i="1"/>
  <c r="X80" i="1" s="1"/>
  <c r="Y80" i="1" s="1"/>
  <c r="X87" i="1"/>
  <c r="V80" i="1"/>
  <c r="Q21" i="1"/>
  <c r="K21" i="1"/>
  <c r="O21" i="1"/>
  <c r="S21" i="1"/>
  <c r="I21" i="1"/>
  <c r="M21" i="1"/>
  <c r="M36" i="1"/>
  <c r="Q36" i="1"/>
  <c r="K36" i="1"/>
  <c r="O36" i="1"/>
  <c r="S36" i="1"/>
  <c r="I36" i="1"/>
  <c r="O47" i="1"/>
  <c r="Q47" i="1"/>
  <c r="I47" i="1"/>
  <c r="Q49" i="1"/>
  <c r="V15" i="1"/>
  <c r="V29" i="1"/>
  <c r="Z29" i="1" s="1"/>
  <c r="X46" i="1"/>
  <c r="V20" i="1"/>
  <c r="Z20" i="1" s="1"/>
  <c r="V42" i="1"/>
  <c r="Z42" i="1" s="1"/>
  <c r="V18" i="1"/>
  <c r="Z18" i="1" s="1"/>
  <c r="V48" i="1"/>
  <c r="Z48" i="1" s="1"/>
  <c r="V35" i="1"/>
  <c r="Z35" i="1" s="1"/>
  <c r="X32" i="1"/>
  <c r="V40" i="1"/>
  <c r="Z40" i="1" s="1"/>
  <c r="X43" i="1"/>
  <c r="X51" i="1"/>
  <c r="X45" i="1"/>
  <c r="T65" i="1"/>
  <c r="Q35" i="1"/>
  <c r="K35" i="1"/>
  <c r="O35" i="1"/>
  <c r="S35" i="1"/>
  <c r="I35" i="1"/>
  <c r="M35" i="1"/>
  <c r="S15" i="1"/>
  <c r="O15" i="1"/>
  <c r="K15" i="1"/>
  <c r="Z15" i="1"/>
  <c r="Q15" i="1"/>
  <c r="M15" i="1"/>
  <c r="I15" i="1"/>
  <c r="U15" i="1"/>
  <c r="W66" i="1"/>
  <c r="X66" i="1" s="1"/>
  <c r="V66" i="1"/>
  <c r="U66" i="1"/>
  <c r="E77" i="1"/>
  <c r="G77" i="1" s="1"/>
  <c r="X18" i="1"/>
  <c r="X26" i="1"/>
  <c r="X27" i="1"/>
  <c r="X30" i="1"/>
  <c r="X37" i="1"/>
  <c r="X41" i="1"/>
  <c r="X34" i="1"/>
  <c r="X22" i="1"/>
  <c r="X52" i="1"/>
  <c r="X29" i="1"/>
  <c r="X24" i="1"/>
  <c r="X28" i="1"/>
  <c r="X33" i="1"/>
  <c r="X39" i="1"/>
  <c r="X40" i="1"/>
  <c r="X16" i="1"/>
  <c r="X54" i="1" s="1"/>
  <c r="X42" i="1"/>
  <c r="X20" i="1"/>
  <c r="V19" i="1"/>
  <c r="Z19" i="1" s="1"/>
  <c r="V33" i="1"/>
  <c r="Z33" i="1" s="1"/>
  <c r="V21" i="1"/>
  <c r="Z21" i="1" s="1"/>
  <c r="X17" i="1"/>
  <c r="X19" i="1"/>
  <c r="V22" i="1"/>
  <c r="Z22" i="1" s="1"/>
  <c r="V37" i="1"/>
  <c r="Z37" i="1" s="1"/>
  <c r="V34" i="1"/>
  <c r="Z34" i="1" s="1"/>
  <c r="X44" i="1"/>
  <c r="V45" i="1"/>
  <c r="Z45" i="1" s="1"/>
  <c r="X48" i="1"/>
  <c r="V47" i="1"/>
  <c r="Z47" i="1" s="1"/>
  <c r="V39" i="1"/>
  <c r="Z39" i="1" s="1"/>
  <c r="G89" i="1"/>
  <c r="U87" i="1" s="1"/>
  <c r="AD12" i="12" l="1"/>
  <c r="F21" i="1"/>
  <c r="K49" i="1"/>
  <c r="O49" i="1"/>
  <c r="S49" i="1"/>
  <c r="K47" i="1"/>
  <c r="M25" i="1"/>
  <c r="M49" i="1"/>
  <c r="M47" i="1"/>
  <c r="M48" i="1"/>
  <c r="S48" i="1"/>
  <c r="K48" i="1"/>
  <c r="Q48" i="1"/>
  <c r="I48" i="1"/>
  <c r="O48" i="1"/>
  <c r="S42" i="1"/>
  <c r="O42" i="1"/>
  <c r="K42" i="1"/>
  <c r="Q42" i="1"/>
  <c r="I42" i="1"/>
  <c r="M42" i="1"/>
  <c r="S52" i="1"/>
  <c r="O52" i="1"/>
  <c r="K52" i="1"/>
  <c r="Q52" i="1"/>
  <c r="M52" i="1"/>
  <c r="I52" i="1"/>
  <c r="M44" i="1"/>
  <c r="Q44" i="1"/>
  <c r="I44" i="1"/>
  <c r="S44" i="1"/>
  <c r="O44" i="1"/>
  <c r="K44" i="1"/>
  <c r="S19" i="1"/>
  <c r="O19" i="1"/>
  <c r="K19" i="1"/>
  <c r="Q19" i="1"/>
  <c r="M19" i="1"/>
  <c r="I19" i="1"/>
  <c r="M40" i="1"/>
  <c r="S40" i="1"/>
  <c r="K40" i="1"/>
  <c r="I40" i="1"/>
  <c r="Q40" i="1"/>
  <c r="O40" i="1"/>
  <c r="S24" i="1"/>
  <c r="I24" i="1"/>
  <c r="O24" i="1"/>
  <c r="M24" i="1"/>
  <c r="Q24" i="1"/>
  <c r="K24" i="1"/>
  <c r="O34" i="1"/>
  <c r="S34" i="1"/>
  <c r="I34" i="1"/>
  <c r="M34" i="1"/>
  <c r="K34" i="1"/>
  <c r="Q34" i="1"/>
  <c r="S27" i="1"/>
  <c r="O27" i="1"/>
  <c r="K27" i="1"/>
  <c r="M27" i="1"/>
  <c r="Q27" i="1"/>
  <c r="I27" i="1"/>
  <c r="T77" i="1"/>
  <c r="W77" i="1"/>
  <c r="X77" i="1" s="1"/>
  <c r="Y77" i="1" s="1"/>
  <c r="W65" i="1"/>
  <c r="X65" i="1" s="1"/>
  <c r="V65" i="1"/>
  <c r="U65" i="1"/>
  <c r="W70" i="1"/>
  <c r="S17" i="1"/>
  <c r="K17" i="1"/>
  <c r="Q17" i="1"/>
  <c r="M17" i="1"/>
  <c r="I17" i="1"/>
  <c r="O17" i="1"/>
  <c r="Q20" i="1"/>
  <c r="S20" i="1"/>
  <c r="K20" i="1"/>
  <c r="O20" i="1"/>
  <c r="I20" i="1"/>
  <c r="M20" i="1"/>
  <c r="Q39" i="1"/>
  <c r="M39" i="1"/>
  <c r="I39" i="1"/>
  <c r="S39" i="1"/>
  <c r="O39" i="1"/>
  <c r="K39" i="1"/>
  <c r="S29" i="1"/>
  <c r="O29" i="1"/>
  <c r="K29" i="1"/>
  <c r="Q29" i="1"/>
  <c r="I29" i="1"/>
  <c r="M29" i="1"/>
  <c r="S41" i="1"/>
  <c r="O41" i="1"/>
  <c r="K41" i="1"/>
  <c r="Q41" i="1"/>
  <c r="I41" i="1"/>
  <c r="M41" i="1"/>
  <c r="S26" i="1"/>
  <c r="O26" i="1"/>
  <c r="K26" i="1"/>
  <c r="M26" i="1"/>
  <c r="I26" i="1"/>
  <c r="Q26" i="1"/>
  <c r="U54" i="1"/>
  <c r="P15" i="1"/>
  <c r="R15" i="1"/>
  <c r="N15" i="1"/>
  <c r="J15" i="1"/>
  <c r="J54" i="1" s="1"/>
  <c r="L15" i="1"/>
  <c r="H15" i="1"/>
  <c r="Z54" i="1"/>
  <c r="Y12" i="1"/>
  <c r="S45" i="1"/>
  <c r="K45" i="1"/>
  <c r="O45" i="1"/>
  <c r="I45" i="1"/>
  <c r="Q45" i="1"/>
  <c r="M45" i="1"/>
  <c r="M32" i="1"/>
  <c r="Q32" i="1"/>
  <c r="K32" i="1"/>
  <c r="S32" i="1"/>
  <c r="I32" i="1"/>
  <c r="O32" i="1"/>
  <c r="Q50" i="1"/>
  <c r="I50" i="1"/>
  <c r="O50" i="1"/>
  <c r="M50" i="1"/>
  <c r="K50" i="1"/>
  <c r="S50" i="1"/>
  <c r="Q31" i="1"/>
  <c r="K31" i="1"/>
  <c r="O31" i="1"/>
  <c r="M31" i="1"/>
  <c r="S31" i="1"/>
  <c r="I31" i="1"/>
  <c r="S33" i="1"/>
  <c r="I33" i="1"/>
  <c r="M33" i="1"/>
  <c r="O33" i="1"/>
  <c r="K33" i="1"/>
  <c r="Q33" i="1"/>
  <c r="S37" i="1"/>
  <c r="O37" i="1"/>
  <c r="K37" i="1"/>
  <c r="Q37" i="1"/>
  <c r="M37" i="1"/>
  <c r="I37" i="1"/>
  <c r="Q18" i="1"/>
  <c r="M18" i="1"/>
  <c r="I18" i="1"/>
  <c r="S18" i="1"/>
  <c r="O18" i="1"/>
  <c r="K18" i="1"/>
  <c r="O51" i="1"/>
  <c r="M51" i="1"/>
  <c r="S51" i="1"/>
  <c r="K51" i="1"/>
  <c r="I51" i="1"/>
  <c r="Q51" i="1"/>
  <c r="Q38" i="1"/>
  <c r="S38" i="1"/>
  <c r="K38" i="1"/>
  <c r="O38" i="1"/>
  <c r="I38" i="1"/>
  <c r="M38" i="1"/>
  <c r="U89" i="1"/>
  <c r="G87" i="1"/>
  <c r="Q16" i="1"/>
  <c r="M16" i="1"/>
  <c r="I16" i="1"/>
  <c r="S16" i="1"/>
  <c r="O16" i="1"/>
  <c r="K16" i="1"/>
  <c r="S28" i="1"/>
  <c r="O28" i="1"/>
  <c r="K28" i="1"/>
  <c r="Q28" i="1"/>
  <c r="M28" i="1"/>
  <c r="I28" i="1"/>
  <c r="Q22" i="1"/>
  <c r="M22" i="1"/>
  <c r="I22" i="1"/>
  <c r="S22" i="1"/>
  <c r="O22" i="1"/>
  <c r="K22" i="1"/>
  <c r="S30" i="1"/>
  <c r="O30" i="1"/>
  <c r="K30" i="1"/>
  <c r="Q30" i="1"/>
  <c r="I30" i="1"/>
  <c r="M30" i="1"/>
  <c r="K43" i="1"/>
  <c r="S43" i="1"/>
  <c r="M43" i="1"/>
  <c r="Q43" i="1"/>
  <c r="O43" i="1"/>
  <c r="I43" i="1"/>
  <c r="Q46" i="1"/>
  <c r="I46" i="1"/>
  <c r="M46" i="1"/>
  <c r="K46" i="1"/>
  <c r="S46" i="1"/>
  <c r="O46" i="1"/>
  <c r="AD13" i="12" l="1"/>
  <c r="F22" i="1"/>
  <c r="F24" i="1"/>
  <c r="F23" i="1"/>
  <c r="S13" i="1"/>
  <c r="O13" i="1"/>
  <c r="K13" i="1"/>
  <c r="Z13" i="1"/>
  <c r="AJ20" i="1"/>
  <c r="Q13" i="1"/>
  <c r="M13" i="1"/>
  <c r="I13" i="1"/>
  <c r="F82" i="1"/>
  <c r="F85" i="1"/>
  <c r="F81" i="1"/>
  <c r="F84" i="1"/>
  <c r="F80" i="1"/>
  <c r="F83" i="1"/>
  <c r="AD14" i="12" l="1"/>
  <c r="AD15" i="12" s="1"/>
  <c r="AD16" i="12" s="1"/>
  <c r="AD17" i="12" s="1"/>
  <c r="AD18" i="12"/>
  <c r="AD19" i="12" s="1"/>
  <c r="AD20" i="12" s="1"/>
  <c r="AD21" i="12" s="1"/>
  <c r="AD22" i="12" s="1"/>
  <c r="AD23" i="12" s="1"/>
  <c r="AD24" i="12" s="1"/>
  <c r="AD25" i="12" s="1"/>
  <c r="AD26" i="12" s="1"/>
  <c r="AD27" i="12" s="1"/>
  <c r="AD28" i="12" s="1"/>
  <c r="AD29" i="12" s="1"/>
  <c r="AD30" i="12" s="1"/>
  <c r="AD31" i="12" s="1"/>
  <c r="AD32" i="12" s="1"/>
  <c r="AD33" i="12" s="1"/>
  <c r="AD34" i="12" s="1"/>
  <c r="AD35" i="12" s="1"/>
  <c r="AD36" i="12" s="1"/>
  <c r="AD37" i="12" s="1"/>
  <c r="AD38" i="12" s="1"/>
  <c r="AD41" i="12" s="1"/>
  <c r="AD42" i="12" s="1"/>
  <c r="AD43" i="12" s="1"/>
  <c r="AD44" i="12" s="1"/>
  <c r="AD45" i="12" s="1"/>
  <c r="AD46" i="12" s="1"/>
  <c r="AD47" i="12" s="1"/>
  <c r="AD48" i="12" s="1"/>
  <c r="AD49" i="12" s="1"/>
  <c r="AD50" i="12" s="1"/>
  <c r="AD51" i="12" s="1"/>
  <c r="AD52" i="12" s="1"/>
  <c r="AD53" i="12" s="1"/>
  <c r="AD54" i="12" s="1"/>
  <c r="AD55" i="12" s="1"/>
  <c r="AD56" i="12" s="1"/>
  <c r="AD57" i="12" s="1"/>
  <c r="AF5" i="12" s="1"/>
  <c r="F25" i="1"/>
  <c r="F26" i="1" s="1"/>
  <c r="I54" i="1"/>
  <c r="H13" i="1"/>
  <c r="H54" i="1" s="1"/>
  <c r="M54" i="1"/>
  <c r="L13" i="1"/>
  <c r="L54" i="1" s="1"/>
  <c r="K54" i="1"/>
  <c r="J13" i="1"/>
  <c r="Q54" i="1"/>
  <c r="P13" i="1"/>
  <c r="P54" i="1" s="1"/>
  <c r="O54" i="1"/>
  <c r="N13" i="1"/>
  <c r="N54" i="1" s="1"/>
  <c r="AI20" i="1"/>
  <c r="AE20" i="1"/>
  <c r="AF20" i="1"/>
  <c r="AD20" i="1"/>
  <c r="AG20" i="1"/>
  <c r="AH20" i="1"/>
  <c r="S54" i="1"/>
  <c r="R13" i="1"/>
  <c r="R54" i="1" s="1"/>
  <c r="AF6" i="12" l="1"/>
  <c r="AF7" i="12"/>
  <c r="F27" i="1"/>
  <c r="F28" i="1" s="1"/>
  <c r="F29" i="1" s="1"/>
  <c r="F30" i="1" s="1"/>
  <c r="F31" i="1" s="1"/>
  <c r="F32" i="1" s="1"/>
  <c r="F33" i="1" s="1"/>
  <c r="F34" i="1" s="1"/>
  <c r="F35" i="1" s="1"/>
  <c r="F36" i="1" s="1"/>
  <c r="F37" i="1" s="1"/>
  <c r="F38" i="1" s="1"/>
  <c r="F39" i="1" s="1"/>
  <c r="F40" i="1" s="1"/>
  <c r="F41" i="1" s="1"/>
  <c r="F42" i="1" s="1"/>
  <c r="F43" i="1" s="1"/>
  <c r="F44" i="1" s="1"/>
  <c r="F45" i="1" s="1"/>
  <c r="F46" i="1" s="1"/>
  <c r="F47" i="1" s="1"/>
  <c r="F48" i="1" s="1"/>
  <c r="F49" i="1" s="1"/>
  <c r="F50" i="1" s="1"/>
  <c r="F51" i="1" s="1"/>
  <c r="F52" i="1" s="1"/>
  <c r="AF9" i="12" l="1"/>
  <c r="AF8" i="12"/>
  <c r="AF10" i="12"/>
  <c r="AF11" i="12" l="1"/>
  <c r="AF12" i="12" l="1"/>
  <c r="AF13" i="12" l="1"/>
  <c r="AF14" i="12"/>
  <c r="AF15" i="12" l="1"/>
  <c r="AF16" i="12" s="1"/>
  <c r="AF17" i="12" s="1"/>
  <c r="AF22" i="12" l="1"/>
  <c r="AF23" i="12" s="1"/>
  <c r="AF26" i="12" s="1"/>
  <c r="AF27" i="12" s="1"/>
  <c r="AF28" i="12" s="1"/>
  <c r="AF29" i="12" s="1"/>
  <c r="AF30" i="12" s="1"/>
  <c r="AF33" i="12" s="1"/>
  <c r="AF18" i="12"/>
  <c r="AF19"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CCR</author>
    <author>Joel</author>
  </authors>
  <commentList>
    <comment ref="E78" authorId="0" shapeId="0" xr:uid="{BE33350F-7F25-4B8D-94BE-2751AF85D0B5}">
      <text>
        <r>
          <rPr>
            <sz val="10"/>
            <color indexed="81"/>
            <rFont val="Arial"/>
            <family val="2"/>
          </rPr>
          <t>Total à saisir dans la cellule Quant. À dupliquer</t>
        </r>
      </text>
    </comment>
    <comment ref="E85" authorId="1" shapeId="0" xr:uid="{5493FC9D-6C6A-4300-8A80-6F7937F136D9}">
      <text>
        <r>
          <rPr>
            <b/>
            <sz val="8"/>
            <color indexed="81"/>
            <rFont val="Tahoma"/>
            <family val="2"/>
          </rPr>
          <t>Conversion en nombre de parts Adultes</t>
        </r>
        <r>
          <rPr>
            <sz val="8"/>
            <color indexed="81"/>
            <rFont val="Tahoma"/>
            <family val="2"/>
          </rPr>
          <t xml:space="preserve">
</t>
        </r>
      </text>
    </comment>
  </commentList>
</comments>
</file>

<file path=xl/sharedStrings.xml><?xml version="1.0" encoding="utf-8"?>
<sst xmlns="http://schemas.openxmlformats.org/spreadsheetml/2006/main" count="13601" uniqueCount="6722">
  <si>
    <t>?</t>
  </si>
  <si>
    <t>AVANT de saisir quoique ce soit dans une cellule vérifiez bien qu'il n'y ait pas de formule en cliquant dessus</t>
  </si>
  <si>
    <t>A</t>
  </si>
  <si>
    <t>Recette</t>
  </si>
  <si>
    <t>SAISISSEZ LE NOM DE VOTRE PLAT cellule C 2</t>
  </si>
  <si>
    <t>LES SAUCES FROIDES</t>
  </si>
  <si>
    <t>Récap du Mode d'emploi  de la fiche recette</t>
  </si>
  <si>
    <t>Auteur</t>
  </si>
  <si>
    <t>Nom références</t>
  </si>
  <si>
    <t>Modèle collectivité</t>
  </si>
  <si>
    <t>N°</t>
  </si>
  <si>
    <t>à saisir partie Auteur</t>
  </si>
  <si>
    <t>Catégorie</t>
  </si>
  <si>
    <t>NOM DE VOTRE PLAT cellule AA3</t>
  </si>
  <si>
    <t>Auteur &gt;</t>
  </si>
  <si>
    <t>Saisissez VOTRE NOM cellule AB4</t>
  </si>
  <si>
    <t>Couverts</t>
  </si>
  <si>
    <t xml:space="preserve">❶ Liste des Denrées et code produit (facultatif) colonne </t>
  </si>
  <si>
    <t>G</t>
  </si>
  <si>
    <t xml:space="preserve">l'Auteur a prévu la recette pour </t>
  </si>
  <si>
    <t xml:space="preserve">Poids </t>
  </si>
  <si>
    <t>Recette dupliquée pour</t>
  </si>
  <si>
    <t>Kg</t>
  </si>
  <si>
    <t>Eff.Total</t>
  </si>
  <si>
    <t>BRUT à commander</t>
  </si>
  <si>
    <t>portion</t>
  </si>
  <si>
    <t xml:space="preserve">❷ Nb d'unités colonne </t>
  </si>
  <si>
    <t>B</t>
  </si>
  <si>
    <t>Adultes</t>
  </si>
  <si>
    <t>&gt;</t>
  </si>
  <si>
    <t>H</t>
  </si>
  <si>
    <t>S</t>
  </si>
  <si>
    <t xml:space="preserve">&lt;  les colonnes de </t>
  </si>
  <si>
    <t>à</t>
  </si>
  <si>
    <t>sont masquées</t>
  </si>
  <si>
    <t>Portion moyenne</t>
  </si>
  <si>
    <t>Net</t>
  </si>
  <si>
    <t>Brut</t>
  </si>
  <si>
    <t>❸ Quoi  colonne</t>
  </si>
  <si>
    <t>C</t>
  </si>
  <si>
    <t>Unités</t>
  </si>
  <si>
    <t>Quoi</t>
  </si>
  <si>
    <t>Poids Unitaire en Kg</t>
  </si>
  <si>
    <t>Poids Total en Kg</t>
  </si>
  <si>
    <t>Coller la recette ci-dessous - collage Spécial 1-2-3 Valeurs ou ® pour respecter la mise en forme de destination</t>
  </si>
  <si>
    <t>DÉTAIL POUR INFO  - Masquez ces colonnes</t>
  </si>
  <si>
    <t>% Perte</t>
  </si>
  <si>
    <t>NET ASSIETTE</t>
  </si>
  <si>
    <t>BRUT A COMMANDER</t>
  </si>
  <si>
    <t>Pix denrées</t>
  </si>
  <si>
    <t xml:space="preserve">Tableau de commande : saisissez vos valeurs dans les cellules fond jaune </t>
  </si>
  <si>
    <t xml:space="preserve">❹ Poids Unitaire  colonne </t>
  </si>
  <si>
    <t>D</t>
  </si>
  <si>
    <t>M</t>
  </si>
  <si>
    <t>P</t>
  </si>
  <si>
    <t>A +</t>
  </si>
  <si>
    <t>PAM</t>
  </si>
  <si>
    <t>PAS</t>
  </si>
  <si>
    <t>Famille de convives</t>
  </si>
  <si>
    <t>❷</t>
  </si>
  <si>
    <t>❸</t>
  </si>
  <si>
    <t>❹</t>
  </si>
  <si>
    <t>1 Kg</t>
  </si>
  <si>
    <t>❺ Effectif</t>
  </si>
  <si>
    <t>Nb d'unités</t>
  </si>
  <si>
    <t>Poids Unitaire</t>
  </si>
  <si>
    <t>Ingrédients colonne G</t>
  </si>
  <si>
    <t>NET par convive</t>
  </si>
  <si>
    <t>Total NET</t>
  </si>
  <si>
    <t>huile</t>
  </si>
  <si>
    <t>NET pour l'effectif</t>
  </si>
  <si>
    <t>pommes</t>
  </si>
  <si>
    <t>Pourcentage de perte</t>
  </si>
  <si>
    <t>œufs liquides</t>
  </si>
  <si>
    <t>BRUT par convive</t>
  </si>
  <si>
    <t>Total BRUT</t>
  </si>
  <si>
    <t>❼ BRUT à commander</t>
  </si>
  <si>
    <t>jaunes d'œufs</t>
  </si>
  <si>
    <t>1 Kg ou litre pour :</t>
  </si>
  <si>
    <t>jaunes</t>
  </si>
  <si>
    <t>Coût matière HT</t>
  </si>
  <si>
    <t>œufs coquille</t>
  </si>
  <si>
    <t>PHASES ESSENTIELLES  DE PROGRESSION</t>
  </si>
  <si>
    <t>œufs</t>
  </si>
  <si>
    <t>numérotation automatique</t>
  </si>
  <si>
    <t>si vous ne voulez pas de numérotation</t>
  </si>
  <si>
    <t>saisissez du texte dans ces colonnes</t>
  </si>
  <si>
    <t>Agneau - Mouton</t>
  </si>
  <si>
    <t>021</t>
  </si>
  <si>
    <t xml:space="preserve"> le N° de la fiche</t>
  </si>
  <si>
    <t>et la famille de plat dans la colonne verticale</t>
  </si>
  <si>
    <t>C'est tout pour la partie réservée a la saisie de la recette</t>
  </si>
  <si>
    <t>Mode d'emploi  du tableau de commande</t>
  </si>
  <si>
    <t>Saisissez vos effectifs ❺ pour chaque famille de convives et vos poids portion</t>
  </si>
  <si>
    <t>❺ votre Effectif cellule</t>
  </si>
  <si>
    <t xml:space="preserve">vos grammages NETS par famille de convive </t>
  </si>
  <si>
    <t>cellules</t>
  </si>
  <si>
    <t>vous pouvez ajouter un Pourcentage de perte</t>
  </si>
  <si>
    <t>cellule</t>
  </si>
  <si>
    <t>facultatif - la question à vous poser : une denrée pert combien a l'épluchage - au parage et en cuisson ?</t>
  </si>
  <si>
    <t>Pour vérification : cocher - entourer - ou surligner les produits ou actions concernées</t>
  </si>
  <si>
    <t xml:space="preserve">Si vous manquez de place pour les codes barres traçabilité </t>
  </si>
  <si>
    <t>Familles de convives</t>
  </si>
  <si>
    <t>collez les au dos de cette feuille en indiquant le N° de ligne produit</t>
  </si>
  <si>
    <t>M = Maternelles</t>
  </si>
  <si>
    <t>P = Primaires</t>
  </si>
  <si>
    <t xml:space="preserve">Aide mémoire sur la base eau : 1L = 1Kg - 1 gr = 0.001Kg  &gt; 2 zéros après la virgule du Kg </t>
  </si>
  <si>
    <t>A = Adultes sédentaires ou Seniors portage à domicile</t>
  </si>
  <si>
    <t>Lien &gt;</t>
  </si>
  <si>
    <t>http://www.cuisinealafrancaise.com/fr/2-poids-et-mesures</t>
  </si>
  <si>
    <t>A+=Adultes travailleurs de force</t>
  </si>
  <si>
    <t>Voici quelques photos pour aider à estimer les quantités</t>
  </si>
  <si>
    <t>PAM=Personnes Agées en institution déjeuner Midi</t>
  </si>
  <si>
    <t>Visuellement, ça représente quoi 100 calories ?</t>
  </si>
  <si>
    <t>largeurs de colonnes</t>
  </si>
  <si>
    <t>PAS=Personnes Agées en institution diner Soir</t>
  </si>
  <si>
    <t>Contenance 1 Gastro</t>
  </si>
  <si>
    <t>Récap du Mode d'emploi  de la fiche conditionnement</t>
  </si>
  <si>
    <t xml:space="preserve">les colonnes de </t>
  </si>
  <si>
    <t>EFFECTIFS</t>
  </si>
  <si>
    <t>En fonction des informations saisies : Nombre de gasto à utiliser / Estimation</t>
  </si>
  <si>
    <t>Gastro de :</t>
  </si>
  <si>
    <t>convives</t>
  </si>
  <si>
    <t>Combien de contenants vous faudra t-il</t>
  </si>
  <si>
    <t>Effectifs</t>
  </si>
  <si>
    <t>Grammages</t>
  </si>
  <si>
    <t>Nombre de gastro et grammages  par famille convives</t>
  </si>
  <si>
    <t>Vous avez 1 tableau pour un service au poids et 1 tableau pour un service aux morceaux ou au nombre de tranches</t>
  </si>
  <si>
    <t>Mater</t>
  </si>
  <si>
    <t>Prim</t>
  </si>
  <si>
    <t xml:space="preserve"> Aide à la décision</t>
  </si>
  <si>
    <t>Pourcentages Brut / Net et Net / Brut</t>
  </si>
  <si>
    <t>Saisissez vos valeurs dans les cellules</t>
  </si>
  <si>
    <t>Nb de portions</t>
  </si>
  <si>
    <t xml:space="preserve">Poids portion </t>
  </si>
  <si>
    <t>Total</t>
  </si>
  <si>
    <t>Adultes +</t>
  </si>
  <si>
    <t>fond jaune</t>
  </si>
  <si>
    <t>En fonction des informations saisies : Nombre de gasto à utiliser / Estimation -ces 2 premières lignes vous donnent une indication globale</t>
  </si>
  <si>
    <t>Total gastronormes en fonction de chaque famille de convives</t>
  </si>
  <si>
    <t>plus</t>
  </si>
  <si>
    <t>répartis en</t>
  </si>
  <si>
    <t>barquettes</t>
  </si>
  <si>
    <t>le nombre de gastro et grammages  par famille de convives vous indique</t>
  </si>
  <si>
    <t>Morceaux</t>
  </si>
  <si>
    <t>le total de gastronormes en fonction de chaque famille de convives</t>
  </si>
  <si>
    <t>Nb de Morceaux  par famille convives</t>
  </si>
  <si>
    <t>Nombre de gastro par famille convives</t>
  </si>
  <si>
    <t>Contenance d'1 gastro GN 1/1</t>
  </si>
  <si>
    <t>Poulet 4/4 Cuisses CRUES</t>
  </si>
  <si>
    <t>Cuisses</t>
  </si>
  <si>
    <t>Viande tranchée</t>
  </si>
  <si>
    <t>tranches</t>
  </si>
  <si>
    <t>Poulet 4/4 Cuisses petites CUITES</t>
  </si>
  <si>
    <t>Tomates farcies</t>
  </si>
  <si>
    <t>tomates</t>
  </si>
  <si>
    <t>Poulet 4/4 Cuisses Grosses CUITES</t>
  </si>
  <si>
    <t>Sautés en morceaux</t>
  </si>
  <si>
    <t>escalopes de volailles cuites 120g</t>
  </si>
  <si>
    <t>escalopes</t>
  </si>
  <si>
    <t>Tartiflette  GN 1/1 H65</t>
  </si>
  <si>
    <t xml:space="preserve">Paupiettes de dindes 120g </t>
  </si>
  <si>
    <t>paupiettes</t>
  </si>
  <si>
    <t>Brandade de morue</t>
  </si>
  <si>
    <t>Cuisses de canard cuites 200g  GN 1/1 H65</t>
  </si>
  <si>
    <t xml:space="preserve">Créé le 23/03/2008  </t>
  </si>
  <si>
    <t>Joël Leboucher..UPRT "Union des Personnels de la Restauration Territoriale"  membre du réseau RESTAU'CO</t>
  </si>
  <si>
    <t>Dernière mise à jour : 8 Février 2022 Annule et remplace les versions précédentes</t>
  </si>
  <si>
    <t>FIN</t>
  </si>
  <si>
    <t xml:space="preserve">Famille </t>
  </si>
  <si>
    <t>Hauteurs de lignes</t>
  </si>
  <si>
    <t>Et voila c'est tout pour cette partie de la fiche</t>
  </si>
  <si>
    <t>⓭ Ajoutez votre Coeff de vente</t>
  </si>
  <si>
    <t>⓬ Prix U HT Mettez à jour vos prix denrées</t>
  </si>
  <si>
    <t>colonne</t>
  </si>
  <si>
    <t>Vous pouvez ajouter un % de Perte</t>
  </si>
  <si>
    <t>❿ Dupliquer pour &gt; saisissez ce qui vous convient</t>
  </si>
  <si>
    <t>Quoi  cuillères à café = C à C- cuillère potage = C à P - œufs -blancs - jaunes - pincées - sachets - grappes etc…</t>
  </si>
  <si>
    <t>Macarons</t>
  </si>
  <si>
    <t>format de saisie : 1:20</t>
  </si>
  <si>
    <t>format de saisie : 0:35</t>
  </si>
  <si>
    <t>grilles 60X40</t>
  </si>
  <si>
    <t>Temps de cuisson</t>
  </si>
  <si>
    <t>Temps de préparation</t>
  </si>
  <si>
    <t>Portions</t>
  </si>
  <si>
    <t>L'utilisation professionnelle de cette recette vous engage à connaître la réglementation en matière d'hygiène et HACCP.</t>
  </si>
  <si>
    <t>Utilisez le vocabulaire professionnel</t>
  </si>
  <si>
    <t>❽ Votre référence : Exemple</t>
  </si>
  <si>
    <t>PROCESS  &gt; principales étapes  &gt;  un verbe = une action</t>
  </si>
  <si>
    <t>Maternelles</t>
  </si>
  <si>
    <t>Effectif</t>
  </si>
  <si>
    <t>Mise en forme Joël Leboucher</t>
  </si>
  <si>
    <t>Perte</t>
  </si>
  <si>
    <t>Portion</t>
  </si>
  <si>
    <t>Ou ce qui est encore possible &gt; vous faites le choix de dupliquer la recette à partir d'un nombre de couverts de portions de plaques ou autre</t>
  </si>
  <si>
    <t>Contrôle  Recette &gt;</t>
  </si>
  <si>
    <t>Exemple de formule à développer</t>
  </si>
  <si>
    <t>❼ Total</t>
  </si>
  <si>
    <t xml:space="preserve"> ou Kg pour un poids</t>
  </si>
  <si>
    <t>précisez Quoi en ❾ nom de la denrée</t>
  </si>
  <si>
    <t xml:space="preserve">ou  Total ④ colonne </t>
  </si>
  <si>
    <t xml:space="preserve">  Nb d'unités ❷ colonne</t>
  </si>
  <si>
    <t>saisissez en ❽ la valeur correspondante à cette denrée soit</t>
  </si>
  <si>
    <t>Saisissez vos valeurs dans les tableaux</t>
  </si>
  <si>
    <t xml:space="preserve">② vous choisissez une denrée dans la liste ❶ </t>
  </si>
  <si>
    <t xml:space="preserve">① Première option : vous saisissez  l'Effectif de l'Auteur ❺ en ❽ et un effectif qui vous convient en ❿ </t>
  </si>
  <si>
    <t>3 cl = 30g = 0.03kg    /    30 cl = 300g = 0.3kg     /     3 dl = 300g = 0.3 kg</t>
  </si>
  <si>
    <t>A quoi servent les cellules ❽ et ❿</t>
  </si>
  <si>
    <t xml:space="preserve"> la recette sera dupliquée avec le total ❼</t>
  </si>
  <si>
    <t>collez les au dos de la feuille en indiquant le N° de ligne produit</t>
  </si>
  <si>
    <t>ATTENTION si vous ne saisissez rien en ❽  ne saisissez rien en ❿</t>
  </si>
  <si>
    <t>❿ Dupliquée pour cellule</t>
  </si>
  <si>
    <t>❽ Votre référence cellule</t>
  </si>
  <si>
    <t>Portion cellule</t>
  </si>
  <si>
    <t xml:space="preserve">ou cellule </t>
  </si>
  <si>
    <t>lignes 7 à 12</t>
  </si>
  <si>
    <t xml:space="preserve">colonne </t>
  </si>
  <si>
    <t>Saisissez le résultat ❿</t>
  </si>
  <si>
    <t>colonnes</t>
  </si>
  <si>
    <t>Ajoutez un % de perte si vous voulez (facultatif)</t>
  </si>
  <si>
    <t xml:space="preserve">vous trouverez ce poids colonne </t>
  </si>
  <si>
    <t>à saisir partie Recette dupliquée pour</t>
  </si>
  <si>
    <t>Première action : en ❹ saisissez le poids de la denrée principale de la recette</t>
  </si>
  <si>
    <t xml:space="preserve">&lt; Poids Net portion </t>
  </si>
  <si>
    <t>Vous voulez augmenter ou diminuer le grammage cellule</t>
  </si>
  <si>
    <t>Net 1 portion</t>
  </si>
  <si>
    <t>L'Auteur avait prévu un poids portion de ? Cellule</t>
  </si>
  <si>
    <t>Mode d'emploi  de l'Aide à la décision pour modifier un poids  portion</t>
  </si>
  <si>
    <t>Kg Agneau</t>
  </si>
  <si>
    <t>Indiquez la denrée principale</t>
  </si>
  <si>
    <t>❿ Dupliquer pour</t>
  </si>
  <si>
    <t>❽ Votre référence</t>
  </si>
  <si>
    <t>Exemple</t>
  </si>
  <si>
    <t>avec des quantités correspondantes pour chaque denrée</t>
  </si>
  <si>
    <t>le but est de dupliquer toute la recette avec un autre poids net portion</t>
  </si>
  <si>
    <t>dupliquer la recette à partir d'un nombre de couverts de portions de plaques ou autre n'est pas possible avec le tableau de commande. Cette possibilité est réservée à la partie Auteur colonnes AH à AJ</t>
  </si>
  <si>
    <t>cela vous donnera une indication. Cette fonction ici n'a aucune incidence sur les calculs de la recette</t>
  </si>
  <si>
    <t xml:space="preserve">était le poids d'agneau utilisé par l'Auteur </t>
  </si>
  <si>
    <t>Ne confondez pas dupliquer toute de la recette OU calculer toute la recette à partir d'une denrée.</t>
  </si>
  <si>
    <t>Pour info vous pouvez saisir un % de perte</t>
  </si>
  <si>
    <t xml:space="preserve"> A saisir en ❿ &gt;</t>
  </si>
  <si>
    <t>❺ Effectif Auteur cellule</t>
  </si>
  <si>
    <t>Saisissez votre poids net portion</t>
  </si>
  <si>
    <t>Brut 1 portion</t>
  </si>
  <si>
    <t>Net assiette</t>
  </si>
  <si>
    <t>Valeur  ❹</t>
  </si>
  <si>
    <t>❺ Effectif Auteur</t>
  </si>
  <si>
    <t>vous obtiendrez  la valeur à saisir en ❿</t>
  </si>
  <si>
    <t>précisez Quoi en ❾ nom de la denrée ou Kg pour un poids</t>
  </si>
  <si>
    <t>un de % Perte</t>
  </si>
  <si>
    <t>saisissez une valeur ❹</t>
  </si>
  <si>
    <t xml:space="preserve">Clous de girofle </t>
  </si>
  <si>
    <t>clous</t>
  </si>
  <si>
    <t>poivre</t>
  </si>
  <si>
    <t>pincée(s)</t>
  </si>
  <si>
    <t>agneau</t>
  </si>
  <si>
    <t>produit testé exemple &gt;</t>
  </si>
  <si>
    <t>sel</t>
  </si>
  <si>
    <t>saisissez en ❽ la valeur correspondante à cette denrée ❷  Nb d'unités ou ④ Total</t>
  </si>
  <si>
    <t>❻ Aide à la décision pour modifier un poids net portion</t>
  </si>
  <si>
    <t>moutarde</t>
  </si>
  <si>
    <t>&lt; formule</t>
  </si>
  <si>
    <t>SI(ESTVIDE(AY7);AW7;BA7)+SI(ESTVIDE(AY8);AW8;BA8)+SI(ESTVIDE(AY9);AW9;BA9)+SI(ESTVIDE(AY10);AW10;BA10)+SI(ESTVIDE(AY11);AW11;BA11)+SI(ESTVIDE(AY12);AW12;BA12)</t>
  </si>
  <si>
    <t>vinaigre de vin</t>
  </si>
  <si>
    <t>Total ❼ et/ou ❿</t>
  </si>
  <si>
    <t xml:space="preserve">③ ou alors vous choisissez une denrée dans la liste ❶ </t>
  </si>
  <si>
    <t>⓬ Prix U HT</t>
  </si>
  <si>
    <t>❶ Denrées</t>
  </si>
  <si>
    <t>❶ Code produit</t>
  </si>
  <si>
    <t>④ Total Auteur</t>
  </si>
  <si>
    <t xml:space="preserve"> Nb d'unités</t>
  </si>
  <si>
    <t>Total unités</t>
  </si>
  <si>
    <t>Poids</t>
  </si>
  <si>
    <t>Matière d'œuvre</t>
  </si>
  <si>
    <t>⓭ Coeff de vente</t>
  </si>
  <si>
    <t xml:space="preserve">② vous pouvez saisir  l'Effectif ❺ en ❽  et un effectif qui vous convient en ❿ </t>
  </si>
  <si>
    <t>Coût denrées</t>
  </si>
  <si>
    <t>⓫ Recette dupliquée pour</t>
  </si>
  <si>
    <t>Poids Net</t>
  </si>
  <si>
    <t>❺ Poids Auteur</t>
  </si>
  <si>
    <t>couverts</t>
  </si>
  <si>
    <t>Effectif total</t>
  </si>
  <si>
    <t>Primaires</t>
  </si>
  <si>
    <t>Recette complète dupliquée pour</t>
  </si>
  <si>
    <t>① Si vous ne saisissez rien en ❽ et ❿ la recette sera dupliquée avec le total ❼</t>
  </si>
  <si>
    <t>Prix remis à jour le :</t>
  </si>
  <si>
    <t>❾ Quoi ?</t>
  </si>
  <si>
    <t>Mode d'emploi colonne BJ</t>
  </si>
  <si>
    <t>Kg agneau</t>
  </si>
  <si>
    <t>ne saisissez rien en ❿</t>
  </si>
  <si>
    <t>Total ❿</t>
  </si>
  <si>
    <t>Quoi ❾?</t>
  </si>
  <si>
    <t>OU ❽ Votre référence</t>
  </si>
  <si>
    <t>❺ votre Effectif</t>
  </si>
  <si>
    <t>MOUTON - épaule, collier, poitrine</t>
  </si>
  <si>
    <t>Elément principal</t>
  </si>
  <si>
    <t xml:space="preserve">Pour info </t>
  </si>
  <si>
    <t>Votre référence ❽ est à choisir dans la colonne ④ Total Auteur</t>
  </si>
  <si>
    <t>Saisi par l' Auteur</t>
  </si>
  <si>
    <t xml:space="preserve">ATTENTION si vous ne saisissez rien en ❽  </t>
  </si>
  <si>
    <t>Récap du Mode d'emploi  du tableau de commande</t>
  </si>
  <si>
    <t xml:space="preserve">ATTENTION si vous ne saisissez rien en ❽  ne saisissez rien en ❿ le calcul se fera avec le total de la cellule ❼ </t>
  </si>
  <si>
    <t>PLAT PRINCIPAL</t>
  </si>
  <si>
    <t>Nom références cellule AC4</t>
  </si>
  <si>
    <t>Saisissez vos effectifs et les poids portion pour chaque famille de convives</t>
  </si>
  <si>
    <t>Produit principal</t>
  </si>
  <si>
    <t>SAISISSEZ LE NOM DE VOTRE PLAT cellule AA3</t>
  </si>
  <si>
    <t>ICI</t>
  </si>
  <si>
    <t>Masquez les lignes inutiles pour impression papier</t>
  </si>
  <si>
    <t>Tableau de commande pour les colonnes B à X</t>
  </si>
  <si>
    <t>TABLEAU RÉSERVÉ A LA SAISIE</t>
  </si>
  <si>
    <t>TABLEAU A IMPRIMER</t>
  </si>
  <si>
    <t xml:space="preserve"> &lt;  ?</t>
  </si>
  <si>
    <t>OU</t>
  </si>
  <si>
    <t>Equivalence en nombre de portions standards</t>
  </si>
  <si>
    <t>Grammage à servir par convive</t>
  </si>
  <si>
    <t>EFFECTIF</t>
  </si>
  <si>
    <t>Poids d'un GN 1/1 H.65</t>
  </si>
  <si>
    <t>portions</t>
  </si>
  <si>
    <t>Combien de portions standard dans un GN 1/1 H65</t>
  </si>
  <si>
    <t xml:space="preserve">Poids standard d'une Portion Adulte </t>
  </si>
  <si>
    <t>Service au choix : au poids ou à la portion</t>
  </si>
  <si>
    <t>❿ Dupliquer pour cellule</t>
  </si>
  <si>
    <t xml:space="preserve">cellule </t>
  </si>
  <si>
    <t>Poivre quantités suffisantes</t>
  </si>
  <si>
    <t>QS</t>
  </si>
  <si>
    <t xml:space="preserve">Bouquet garni </t>
  </si>
  <si>
    <t>PM</t>
  </si>
  <si>
    <t>Compote</t>
  </si>
  <si>
    <t>SAISISSEZ LE NOM DE VOTRE PLAT cellule C3</t>
  </si>
  <si>
    <t>Modèle Restaurant</t>
  </si>
  <si>
    <t>http://www.excel-downloads.com/remository/Download/Professionnels/Planification-et-gestion-de-projets/SPACE.html</t>
  </si>
  <si>
    <t xml:space="preserve"> &gt;</t>
  </si>
  <si>
    <t xml:space="preserve">Fil de discussion dédié à ce programme </t>
  </si>
  <si>
    <t>lien &gt;</t>
  </si>
  <si>
    <r>
      <t xml:space="preserve">SPACE pour </t>
    </r>
    <r>
      <rPr>
        <sz val="20"/>
        <rFont val="Arial"/>
        <family val="2"/>
      </rPr>
      <t>S</t>
    </r>
    <r>
      <rPr>
        <sz val="20"/>
        <color theme="0"/>
        <rFont val="Arial"/>
        <family val="2"/>
      </rPr>
      <t xml:space="preserve">uivi et </t>
    </r>
    <r>
      <rPr>
        <sz val="20"/>
        <rFont val="Arial"/>
        <family val="2"/>
      </rPr>
      <t>P</t>
    </r>
    <r>
      <rPr>
        <sz val="20"/>
        <color theme="0"/>
        <rFont val="Arial"/>
        <family val="2"/>
      </rPr>
      <t>rogrammation d'</t>
    </r>
    <r>
      <rPr>
        <sz val="20"/>
        <rFont val="Arial"/>
        <family val="2"/>
      </rPr>
      <t>AC</t>
    </r>
    <r>
      <rPr>
        <sz val="20"/>
        <color theme="0"/>
        <rFont val="Arial"/>
        <family val="2"/>
      </rPr>
      <t xml:space="preserve">tivités en </t>
    </r>
    <r>
      <rPr>
        <sz val="20"/>
        <rFont val="Arial"/>
        <family val="2"/>
      </rPr>
      <t>E</t>
    </r>
    <r>
      <rPr>
        <sz val="20"/>
        <color theme="0"/>
        <rFont val="Arial"/>
        <family val="2"/>
      </rPr>
      <t>quipe est un outil destiné à permettre un suivi exhaustif des activités d'une équipe.</t>
    </r>
  </si>
  <si>
    <t>Site à découvrir</t>
  </si>
  <si>
    <t>un lien rompu ou devenu obsolète…..pas de panique…Google saura vous retrouver un document équivalent</t>
  </si>
  <si>
    <t>Joël LEBOUCHER …Octobre 2015</t>
  </si>
  <si>
    <t>Transmettez votre savoir et votre savoir faire  peu importe qui le récupère; pourvu qu'un plus grand nombre puisse en bénéficier.</t>
  </si>
  <si>
    <t>Je remercie chaleureusement les internautes passionnés qui élaborent et proposent des formules et fonctions imbriquées</t>
  </si>
  <si>
    <t>Les unités pifométriques</t>
  </si>
  <si>
    <t>p</t>
  </si>
  <si>
    <t>q</t>
  </si>
  <si>
    <t>Z</t>
  </si>
  <si>
    <t>³</t>
  </si>
  <si>
    <t>cm³ </t>
  </si>
  <si>
    <t>M³ </t>
  </si>
  <si>
    <t>m³ </t>
  </si>
  <si>
    <t>le ³ se fait en tapant alt+0179</t>
  </si>
  <si>
    <t>Police Wingdings 3</t>
  </si>
  <si>
    <t>²</t>
  </si>
  <si>
    <t xml:space="preserve">cm² </t>
  </si>
  <si>
    <t xml:space="preserve">M² </t>
  </si>
  <si>
    <t xml:space="preserve">m² </t>
  </si>
  <si>
    <t>le ² se fait en tapant alt+0178</t>
  </si>
  <si>
    <t>u</t>
  </si>
  <si>
    <t>t</t>
  </si>
  <si>
    <t>X</t>
  </si>
  <si>
    <t>ou copier-coller</t>
  </si>
  <si>
    <t>Format | cellule | personnalisé | 0" cm³"</t>
  </si>
  <si>
    <t>0.00\ " cm³"</t>
  </si>
  <si>
    <t>Φ</t>
  </si>
  <si>
    <t>▼</t>
  </si>
  <si>
    <t>▲</t>
  </si>
  <si>
    <t>◄</t>
  </si>
  <si>
    <t>►</t>
  </si>
  <si>
    <t>ø</t>
  </si>
  <si>
    <t>¾</t>
  </si>
  <si>
    <t>½</t>
  </si>
  <si>
    <t>¼</t>
  </si>
  <si>
    <t>»</t>
  </si>
  <si>
    <t>±</t>
  </si>
  <si>
    <t>≈</t>
  </si>
  <si>
    <t>‰</t>
  </si>
  <si>
    <t>@</t>
  </si>
  <si>
    <t>&amp;</t>
  </si>
  <si>
    <t>%</t>
  </si>
  <si>
    <t>$</t>
  </si>
  <si>
    <t>#</t>
  </si>
  <si>
    <t>"</t>
  </si>
  <si>
    <t>!</t>
  </si>
  <si>
    <t>des caractères spéciaux</t>
  </si>
  <si>
    <t>⓿❶❷❸❹❺❻❼❽❾❿⓫⓬⓭⓮⓯⓰⓱⓲⓳⓴</t>
  </si>
  <si>
    <t>cliquez sur la colonne  C et sélectionnez dans la barre le numéro qui vous intéresse</t>
  </si>
  <si>
    <t>couleur de police blanc sur fond gris à modifier pour vos documents</t>
  </si>
  <si>
    <t>⓪①②③④⑤⑥⑦⑧⑨⑩⑪⑫⑬⑭⑮⑯⑰⑱⑲⑳</t>
  </si>
  <si>
    <t>20</t>
  </si>
  <si>
    <t>19</t>
  </si>
  <si>
    <t>18</t>
  </si>
  <si>
    <t>17</t>
  </si>
  <si>
    <t>16</t>
  </si>
  <si>
    <t>15</t>
  </si>
  <si>
    <t>14</t>
  </si>
  <si>
    <t>13</t>
  </si>
  <si>
    <t>12</t>
  </si>
  <si>
    <t>11</t>
  </si>
  <si>
    <t>10</t>
  </si>
  <si>
    <t>9</t>
  </si>
  <si>
    <t>8</t>
  </si>
  <si>
    <t>7</t>
  </si>
  <si>
    <t>6</t>
  </si>
  <si>
    <t>5</t>
  </si>
  <si>
    <t>4</t>
  </si>
  <si>
    <t>3</t>
  </si>
  <si>
    <t>2</t>
  </si>
  <si>
    <t>⓴</t>
  </si>
  <si>
    <t>⓳</t>
  </si>
  <si>
    <t>⓲</t>
  </si>
  <si>
    <t>⓱</t>
  </si>
  <si>
    <t>⓰</t>
  </si>
  <si>
    <t>⓯</t>
  </si>
  <si>
    <t>⓮</t>
  </si>
  <si>
    <t>⓭</t>
  </si>
  <si>
    <t>⓬</t>
  </si>
  <si>
    <t>⓫</t>
  </si>
  <si>
    <t>❿</t>
  </si>
  <si>
    <t>❾</t>
  </si>
  <si>
    <t>❽</t>
  </si>
  <si>
    <t>❼</t>
  </si>
  <si>
    <t>❻</t>
  </si>
  <si>
    <t>❺</t>
  </si>
  <si>
    <t>❶</t>
  </si>
  <si>
    <t>Une numérotation avec couleur de police modifiable</t>
  </si>
  <si>
    <t>VRINDA   Vrinda</t>
  </si>
  <si>
    <t>TW CEN MT  Tw Cen MT</t>
  </si>
  <si>
    <t>TRBUCHET MF  Trébuchet MF</t>
  </si>
  <si>
    <t>TIMES NEW ROMAN Times New Roman</t>
  </si>
  <si>
    <t>TAHOMA   Tahoma</t>
  </si>
  <si>
    <t>PALATINO LINOTYPE  Palatino Linotype</t>
  </si>
  <si>
    <t>GIL SANS MT  Gill Sans MT</t>
  </si>
  <si>
    <t>COMIC SANS MF  Comic Sans MF</t>
  </si>
  <si>
    <t>ARIAL NARROW    Arial Narrow</t>
  </si>
  <si>
    <t>Autres polices à découvrir</t>
  </si>
  <si>
    <t>Monétaire</t>
  </si>
  <si>
    <t>0" %"</t>
  </si>
  <si>
    <t>0.000" Kg"</t>
  </si>
  <si>
    <t>personnalisés &gt;</t>
  </si>
  <si>
    <t>VERDANA</t>
  </si>
  <si>
    <t>ROCKWELL</t>
  </si>
  <si>
    <t>CALIBRI</t>
  </si>
  <si>
    <t>ARIAL</t>
  </si>
  <si>
    <t>15.5 &gt;</t>
  </si>
  <si>
    <t>Verdana</t>
  </si>
  <si>
    <t>Rockwell</t>
  </si>
  <si>
    <t>Calibri</t>
  </si>
  <si>
    <t>Arial</t>
  </si>
  <si>
    <t>Quelques formats utilisés</t>
  </si>
  <si>
    <t>Quelques polices de caractères utilisées</t>
  </si>
  <si>
    <t>Lancez vous…copiez…coupez….adaptez…....</t>
  </si>
  <si>
    <t>A chacun de faire évoluer ces documents et de les modifier pour son utilisation.......</t>
  </si>
  <si>
    <t>Est -il raisonnable d'élaborer une recette avec 50% de vin. Le vin peut-il être considéré comme aromatisant à  20%</t>
  </si>
  <si>
    <t>La farine est-elle un liant ou liant aromatisant à raison de 20% de farine torréfiée plus un amidon industriel (ou contenu dans les fonds)</t>
  </si>
  <si>
    <t>Pensez au surcoût et au nombre de sauteuses nécessaires pour respecter cette recette</t>
  </si>
  <si>
    <t>J'aurai besoin d'un maximum de 145 Litres de sauce pour 2945 couverts. Que faire du reste de cuisson soit au minimum 370 Litres</t>
  </si>
  <si>
    <t>179 Litres de vin rouge + 191 Litres de fond brun + 40% soit 153 l d'exsudat de viande + 20% d'exsudat des légumes. Que faire de tout ce liquide?</t>
  </si>
  <si>
    <t>Vous ne pouvez pas formuler des recettes de cette façon pour la cuisine collective !</t>
  </si>
  <si>
    <t>ATTENTION lorsque vous formulez une recette type bourguignon "Cuisine de référence" Michel Maincent</t>
  </si>
  <si>
    <t>La cuisine de collectivité</t>
  </si>
  <si>
    <t>saisissez vos valeurs cellules fond jaune</t>
  </si>
  <si>
    <t>POIDS BRUT</t>
  </si>
  <si>
    <t>POIDS NET</t>
  </si>
  <si>
    <t>% de PERTE</t>
  </si>
  <si>
    <t>cuisson</t>
  </si>
  <si>
    <t>épluchage</t>
  </si>
  <si>
    <t>Calculette</t>
  </si>
  <si>
    <t xml:space="preserve">1Kg de bœuf en bourguignon selon mode de cuisson  40% </t>
  </si>
  <si>
    <t>Exp. : 1Kg d'oignons frais perdra 10 % à l'épluchage plus 50% en cuisson</t>
  </si>
  <si>
    <t>ce produit perdra combien au rissolage à la cuisson -ou au conditionnement</t>
  </si>
  <si>
    <t>Colonne pourcentages de perte : posez vous la question : ce produit perdra combien au parage ou à l'épluchage : 10 / 20 % -</t>
  </si>
  <si>
    <t>Donc la masse d'un litre de lait demi-écrémé doit être de 1,015 Kg (1015 g).</t>
  </si>
  <si>
    <t xml:space="preserve">Pour le lait demi-écrémé, la graisse ne devrait représenter que 0,030/2, donc 0,015. </t>
  </si>
  <si>
    <t xml:space="preserve">On peut donc considérer que les 0,030 corespondent à la graisse du lait entier. </t>
  </si>
  <si>
    <t xml:space="preserve">Pour le lait entier, la densité donnée habituellement est de 1,030 par rapport à l'eau qui est de 1. </t>
  </si>
  <si>
    <t xml:space="preserve">sauf cas exeptionnel pour recettes de précision </t>
  </si>
  <si>
    <t>Saisissez votre valeur cellule fond jaune</t>
  </si>
  <si>
    <t>5 cl = 50g</t>
  </si>
  <si>
    <t xml:space="preserve">Convertissez tout de suite les volumes en poids sur la base de 1L = 1Kg </t>
  </si>
  <si>
    <t>cuillère/Potage</t>
  </si>
  <si>
    <t>C/P</t>
  </si>
  <si>
    <t>cuillère/Café</t>
  </si>
  <si>
    <t>C/C</t>
  </si>
  <si>
    <t>fines herbes</t>
  </si>
  <si>
    <t>botte</t>
  </si>
  <si>
    <t>gélatine</t>
  </si>
  <si>
    <t>feuilles</t>
  </si>
  <si>
    <t xml:space="preserve"> idem pour les feuilles de gélatine les pieds de veau -les feuilles de basilic etc….</t>
  </si>
  <si>
    <t>les ¼ de botte de fines herbes en 0,25 les demi = 0.5 les 3/4 = 0.75</t>
  </si>
  <si>
    <t>pied de veau</t>
  </si>
  <si>
    <t>pied</t>
  </si>
  <si>
    <t>laurier</t>
  </si>
  <si>
    <t>branche</t>
  </si>
  <si>
    <t>paprika</t>
  </si>
  <si>
    <t>pincée</t>
  </si>
  <si>
    <t>blancs d'œufs</t>
  </si>
  <si>
    <t>Ingrédients</t>
  </si>
  <si>
    <t>sur la fiche les colonnes de saisies précédentes sont masquées</t>
  </si>
  <si>
    <t>(pas le poids des 2 œufs "100g" mais le poids d'UN œuf de 50g par exemple)</t>
  </si>
  <si>
    <t>le poids UNITAIRE pour les RECETTES AU POIDS est indispensable</t>
  </si>
  <si>
    <t>Il est impossible de faire comprendre à Excel que 12 œufs ne font pas 12 kg si on ne l'aide pas. (12 oeufs X 0,05 kg = 0,600Kg)</t>
  </si>
  <si>
    <t>https://www.google.com/search?client=firefox-b-d&amp;q=r%C3%A8gle+de+trois</t>
  </si>
  <si>
    <t>PAS.   Personnes Agées en institution diner Soir</t>
  </si>
  <si>
    <t>PAM.   Personnes Agées en institution déjeuner Midi</t>
  </si>
  <si>
    <t>A +. Adultes + (travailleurs "de force") ou portions traiteur</t>
  </si>
  <si>
    <t>A. Adolescents,adultes sédentaires,personnes agées si portage à domicile</t>
  </si>
  <si>
    <t>P. Enfants en classe élémentaire  . Certains de ces grammages conviennent aussi aux personnes hospitalisées sans régime ou problèmes digestifs</t>
  </si>
  <si>
    <t>M. Enfants en maternelle</t>
  </si>
  <si>
    <t>Poids BRUT à commander</t>
  </si>
  <si>
    <t>A + = portion A augmentée de</t>
  </si>
  <si>
    <t>Pourcentage supplémentaire pour A +</t>
  </si>
  <si>
    <t>Grammage NET par convive</t>
  </si>
  <si>
    <t>Saisissez vos valeurs cellules fond jaune</t>
  </si>
  <si>
    <t>Faites un test</t>
  </si>
  <si>
    <t>Trop copieux : augmentez le nombre de portions cela diminuera les grammages à la portion sur le tableau à imprimer</t>
  </si>
  <si>
    <t>Pas assez copieux : diminuez le nombre de portions cela augmentera les grammages à la portion sur le tableau à imprimer</t>
  </si>
  <si>
    <t>si vous n'utilisez pas toutes les lignes vous pouvez masquer cette valeur par une couleur de police BLANC</t>
  </si>
  <si>
    <t>Pour imprimer : sélectionnez les recettes qui vous conviennent : définir la zone d'impression -Mise à l'échelle : Ajuster la feuille à 1 page</t>
  </si>
  <si>
    <t xml:space="preserve"> Nb de portions Si vous estimez que les grammages sont trop ou pas assez copieux pour vos convives : modifiez les prévisions de l'Auteur  les modifications se feront sur le tableau à imprimer</t>
  </si>
  <si>
    <t>POUR LES FICHES RECETTES A LA PORTION</t>
  </si>
  <si>
    <t xml:space="preserve">les valeurs #DIV/0!  indiquent seulement que les recettes sont "vierges" sur la feuille de saisie </t>
  </si>
  <si>
    <t>Avant de saisir quoi que ce soit dans une cellule cliquez dessus pour vérifier qu'il n'y ait pas de formule</t>
  </si>
  <si>
    <t>Comment utiliser les tableaux :</t>
  </si>
  <si>
    <t>Joël LEBOUCHER …Octobre 2019</t>
  </si>
  <si>
    <t>Transmettez vos savoirs faire  peu importe qui les récupèrent ; pourvu qu'un plus grand nombre puisse en bénéficier.</t>
  </si>
  <si>
    <t>Code couleurs, Excel</t>
  </si>
  <si>
    <t>Tutos Youtube</t>
  </si>
  <si>
    <t>Formats-Formules-Fonctions</t>
  </si>
  <si>
    <t xml:space="preserve">Emoticones </t>
  </si>
  <si>
    <t>Polices de Symboles</t>
  </si>
  <si>
    <t>VOCABULAIRE PROFESSIONNEL    un verbe…une action</t>
  </si>
  <si>
    <t>Convertissez  les volumes en poids</t>
  </si>
  <si>
    <t>Important Cuisiniers : PESEZ</t>
  </si>
  <si>
    <t>Comprendre pour Transmettre</t>
  </si>
  <si>
    <t>Estimation des contenants</t>
  </si>
  <si>
    <t>Navarin.Organigramme</t>
  </si>
  <si>
    <t>Des classements à copier / Coller dans vos fiches</t>
  </si>
  <si>
    <t>F3.haricot.de.mouton (pour comparer avec la FF.1)</t>
  </si>
  <si>
    <t>F3.Navarin.Agneau.Printanier</t>
  </si>
  <si>
    <t>FF.2.Aubergines Egyptienne</t>
  </si>
  <si>
    <t>FF.1.Haricot.de.mouton</t>
  </si>
  <si>
    <t>Exemple de fiche</t>
  </si>
  <si>
    <t>d'un nombre de couverts de portions de plaques ou autre</t>
  </si>
  <si>
    <t xml:space="preserve">5 familles de convive et la possibilité de dupliquer la recette  à partir d'une denrée - </t>
  </si>
  <si>
    <t>1 tableau de saisie et un tableau résultat pour imprimer</t>
  </si>
  <si>
    <t>Modèle.F3.collectivité</t>
  </si>
  <si>
    <t>modèle de base 5 familles de convives pour cette fiche</t>
  </si>
  <si>
    <t>Modèle.FF.2.collectivité</t>
  </si>
  <si>
    <t>d'une denrée - d'un nombre de couverts de portions de plaques ou autre</t>
  </si>
  <si>
    <t xml:space="preserve">1 seul effectif pour cette fiche vous pouvez faire le choix de dupliquer la recette à partir </t>
  </si>
  <si>
    <t>Modèle.FF.1.restaurant</t>
  </si>
  <si>
    <t>O.R.T.   ORGANISATION RAISONNÉE DU TRAVAIL</t>
  </si>
  <si>
    <t>différence Portion et Poids</t>
  </si>
  <si>
    <t>CONTENU DU CLASSEUR</t>
  </si>
  <si>
    <t>Copier une feuille de calcul à l'intérieur d'un classeur</t>
  </si>
  <si>
    <t>Les recettes ne sont proposés qu'a titre d'exemple pour vous inciter à saisir les votres sur une copie du modèle vierge</t>
  </si>
  <si>
    <t>Nous vous en souhaitons une bonne utilisation - peut être trouverez vous une "pépite" qui vous rendra service...c'est là tout notre souhait</t>
  </si>
  <si>
    <t>(nous citons toujours leurs Auteurs et ajoutons des liens qui permettent de retrouver leurs documents)</t>
  </si>
  <si>
    <t>des liens et des savoirs de passionnés qui les ont diffusés sur le net</t>
  </si>
  <si>
    <t>des savoirs d'expérience,que nous avons acquis tout au long de notre parcours professionnel en restauration collective</t>
  </si>
  <si>
    <t>Nous vous proposons dans ce document</t>
  </si>
  <si>
    <t>et les recherches sur le net le sont également</t>
  </si>
  <si>
    <t>La conception de documents (qui suppose une diversité de connaissances) est chronophage</t>
  </si>
  <si>
    <t>Partager son savoir-faire ses savoirs d’expérience</t>
  </si>
  <si>
    <t>C’est prouvé : donner rendrait plus heureux que recevoir</t>
  </si>
  <si>
    <t> Madame....Monsieur..Bonjour...et ...Bienvenue dans nos documents</t>
  </si>
  <si>
    <t>l’uprt la diffusion des savoirs – le partage des savoirs faire</t>
  </si>
  <si>
    <t>Contenu du classeur ligne  32</t>
  </si>
  <si>
    <t>Union des Professionnels de la Restauration Territoriale - UPRT.FR</t>
  </si>
  <si>
    <t>Ce document est archivé à l'adresse suivante sur votre PC :</t>
  </si>
  <si>
    <t>annule ou remplace les versions précédentes</t>
  </si>
  <si>
    <t>dernière mise à jour : 23 Février 2022</t>
  </si>
  <si>
    <t>série collectivité</t>
  </si>
  <si>
    <t>FF = Fiche de Fabrication</t>
  </si>
  <si>
    <t>Modèles FF.1  - FF.2   FF.3</t>
  </si>
  <si>
    <t>Adaptation 2016 : Joël Leboucher..UPRT "Union des Personnels de la Restauration Territoriale"  membre du réseau RESTAU'CO</t>
  </si>
  <si>
    <t>Joël Leboucher</t>
  </si>
  <si>
    <t>Largeurs de colonnes</t>
  </si>
  <si>
    <t>pour aider les jeunes en formation ou donner des idées à vos collègues des métiers de bouche</t>
  </si>
  <si>
    <t>Bonne utilisation. A vous de faire évoluer ces documents…et n'hésitez pas à tramsmettre vos savoirs faire……</t>
  </si>
  <si>
    <t xml:space="preserve">ne sont "postit" que les fiches avec cellule </t>
  </si>
  <si>
    <t>Recette de l'Auteur  saisissez la valeur de la cellule</t>
  </si>
  <si>
    <t>si vous voulez refaire la</t>
  </si>
  <si>
    <t>est sélectionné  il ne vous reste plus qu'a le copier et le coller dans votre répertoire</t>
  </si>
  <si>
    <t>de la cellule</t>
  </si>
  <si>
    <t xml:space="preserve">comment copier un "Postit" : cliquez sur la cellule ICI dans l'angle gauche puis déportez la souris vers la droit le postit </t>
  </si>
  <si>
    <t>si dans votre recette vous n'avez saisi que des poids alors saisissez le total</t>
  </si>
  <si>
    <t>Faites "votre marché" dans vos répertoires et assemblez le tout sur une même feuille Excel</t>
  </si>
  <si>
    <t xml:space="preserve"> de garnitures de finitions ou de décor</t>
  </si>
  <si>
    <t>Poids de l'Auteur</t>
  </si>
  <si>
    <t>de sauces diverses et variées</t>
  </si>
  <si>
    <t>X par le poids que vous voulez dupliquer</t>
  </si>
  <si>
    <t xml:space="preserve">Quantité de chaque produit  </t>
  </si>
  <si>
    <t>de garnitures aromatiques de cuisson</t>
  </si>
  <si>
    <t>Formule :</t>
  </si>
  <si>
    <t>Idem pour des recettes de cuisine faites des répertoires :</t>
  </si>
  <si>
    <t xml:space="preserve"> le mieux ajoutez une ou deux crèmes qui vont bien et terminez en ajoutant un postit éléments de décor</t>
  </si>
  <si>
    <t>vous auriez très bien pu dupliquer cette recette pour un poids de haricots coco</t>
  </si>
  <si>
    <t>Procédure</t>
  </si>
  <si>
    <t>g</t>
  </si>
  <si>
    <t>à saisir</t>
  </si>
  <si>
    <t>Exemple : pour une recette de gateau…allez chercher dans vos répertoires la recette du biscuit qui vous convient</t>
  </si>
  <si>
    <t>③</t>
  </si>
  <si>
    <t>①</t>
  </si>
  <si>
    <t>②</t>
  </si>
  <si>
    <t>Vous pouvez assembler plusieurs postit(s) sur une même feuille pour créer votre recette</t>
  </si>
  <si>
    <t xml:space="preserve">mais si vous souhaitez dupliquer cette recette pour un poids d'agneau saisir ce poids d'agneau </t>
  </si>
  <si>
    <t>d'agneau</t>
  </si>
  <si>
    <t>Quantité</t>
  </si>
  <si>
    <t>Denrées</t>
  </si>
  <si>
    <t>pour vous constituer un répertoire</t>
  </si>
  <si>
    <t xml:space="preserve">si vous n'aviez que des poids vous pourriez saisir ce total dans la cellule Poids Auteur </t>
  </si>
  <si>
    <t xml:space="preserve">Chaque postit étant indépendant vous pouvez  le copier et le coller dans n'importe quelle feuille Excel </t>
  </si>
  <si>
    <t xml:space="preserve">si bien que vous obtenez un poids total de </t>
  </si>
  <si>
    <t xml:space="preserve">"POSTIT"   QUEL INTÉRÊT </t>
  </si>
  <si>
    <t>les poids - les cuillères à café le nombre de pièces : tout est mélangé</t>
  </si>
  <si>
    <t>Dupliquée pour</t>
  </si>
  <si>
    <t xml:space="preserve">Poids Auteur </t>
  </si>
  <si>
    <t>Mettez la collaboration au coeur de votre environnement de travail</t>
  </si>
  <si>
    <t>Cela demande un peu plus d'attention que pour le service à la portion</t>
  </si>
  <si>
    <t>SERVICE AU POIDS</t>
  </si>
  <si>
    <t>recette de qui ?</t>
  </si>
  <si>
    <t>fiche de fabrication SERVICE AU POIDS</t>
  </si>
  <si>
    <t>Tel un Postit © c'est une fiche Excel autonome facilement copiable et transposable dans n'importe quelle feuille</t>
  </si>
  <si>
    <t>QU'EST-CE QU'UNE FICHE DE FABRICATION  DE TYPE "POSTIT"©</t>
  </si>
  <si>
    <t>SERVICE AU POIDS Explication</t>
  </si>
  <si>
    <t>NOM DE LA RECETTE</t>
  </si>
  <si>
    <t>? - - n'oubliez pas d'indiquer pour combien de portion ou quel nombre de couverts était prévue la recette que vous avez saisie</t>
  </si>
  <si>
    <t xml:space="preserve">diminuez le nombre de portion prévues par l'Auteur cela augmentera vos quantités </t>
  </si>
  <si>
    <t xml:space="preserve">Portions Auteur </t>
  </si>
  <si>
    <t>si vous estimez que les portions ne sont pas assez copieuses  :</t>
  </si>
  <si>
    <t>Etc….</t>
  </si>
  <si>
    <t>Tartes</t>
  </si>
  <si>
    <t>augmentez le nombre de portion prévues par l'Auteur cela diminuera vos quantités par personne</t>
  </si>
  <si>
    <t>à vous de saisir la quantité à fabriquer en fonction de votre utilisation</t>
  </si>
  <si>
    <t xml:space="preserve">Dupliquée pour : </t>
  </si>
  <si>
    <t>si vous estimez que les portions sont trop importantes pour vos convives :</t>
  </si>
  <si>
    <t>Astuce :</t>
  </si>
  <si>
    <t>Nombre de portions de l'Auteur</t>
  </si>
  <si>
    <t>cuillère a soupe</t>
  </si>
  <si>
    <t>C à S</t>
  </si>
  <si>
    <t>cuillère a café</t>
  </si>
  <si>
    <t>C a C</t>
  </si>
  <si>
    <t>L</t>
  </si>
  <si>
    <t>X par le nombre de portions que vous voulez dupliquer</t>
  </si>
  <si>
    <t xml:space="preserve"> ¼ de botte de fines herbes -  allez expliquer cela à Excel (0.25)</t>
  </si>
  <si>
    <t>u    Police Wingdings 3</t>
  </si>
  <si>
    <t xml:space="preserve">Vous voulez la dupliquer pour </t>
  </si>
  <si>
    <t xml:space="preserve"> l'Auteur à pensé sa recette pour </t>
  </si>
  <si>
    <t>2 - saisir les quantités de la recette  dans cette colonne</t>
  </si>
  <si>
    <t>Quantités</t>
  </si>
  <si>
    <t>Parce que :</t>
  </si>
  <si>
    <t>une poignée etc…tout cela n'a pas d'incidence</t>
  </si>
  <si>
    <t>1 - saisir les Denrées</t>
  </si>
  <si>
    <t>un nombre de cuillères ou de branches de thym</t>
  </si>
  <si>
    <t xml:space="preserve">Vous pouvez saisir ce que vous voulez un poids  </t>
  </si>
  <si>
    <t>fiche de fabrication SERVICE A LA PORTION</t>
  </si>
  <si>
    <t>Simplissime :</t>
  </si>
  <si>
    <t>SERVICE A LA PORTION</t>
  </si>
  <si>
    <t>Comment remplir cette fiche en respectant un ordre logique</t>
  </si>
  <si>
    <t>SERVICE A LA PORTION Explication</t>
  </si>
  <si>
    <t>DIFFÉRENCE ENTRE SERVICE A LA PORTION ET SERVICE AU POIDS</t>
  </si>
  <si>
    <t>stocker en chambre froide</t>
  </si>
  <si>
    <t>garder un plat témoins</t>
  </si>
  <si>
    <t>conditionner et étiqueter DLC</t>
  </si>
  <si>
    <t xml:space="preserve"> décorer  </t>
  </si>
  <si>
    <t>gouter et vérifier l'assaisonnement - dresser</t>
  </si>
  <si>
    <t>assembler</t>
  </si>
  <si>
    <t>préparer l'assaisonnement ou la sauce</t>
  </si>
  <si>
    <t>trancher - découper - hacher en respectant les protocoles</t>
  </si>
  <si>
    <t>cuire et refroidir en cellule avant assemblage</t>
  </si>
  <si>
    <t>décongeler en bacs perforés + étiquette date de décongélation</t>
  </si>
  <si>
    <t>égoutter en bacs perforées si besoin</t>
  </si>
  <si>
    <t>laver légumes et fruits avant utilisation</t>
  </si>
  <si>
    <t>désinfecter les sachets - poches - barquettes - boites avant ouverture</t>
  </si>
  <si>
    <t>vérifier les DLC - relever les N° de lot ou conserver les étiquettes</t>
  </si>
  <si>
    <t>controler les marchandises - qualité - quantité - températures</t>
  </si>
  <si>
    <t>1</t>
  </si>
  <si>
    <t>ORGANISATION RAISONNÉE DU TRAVAIL</t>
  </si>
  <si>
    <t>laver et désinfecter le matériel et le poste de travail</t>
  </si>
  <si>
    <t>sélectionner le matériel nécessaire</t>
  </si>
  <si>
    <t>se laver les mains souvent - prévoir gants</t>
  </si>
  <si>
    <t>vérifier températures - locaux et chambres froides</t>
  </si>
  <si>
    <t>verifier - bactéricide - esssuie mains - sacs poubelle</t>
  </si>
  <si>
    <t>tenue professionnelle de circonstance (charlotte-masque)</t>
  </si>
  <si>
    <t>MISE EN PLACE DU POSTE DE TRAVAIL</t>
  </si>
  <si>
    <t>Michel Grossman et Alain Le Franc  La cuisine de collectivité éditions BPI - 2006</t>
  </si>
  <si>
    <t>Mesures d'Hygiène</t>
  </si>
  <si>
    <t>SAUCES FROIDES</t>
  </si>
  <si>
    <t>SAUCES</t>
  </si>
  <si>
    <t>Volaille</t>
  </si>
  <si>
    <t>Viande</t>
  </si>
  <si>
    <t xml:space="preserve">Sauce Rouge ou Brune </t>
  </si>
  <si>
    <t>Sauce Blanche ou Blonde</t>
  </si>
  <si>
    <t>Poisson</t>
  </si>
  <si>
    <t>Légumes</t>
  </si>
  <si>
    <t>Laitages</t>
  </si>
  <si>
    <t xml:space="preserve">Jus nature </t>
  </si>
  <si>
    <t>H.O. Composition légumes Multiples</t>
  </si>
  <si>
    <t>Garniture de finition</t>
  </si>
  <si>
    <t>Gibier</t>
  </si>
  <si>
    <t>Entrée Mixte Froide/Chaude</t>
  </si>
  <si>
    <t>Entrée froide</t>
  </si>
  <si>
    <t>Entrée chaude</t>
  </si>
  <si>
    <t>Dessert</t>
  </si>
  <si>
    <t>Décor sucré</t>
  </si>
  <si>
    <t>Décor salé</t>
  </si>
  <si>
    <t>Accompagnement d'Apéritif</t>
  </si>
  <si>
    <t>Classement</t>
  </si>
  <si>
    <t>GOUTER</t>
  </si>
  <si>
    <t>DESSERTS</t>
  </si>
  <si>
    <t>LAITAGES +FECULENTS</t>
  </si>
  <si>
    <t>LAITAGES - FROMAGES</t>
  </si>
  <si>
    <t>COMPOSES VERTS</t>
  </si>
  <si>
    <t>FECULENTS</t>
  </si>
  <si>
    <t>CRUDITES</t>
  </si>
  <si>
    <t>PREPARATIONS CHAUDES</t>
  </si>
  <si>
    <t>PATISSERIES</t>
  </si>
  <si>
    <t>5 - Collez</t>
  </si>
  <si>
    <t>ACCOMPAGNEMENTS</t>
  </si>
  <si>
    <t>ET DANS LA BARRE DE FORMULE</t>
  </si>
  <si>
    <t>4- Cliquez sur l'onglet de votre feuille</t>
  </si>
  <si>
    <t>PLATS COMPLETS</t>
  </si>
  <si>
    <t>3- Copier</t>
  </si>
  <si>
    <t>2 sélectionnez le texte DANS LA BARRE DE FORMULE</t>
  </si>
  <si>
    <t>VIANDES</t>
  </si>
  <si>
    <t>1 - Cliquez sur le texte</t>
  </si>
  <si>
    <t>Donc comment collez le texte de ces onglets dans vos fiches</t>
  </si>
  <si>
    <t>VOLAILLES</t>
  </si>
  <si>
    <t>Attention toutes les fiches n'ont pas le même nombre de lignes</t>
  </si>
  <si>
    <t>Sauces Rouges ou Brunes</t>
  </si>
  <si>
    <t>Sauces Blanches ou Blondes</t>
  </si>
  <si>
    <t>Garnitures de finition</t>
  </si>
  <si>
    <t>Garnitures de cuisson</t>
  </si>
  <si>
    <t>Entrées Mixtes Froides/Chaudes</t>
  </si>
  <si>
    <t>Entrées froides</t>
  </si>
  <si>
    <t>Entrées chaudes</t>
  </si>
  <si>
    <t>Desserts</t>
  </si>
  <si>
    <t>Décors sucrés</t>
  </si>
  <si>
    <t>Décors salés</t>
  </si>
  <si>
    <t>GOUTERS</t>
  </si>
  <si>
    <t>CUIDITES</t>
  </si>
  <si>
    <t>POISSONS</t>
  </si>
  <si>
    <t>LES ENTRÉES</t>
  </si>
  <si>
    <t>Attention il arrive parfois que toutes les fiches n'aient pas le même nombre de lignes</t>
  </si>
  <si>
    <t>persil</t>
  </si>
  <si>
    <t>servir mélangé délicatement en timbale</t>
  </si>
  <si>
    <t>après cuisson, ajouter les autres légumes cuits</t>
  </si>
  <si>
    <t>passer la sauce sur les morceaux</t>
  </si>
  <si>
    <t>pettits oignons</t>
  </si>
  <si>
    <t>décanter, enlever quelques os ,</t>
  </si>
  <si>
    <t>haricots verts surgelés</t>
  </si>
  <si>
    <t>dégraisser complètement</t>
  </si>
  <si>
    <t>petits pois surgelés</t>
  </si>
  <si>
    <t>Cuire à l'anglais ou vapeur</t>
  </si>
  <si>
    <t>concentré de tomate</t>
  </si>
  <si>
    <t>Navets</t>
  </si>
  <si>
    <t>bouquet garni PM Pour Mémoire</t>
  </si>
  <si>
    <t>Carottes</t>
  </si>
  <si>
    <t>ail frais</t>
  </si>
  <si>
    <t>finir l'aromatsation</t>
  </si>
  <si>
    <t>eau</t>
  </si>
  <si>
    <t>mouiller à l'eau à hauteur</t>
  </si>
  <si>
    <t>farine</t>
  </si>
  <si>
    <t>singer</t>
  </si>
  <si>
    <t>oignons frais</t>
  </si>
  <si>
    <t>ajouter lers oignons, laisser colorer</t>
  </si>
  <si>
    <t>margarine</t>
  </si>
  <si>
    <t>la faire rissoler</t>
  </si>
  <si>
    <t>AGNEAU : Sauté d'agneau sans os- épaule - collier</t>
  </si>
  <si>
    <t xml:space="preserve">couper la viande </t>
  </si>
  <si>
    <t>Produits surgelés</t>
  </si>
  <si>
    <t>E</t>
  </si>
  <si>
    <t>Produits Temp.Ambiante</t>
  </si>
  <si>
    <t>Produits Réfrigérés</t>
  </si>
  <si>
    <t>ELÉMENTS PRINCIPAUX</t>
  </si>
  <si>
    <t>PROGRESSION</t>
  </si>
  <si>
    <t>et copier/coller les liaisons pré-formatées en bas de tableau</t>
  </si>
  <si>
    <t>Adresse PC</t>
  </si>
  <si>
    <t>Pour coloriser les liaison vous pouvez Zoomer de 250 jusqu’à 400%</t>
  </si>
  <si>
    <t>Couleur document : BLANC</t>
  </si>
  <si>
    <t>décocher pour faciliter la lecture à l'écran</t>
  </si>
  <si>
    <t xml:space="preserve">Date : </t>
  </si>
  <si>
    <t>Recette de : Annette et Jean Pierre Domergues Fiches techniques de cuisine  Imprimerie Nouvelle Orléans - 1981 (épuisé)</t>
  </si>
  <si>
    <t xml:space="preserve">Afficher le quadrillage &gt; </t>
  </si>
  <si>
    <t>Version N° 1          Vérification : Stéphane Cadot</t>
  </si>
  <si>
    <t xml:space="preserve">Option  Excel &gt; option avancée &gt; Affichage de la feuille de calcul &gt; </t>
  </si>
  <si>
    <t>PT.00</t>
  </si>
  <si>
    <t>Pour masquer le quadrillage : Fichier &gt;</t>
  </si>
  <si>
    <t>PROCÉDURE TECHNIQUE</t>
  </si>
  <si>
    <t>NAVARIN D'AGNEAU PRINTANIER</t>
  </si>
  <si>
    <t>CUISINE CENTRALE DE ROCHEFORT SUR MER</t>
  </si>
  <si>
    <t>SI(N100="U"; Alors O100*J100; Sinon L100*O100)</t>
  </si>
  <si>
    <t>U</t>
  </si>
  <si>
    <t>unitaire &gt;</t>
  </si>
  <si>
    <t>à l'Unité</t>
  </si>
  <si>
    <t>Poids en Kg</t>
  </si>
  <si>
    <t>Recette éditée le :</t>
  </si>
  <si>
    <t>s'il y a du texte cellule(B82) ; ALORS affiche B82 ; SINON (B82/B$75)*J$73)</t>
  </si>
  <si>
    <t>SI(C65=0; ALORS affiche 0 ; SINON ((N65-(N65*D65%))))</t>
  </si>
  <si>
    <t>; SINON ( multiplie D52 * par B52)</t>
  </si>
  <si>
    <t xml:space="preserve"> ;  SINON si la cellule (B52) est vide; ALORS affiche le poids saisi cellule D52</t>
  </si>
  <si>
    <t xml:space="preserve">S'IL (Y A DU TEXTE dans la cellule (B52) ; ALORS affiche 0 </t>
  </si>
  <si>
    <t>bouquet garni</t>
  </si>
  <si>
    <t>- moins</t>
  </si>
  <si>
    <t>* multiplié</t>
  </si>
  <si>
    <t xml:space="preserve">le deux-points signifie "JUSQU'À". </t>
  </si>
  <si>
    <t>+ plus</t>
  </si>
  <si>
    <t>/ divisé</t>
  </si>
  <si>
    <t>le point virgule signifie ; ALORS ou SINON</t>
  </si>
  <si>
    <t>COMPRENDRE POUR APPRENDRE   -   AMÉLIORER POUR TRANSMETTRE</t>
  </si>
  <si>
    <t>29</t>
  </si>
  <si>
    <t>Grammage BRUT par convive</t>
  </si>
  <si>
    <t>Poids NET pour l'effectif</t>
  </si>
  <si>
    <t>Tableau de commande : saisissez vos valeurs ICI</t>
  </si>
  <si>
    <t>&lt;  les colonnes de saisies précédentes sont masquées</t>
  </si>
  <si>
    <t>FF.1.A</t>
  </si>
  <si>
    <t>Modèle</t>
  </si>
  <si>
    <t>&lt; les 12 colonnes de détail précédentes sont masquées</t>
  </si>
  <si>
    <t>Kg d'agneau</t>
  </si>
  <si>
    <t>ADRESSE(LIGNE(W26);COLONNE(W26);4)</t>
  </si>
  <si>
    <t>Vous…....</t>
  </si>
  <si>
    <t>Auteurs</t>
  </si>
  <si>
    <t>MASQUEZ CES COLONNES</t>
  </si>
  <si>
    <t>à définir</t>
  </si>
  <si>
    <t>NOM DU PLAT</t>
  </si>
  <si>
    <t>SAISIE DES DONNÉES - Masquez ces colonnes</t>
  </si>
  <si>
    <t>Adaptation : Joël Leboucher..UPRT "Union des Personnels de la Restauration Territoriale"  membre du réseau RESTAU'CO</t>
  </si>
  <si>
    <t>FICHE DE FABRICATION - modèle FF.1.A</t>
  </si>
  <si>
    <t xml:space="preserve"> 16 Octobre 2019   Annule et remplace les versions précédentes</t>
  </si>
  <si>
    <t>Dernière mise à jour :</t>
  </si>
  <si>
    <t>Emplacement pour votre Logo</t>
  </si>
  <si>
    <t>FAMILLE DE PRÉPARATIONS</t>
  </si>
  <si>
    <t>DATE :</t>
  </si>
  <si>
    <t>SAUCE FROIDE</t>
  </si>
  <si>
    <t xml:space="preserve">ICI </t>
  </si>
  <si>
    <t>le résultat est A+ sinon la cellule doit être vide (deux guillemets).</t>
  </si>
  <si>
    <t xml:space="preserve">La formule =SI(A1&gt;=95;"A+";"") signifie que si la valeur de la cellule A1 est supérieure ou égale à 95 </t>
  </si>
  <si>
    <t xml:space="preserve">=A1 &amp; " " &amp; "Leclerc". </t>
  </si>
  <si>
    <t>Comme avec les signes mathématiques vous pouvez utiliser des valeurs et des adresses comme dans la formule suivante</t>
  </si>
  <si>
    <t xml:space="preserve"> la formule suivante dans la cellule C1 résultera en Pierre Leclerc : =A1 &amp; " " &amp; B1.</t>
  </si>
  <si>
    <t xml:space="preserve"> Si le prénom Pierre réside dans la cellule A1 et le nom Leclerc est dans la cellule B1</t>
  </si>
  <si>
    <t>SI vous voulez ajouter un espace entre le prénom et le nom, la formule devient ="Pierre" &amp; " " &amp; "Leclerc"</t>
  </si>
  <si>
    <t xml:space="preserve">l'éperluette (&amp;)     La formule ="Pierre" &amp; "Leclerc" résultera en PierreLeclerc. </t>
  </si>
  <si>
    <t>Ainsi =Pierre n'est pas une formule valide alors que ="Pierre" est valide et résultera en Pierre</t>
  </si>
  <si>
    <t>Les guillemets permettent de dire à Excel que ce que vous soumettez est un texte</t>
  </si>
  <si>
    <t>A VOUS D'ADAPTER ET DE FAIRE ÉVOLUER CE DOCUMENT</t>
  </si>
  <si>
    <t>UPRT : Union des Personnels de la Restauration Territoriale</t>
  </si>
  <si>
    <t>Bonne utilisation et… à chacun d'améliorer et d'adapter ces documents</t>
  </si>
  <si>
    <t>le site</t>
  </si>
  <si>
    <t>ma page</t>
  </si>
  <si>
    <t xml:space="preserve"> UPRT</t>
  </si>
  <si>
    <t>les pages Facebook  :</t>
  </si>
  <si>
    <t>Caractères</t>
  </si>
  <si>
    <t>2° Cellule</t>
  </si>
  <si>
    <t>Récupérez votre texte dans la 2° cellule verte - cliquez sur Copier et pour coller dans votre document : collage spécial Valeur pour ne pas copier la formule</t>
  </si>
  <si>
    <t xml:space="preserve">•Contamination microbiologique (B)             •Multiplication des germes (B)      </t>
  </si>
  <si>
    <t>1° Cellule</t>
  </si>
  <si>
    <t>Collez votre texte dans la 1° cellule blanche</t>
  </si>
  <si>
    <t>Utilitaire pour supprimer les espace vides dans une phrase</t>
  </si>
  <si>
    <t>Etc…</t>
  </si>
  <si>
    <t>Pièces individuelles</t>
  </si>
  <si>
    <t>Coussin Cœur St Valentin 2014 - François Perret - Journal du Patissier N° 292 page 40</t>
  </si>
  <si>
    <t>Sirop à Crackers</t>
  </si>
  <si>
    <t>Sauce Fraise</t>
  </si>
  <si>
    <t>Siphon Fraise</t>
  </si>
  <si>
    <t>Gros Gateaux</t>
  </si>
  <si>
    <t>Sorbet Avocat</t>
  </si>
  <si>
    <t>Kappa fraise</t>
  </si>
  <si>
    <t>K</t>
  </si>
  <si>
    <t>Jus de fraise</t>
  </si>
  <si>
    <t>J</t>
  </si>
  <si>
    <t>Insert Kappa fraise</t>
  </si>
  <si>
    <t>I</t>
  </si>
  <si>
    <t>Fraises des bois dans leur jus</t>
  </si>
  <si>
    <t>F</t>
  </si>
  <si>
    <t>Cracker - (Poudre à)</t>
  </si>
  <si>
    <t>Cracker - (Pâte à)</t>
  </si>
  <si>
    <t>Entremets</t>
  </si>
  <si>
    <t>Répertoire "Postits" Alpha par type de fabrication si possible</t>
  </si>
  <si>
    <t>Répertoire Patisserie</t>
  </si>
  <si>
    <t>vous pouvez utiliser un disque dur externe qui vous suivra partout</t>
  </si>
  <si>
    <t>etc...autant de possibilités que de façons de penser</t>
  </si>
  <si>
    <t xml:space="preserve">par ingrédients </t>
  </si>
  <si>
    <t>par technique</t>
  </si>
  <si>
    <t>par famille de produits</t>
  </si>
  <si>
    <t>Créer un ou plusieurs répertoires n'est pas tâche facile…à chacun de classer comme il le souhaite</t>
  </si>
  <si>
    <t>RÉFLEXION SUR DES MODÈLE DE RÉPERTOIRE</t>
  </si>
  <si>
    <t>Saisissez vos valeurs dans les cellules fond ivoire ou jaune</t>
  </si>
  <si>
    <t>%  de PERTE</t>
  </si>
  <si>
    <t xml:space="preserve"> POIDS NET</t>
  </si>
  <si>
    <t xml:space="preserve"> POIDS DE PERTE</t>
  </si>
  <si>
    <t>POIDS de PERTE</t>
  </si>
  <si>
    <t xml:space="preserve"> POIDS BRUT</t>
  </si>
  <si>
    <t>Pourcentages NET / BRUT</t>
  </si>
  <si>
    <t>Aide à la décision</t>
  </si>
  <si>
    <t>%  d'augmentation</t>
  </si>
  <si>
    <t>PRIX D'ACHAT</t>
  </si>
  <si>
    <t>Augmentation</t>
  </si>
  <si>
    <t>PRIX VENTE</t>
  </si>
  <si>
    <t>Prix D'ACHAT / Prix de VENTE</t>
  </si>
  <si>
    <t>du 03-01-2017 - Annule et remplace les versions précédentes</t>
  </si>
  <si>
    <t>Mise à jour</t>
  </si>
  <si>
    <t>Familles de convives :Mater = enfants Maternelles - Prim = enfants de l'enseignement Primaire - Adulte = sédentaire - Adulte + = travailleur de force - Seniors = nos Ainés - je classe les Adolescennts en Adultes +</t>
  </si>
  <si>
    <t>litres</t>
  </si>
  <si>
    <t>Pièce(s)</t>
  </si>
  <si>
    <t>Collez une des unités suivante ou saisissez un nom de produit</t>
  </si>
  <si>
    <t>si vous n'avez pas de perte ne saisissez rien</t>
  </si>
  <si>
    <t>Brut à Commander</t>
  </si>
  <si>
    <t>% de perte</t>
  </si>
  <si>
    <t>Vous devriez préparer :</t>
  </si>
  <si>
    <t xml:space="preserve">Saisissez vos effectifs </t>
  </si>
  <si>
    <t>Que traitez vous : des Kg des litres des pièces - des portions …des poires etc…</t>
  </si>
  <si>
    <t>BONUS</t>
  </si>
  <si>
    <t>A vous de saisir un poids</t>
  </si>
  <si>
    <t>Portions / pièces / parts</t>
  </si>
  <si>
    <t>Vous pourrIez servir</t>
  </si>
  <si>
    <t>de moyenne</t>
  </si>
  <si>
    <t>Saisissez vos grammages nets à servir</t>
  </si>
  <si>
    <t>Seniors</t>
  </si>
  <si>
    <t xml:space="preserve">Poids de votre préparation </t>
  </si>
  <si>
    <t>Vous avez préparé ou il vous reste un poids X d'une préparation. Avec ce poids combien de convives ou combien de portions pourrez vous servir</t>
  </si>
  <si>
    <t>DESCRIPTIF</t>
  </si>
  <si>
    <t>COMBIEN POURRIEZ VOUS SERVIR AVEC</t>
  </si>
  <si>
    <t>Net à préparer :</t>
  </si>
  <si>
    <t>Saisissez vos quantités nets à servir</t>
  </si>
  <si>
    <t xml:space="preserve"> Saisissez vos effectifs - Saisissez vos quantités pour vos familles de convives et vous obtiendrez le net à servir. Avez-vous un pourcentage de perte (à l'épluchage -au parage - en cuisson ou autre)…saisissez le et vous obtiendrez les quantités brutes à commander</t>
  </si>
  <si>
    <t>QUANTITÉS A SERVIR OU A COMMANDER</t>
  </si>
  <si>
    <t>Mise à jour du 3 Janvier 2017</t>
  </si>
  <si>
    <t>COMPLÉMENTS</t>
  </si>
  <si>
    <t>Les Mx cela peut s'appliquer à des morceaux de bourguignon mais aussi des tomates farcies ou des oreillons de pêches au sirop pour le dessert etc..</t>
  </si>
  <si>
    <t>Le contenant peut être une louche pour le service - un gastro pour la cuisson  etc…</t>
  </si>
  <si>
    <t>1 Boite de compote pour 25</t>
  </si>
  <si>
    <t>1 CITRON POUR 4</t>
  </si>
  <si>
    <t>1 plaque pour 8 ( 6 morceau par adulte + )</t>
  </si>
  <si>
    <t>1 plaque pour 16 ( 1 morceau par adulte plus RAB )</t>
  </si>
  <si>
    <t>1 plaque pour 20 ( 1 morceau par primaire plus RAB )</t>
  </si>
  <si>
    <t>1 plaque pour 25 ( 1 morceau par maternelle plus RAB )</t>
  </si>
  <si>
    <t>33 tranches par plaque ( 1.5 tranches par primaire)</t>
  </si>
  <si>
    <t>1 plaque pour 25 ( 1 tranche par maternelle plus RAB )</t>
  </si>
  <si>
    <t>32 tranches par plaque ( 1 plaque pour 16 adultes)</t>
  </si>
  <si>
    <t>table de 12</t>
  </si>
  <si>
    <t>32 tranches par plaque ( 1 plaque pour 26 maternelles)</t>
  </si>
  <si>
    <t>EXEMPLES</t>
  </si>
  <si>
    <t>QUOI ?</t>
  </si>
  <si>
    <t>Police de couleur pour saisir vos valeurs    Noir = formules</t>
  </si>
  <si>
    <t>Nb portions</t>
  </si>
  <si>
    <t>Portion Nb de Mx par portion</t>
  </si>
  <si>
    <t>Total Mx dans 1 contenant</t>
  </si>
  <si>
    <t>pour</t>
  </si>
  <si>
    <t xml:space="preserve">1 plaque hachis parmentier </t>
  </si>
  <si>
    <t xml:space="preserve">1 melon de </t>
  </si>
  <si>
    <t>Poids de la portion</t>
  </si>
  <si>
    <t>Exemples</t>
  </si>
  <si>
    <t>Nb de Portions à servir</t>
  </si>
  <si>
    <t xml:space="preserve"> Poids dans 1 contenant</t>
  </si>
  <si>
    <t>2 =  saisissez le nombre de portions à servir</t>
  </si>
  <si>
    <t>1 = saisissez le poids dans un contenant (une louche - une barquette etc,,)</t>
  </si>
  <si>
    <t xml:space="preserve">1 louche ou 1 contenant pour </t>
  </si>
  <si>
    <t>Poids d' une Portion</t>
  </si>
  <si>
    <t>2 =  saisissez le poids de la portion à servir par convive</t>
  </si>
  <si>
    <t>Tableaux pour service ou cuisson</t>
  </si>
  <si>
    <t>produits entiers</t>
  </si>
  <si>
    <t>Meilleur rapport</t>
  </si>
  <si>
    <t>Écart de poids</t>
  </si>
  <si>
    <t>Poids  produit envoyé</t>
  </si>
  <si>
    <t>Poids  produit à servir</t>
  </si>
  <si>
    <t>enfants</t>
  </si>
  <si>
    <t>parts</t>
  </si>
  <si>
    <t>Grammages à servir</t>
  </si>
  <si>
    <t xml:space="preserve">Poids unitaire du produit </t>
  </si>
  <si>
    <t>POSSON PANÉ</t>
  </si>
  <si>
    <t>Au repas si l'enfant mange beaucoup de pain avec ou en remplacement du plat proposé; les quantités ingérées seront d'autant diminuées. Pour limiter le "gaspillage" et satisfaire les "gourmants"; vous pouvez avoir recours à cet exemple de service.</t>
  </si>
  <si>
    <t>Les quantités consommées par les enfants dépendent :de l'âge, de la saison, du goût, de l'influence des camarades,de l'activité phisique et/ou du grignotage en récréation sans parler du verre de lait (long à digérer) servi parfois trop près de l'heure du repas</t>
  </si>
  <si>
    <t>Police de couleur pour saisir vos valeurs    Noir ou gris = formules</t>
  </si>
  <si>
    <t>Comment respecter un grammage à servir Exemple N° 1</t>
  </si>
  <si>
    <t>Bouillon</t>
  </si>
  <si>
    <t>Semoule cuite</t>
  </si>
  <si>
    <t>légumes couscous cuits</t>
  </si>
  <si>
    <t>Total Mx par convive</t>
  </si>
  <si>
    <t>Ainés</t>
  </si>
  <si>
    <t>Agneau boulettes</t>
  </si>
  <si>
    <t>Agneau en morceaux</t>
  </si>
  <si>
    <t>merguez</t>
  </si>
  <si>
    <t>pilon de poulet</t>
  </si>
  <si>
    <t>haut de cuisse de poulet</t>
  </si>
  <si>
    <t>grammages ou nombre de Morceaux ou tranches à saisir</t>
  </si>
  <si>
    <t>Total Effectifs</t>
  </si>
  <si>
    <t>Effectifs  à saisir</t>
  </si>
  <si>
    <t>Document édité le :</t>
  </si>
  <si>
    <t>COUSCOUS</t>
  </si>
  <si>
    <t>SERVICE EN FONCTION DES EFFECTIFS</t>
  </si>
  <si>
    <t xml:space="preserve">Veullez saisir les informations dans les cellules fond de couleur ivoire. </t>
  </si>
  <si>
    <t>COMPOSITION ET SERVICE D'UN PLAT COMPLET</t>
  </si>
  <si>
    <t>poivrons verts coupés</t>
  </si>
  <si>
    <t>poivrons rouges coupés</t>
  </si>
  <si>
    <t>garniture de céléri branche</t>
  </si>
  <si>
    <t>pois chiches pré-cuits</t>
  </si>
  <si>
    <t>navets coupé</t>
  </si>
  <si>
    <t>courgettescoupées</t>
  </si>
  <si>
    <t>carottes coupées</t>
  </si>
  <si>
    <t>Poids brut à mettre en œuvre</t>
  </si>
  <si>
    <t>perte en cuisson</t>
  </si>
  <si>
    <t>Net cuit</t>
  </si>
  <si>
    <t>POIDS NET A FABRIQUER</t>
  </si>
  <si>
    <t>Composition d'une garniture "COUSCOUS"</t>
  </si>
  <si>
    <t>Vous obtiendrez le poids brut à commander</t>
  </si>
  <si>
    <t>Facultatif Mais si vous saisissez un % la question à vous poser c'est : le produit brut ou cru perd comblien au parage ou en cuisson</t>
  </si>
  <si>
    <t>en moyenne par convive</t>
  </si>
  <si>
    <t>poids de perte</t>
  </si>
  <si>
    <t>Net à servir :</t>
  </si>
  <si>
    <t>Quantités à Prévoir</t>
  </si>
  <si>
    <t xml:space="preserve"> et vos grammages nets à servir</t>
  </si>
  <si>
    <t>Petit utilitaire d'Aide à la décision</t>
  </si>
  <si>
    <t>Combien faut-il commander pour des effectifs et des grammages différents</t>
  </si>
  <si>
    <t>Parts Adultes</t>
  </si>
  <si>
    <t xml:space="preserve"> Effectifs</t>
  </si>
  <si>
    <t>Poids à l'arrondi supérieur</t>
  </si>
  <si>
    <t xml:space="preserve">Adultes </t>
  </si>
  <si>
    <t>Poids reconstitué</t>
  </si>
  <si>
    <t>Beurre</t>
  </si>
  <si>
    <t>Crème fraiche</t>
  </si>
  <si>
    <t>Lait frais</t>
  </si>
  <si>
    <t>Lait déshydraté</t>
  </si>
  <si>
    <t>Eau</t>
  </si>
  <si>
    <t>Purée déshydratée</t>
  </si>
  <si>
    <t xml:space="preserve">Quantité Totale </t>
  </si>
  <si>
    <t>Grammages nets</t>
  </si>
  <si>
    <t>PURÉE DÉSHYDRATÉE</t>
  </si>
  <si>
    <t xml:space="preserve">Quantités nettes à prévoir : Mater - Prim - Adul - Adul+  </t>
  </si>
  <si>
    <t>6 à 11 p.</t>
  </si>
  <si>
    <t>90/150 g</t>
  </si>
  <si>
    <t>pochés,plats complets</t>
  </si>
  <si>
    <t>12 à 16 p.</t>
  </si>
  <si>
    <t>60/80 g</t>
  </si>
  <si>
    <t>ragoûts,braisés</t>
  </si>
  <si>
    <t>Sauce longue</t>
  </si>
  <si>
    <t>pour lier 1L de lait pour gratin d'épinards avec 4 œufs et 120g de gruyère</t>
  </si>
  <si>
    <t>90 gr</t>
  </si>
  <si>
    <t>20 à 25 p.</t>
  </si>
  <si>
    <t>40/50 g</t>
  </si>
  <si>
    <t>pièces sautées</t>
  </si>
  <si>
    <t>Sauce courte</t>
  </si>
  <si>
    <t>33 à 50 p.</t>
  </si>
  <si>
    <t>20/30 g</t>
  </si>
  <si>
    <t>roti,poélé</t>
  </si>
  <si>
    <t>Déglaçage</t>
  </si>
  <si>
    <t>béchamelle gluante, solidification à froid, donc épaississement important lors de la chute en température</t>
  </si>
  <si>
    <t>70/80 gr</t>
  </si>
  <si>
    <t>grillé,frit,nature</t>
  </si>
  <si>
    <t>Sans sauce</t>
  </si>
  <si>
    <t>un velouté ou une sauce veloutée</t>
  </si>
  <si>
    <t>60 gr</t>
  </si>
  <si>
    <t>plus 8 œufs pour crème patissière</t>
  </si>
  <si>
    <t>1 Kg pour :</t>
  </si>
  <si>
    <t>Grammages sauce p.p.</t>
  </si>
  <si>
    <t>Plat mode de cuisson</t>
  </si>
  <si>
    <t>SERVICE DES SAUCES</t>
  </si>
  <si>
    <t>sauce bien liée épaisse</t>
  </si>
  <si>
    <t>50 gr</t>
  </si>
  <si>
    <t>pour quiche avec 2 œufs</t>
  </si>
  <si>
    <t>40 gr</t>
  </si>
  <si>
    <t>1 gr = 2 zéros après la virgule du Kg</t>
  </si>
  <si>
    <t xml:space="preserve">pour lier 1Kg de tomates concassées avec jus </t>
  </si>
  <si>
    <t>30 gr</t>
  </si>
  <si>
    <t xml:space="preserve">sur la base eau : 1L = 1Kg </t>
  </si>
  <si>
    <t xml:space="preserve">pour lier 200g de chair à saucisse pour tomates farcies </t>
  </si>
  <si>
    <t>gr</t>
  </si>
  <si>
    <t>ml</t>
  </si>
  <si>
    <t>0</t>
  </si>
  <si>
    <t xml:space="preserve">pour lier 1L de soupe à l'oignon </t>
  </si>
  <si>
    <t>dag</t>
  </si>
  <si>
    <t>cl</t>
  </si>
  <si>
    <t>dl</t>
  </si>
  <si>
    <t>hg</t>
  </si>
  <si>
    <t>,</t>
  </si>
  <si>
    <t>POUR 1 LITRE DE SAUCE TERMINÉE</t>
  </si>
  <si>
    <t>Saisissez vos valeurs</t>
  </si>
  <si>
    <t>Saisissez votre volume</t>
  </si>
  <si>
    <t>Equivalence litre / Kg</t>
  </si>
  <si>
    <t>LIAISON AU TAPIOCA</t>
  </si>
  <si>
    <t>0,125 kg</t>
  </si>
  <si>
    <t>1,25 dl</t>
  </si>
  <si>
    <t>12, 5 c</t>
  </si>
  <si>
    <t>1/8 litre</t>
  </si>
  <si>
    <t>0,250 kg</t>
  </si>
  <si>
    <t>2,5 dl</t>
  </si>
  <si>
    <t>25 cl</t>
  </si>
  <si>
    <t>1/4 litre</t>
  </si>
  <si>
    <t>0,500 kg</t>
  </si>
  <si>
    <t>5 dl</t>
  </si>
  <si>
    <t>50 cl</t>
  </si>
  <si>
    <t>1/2 litre</t>
  </si>
  <si>
    <t>1 kg</t>
  </si>
  <si>
    <t>10 dl</t>
  </si>
  <si>
    <t>100 cl</t>
  </si>
  <si>
    <t>1litre</t>
  </si>
  <si>
    <t xml:space="preserve">Kilogrammes (kg.) </t>
  </si>
  <si>
    <t xml:space="preserve">Décilitres (dl.) </t>
  </si>
  <si>
    <t xml:space="preserve">Centilitres (cl.) </t>
  </si>
  <si>
    <t xml:space="preserve">Litres (l.) </t>
  </si>
  <si>
    <t>http://www.crenoexpert.fr/flipbooks/expproduit/TABLEAUX-CALIBRES-FRUITS-2.pdf</t>
  </si>
  <si>
    <t>Tableau des calibres Fruits Frais</t>
  </si>
  <si>
    <t>http://www.nubel.be/fra/manual/liste_des_denrees_alimentaires.asp</t>
  </si>
  <si>
    <t>http://www.aliments.org/poids.htm</t>
  </si>
  <si>
    <t>Poids des aliments sur internet</t>
  </si>
  <si>
    <t>densité des liquides pour cocktails</t>
  </si>
  <si>
    <t>eau salée nature = 1,130 Kg/L en fonction du sel ajouté</t>
  </si>
  <si>
    <t>Alcool = 0,800 Kg/L</t>
  </si>
  <si>
    <t>l'huile = 0,920 Kg/L</t>
  </si>
  <si>
    <t xml:space="preserve">Pour le lait demi-écrémé, la graisse ne devrait représenter que 0,03/2, donc 0,015. </t>
  </si>
  <si>
    <t xml:space="preserve">On peut donc considérer que les 0,03 corespondent à la graisse du lait entier. </t>
  </si>
  <si>
    <t xml:space="preserve">Pour le lait entier, la densité donnée habituellement est de 1,03 par rapport à l'eau qui est de 1. </t>
  </si>
  <si>
    <t>botte de fines herbes</t>
  </si>
  <si>
    <t>les ¼ de botte de fines herbes en 0,25 - les demi = 0.5 - les 3/4 = 0.75</t>
  </si>
  <si>
    <t>crème fraiche</t>
  </si>
  <si>
    <t xml:space="preserve"> idem pour les feuilles de gélatine - les pieds de veau -les feuilles de basilic etc….</t>
  </si>
  <si>
    <t>Œufs de 50 g</t>
  </si>
  <si>
    <t>OU vous faites la conversion (2X50g =100g) = 0,100Kg</t>
  </si>
  <si>
    <t>donc pour les produits à l'unité saisissez vos valeurs dans la première colonne</t>
  </si>
  <si>
    <t>Excel calculera 2 comme 2 Kg</t>
  </si>
  <si>
    <t xml:space="preserve">si vous saisissez 2 œufs c'est possible; mais pas dans la même colonne cela fausserait le poids total </t>
  </si>
  <si>
    <t>rapportez tout au Kg = 0,400 Kg de viande</t>
  </si>
  <si>
    <t xml:space="preserve">J'attire votre attention pour la saisie des quantités    supposons qu'il y ait 400g de viande - 2 œufs ou 2 pieds de veau et 5 cl de crème dans la recette </t>
  </si>
  <si>
    <t xml:space="preserve"> la sauce crémée ne se sale pas comme la sauce tomatée etc…….</t>
  </si>
  <si>
    <t>Cuisiniers : PESEZ …..même le sel…..on ne sale pas 50L de sauce à la "chichette" au "pif" ou à l'expérience</t>
  </si>
  <si>
    <t>Les cuisiniers "sont des artistes"……..ce qui ne doit pas les empêcher … d'UTILISEZ UNE BALANCE…...les résultats seront plus réguliers</t>
  </si>
  <si>
    <t>Cuisiniers : PESEZ …..Evitez les volumes , n'utilisez que les poids comme les pâtissiers</t>
  </si>
  <si>
    <t>Pruneau</t>
  </si>
  <si>
    <t>Poulet pac</t>
  </si>
  <si>
    <t>Poulet 4/4</t>
  </si>
  <si>
    <t>Fraise</t>
  </si>
  <si>
    <t>Porc rognon</t>
  </si>
  <si>
    <t>Farine Verre de 20 cl</t>
  </si>
  <si>
    <t>Porc poitrine</t>
  </si>
  <si>
    <t>Farine Tasse thé de 15 cl</t>
  </si>
  <si>
    <t>Porc longe</t>
  </si>
  <si>
    <t>Farine 1 tasse</t>
  </si>
  <si>
    <t>Porc jambon</t>
  </si>
  <si>
    <t>Farine 1 cuillère soupe</t>
  </si>
  <si>
    <t>Porc foie</t>
  </si>
  <si>
    <t>Farine 1 cuillère café</t>
  </si>
  <si>
    <t>Porc cœur</t>
  </si>
  <si>
    <t xml:space="preserve">Porc cervelle </t>
  </si>
  <si>
    <t>Ecrevisse</t>
  </si>
  <si>
    <t>Veau sous noix</t>
  </si>
  <si>
    <t>Pomme terre petite</t>
  </si>
  <si>
    <t>Echalote petite</t>
  </si>
  <si>
    <t>Veau rognon</t>
  </si>
  <si>
    <t>Pomme terre moyenne</t>
  </si>
  <si>
    <t>Echalote moyenne</t>
  </si>
  <si>
    <t>Veau ris</t>
  </si>
  <si>
    <t>Pomme terre grosse</t>
  </si>
  <si>
    <t>Echalote belle</t>
  </si>
  <si>
    <t>Veau noix patissière</t>
  </si>
  <si>
    <t>Pomme fruit moyenne</t>
  </si>
  <si>
    <t>Eau grand verre à eau</t>
  </si>
  <si>
    <t>Veau noix</t>
  </si>
  <si>
    <t>Pomme fruit grosse</t>
  </si>
  <si>
    <t>Veau langue</t>
  </si>
  <si>
    <t>Pomme de terre moyenne</t>
  </si>
  <si>
    <t>Daurade</t>
  </si>
  <si>
    <t>Veau Foie</t>
  </si>
  <si>
    <t>Pomme</t>
  </si>
  <si>
    <t>Veau cœur</t>
  </si>
  <si>
    <t>Pomelos 1/2</t>
  </si>
  <si>
    <t>Cuillère soupe liquide</t>
  </si>
  <si>
    <t>Veau cervelle</t>
  </si>
  <si>
    <t>Poivron</t>
  </si>
  <si>
    <t>Cuillère café liquide</t>
  </si>
  <si>
    <t>Veau carré découvert (5)</t>
  </si>
  <si>
    <t>Poireau moyen</t>
  </si>
  <si>
    <t>Cresson botte</t>
  </si>
  <si>
    <t>Veau carré couvert (5+3)</t>
  </si>
  <si>
    <t>Poireau blanc de</t>
  </si>
  <si>
    <t>Courgette</t>
  </si>
  <si>
    <t>V</t>
  </si>
  <si>
    <t>Poireau beau</t>
  </si>
  <si>
    <t>Coquillette Verre de 20 cl</t>
  </si>
  <si>
    <t>Turbot</t>
  </si>
  <si>
    <t>Pied veau</t>
  </si>
  <si>
    <t>Concombre</t>
  </si>
  <si>
    <t>Truite portion</t>
  </si>
  <si>
    <t>Pêche</t>
  </si>
  <si>
    <t>Colin</t>
  </si>
  <si>
    <t>Tomate petite</t>
  </si>
  <si>
    <t>Pamplemousse</t>
  </si>
  <si>
    <t>Clémentine</t>
  </si>
  <si>
    <t>Tomate moyenne</t>
  </si>
  <si>
    <t>Citron moyen</t>
  </si>
  <si>
    <t>Tomate grosse</t>
  </si>
  <si>
    <t>Orange moyenne</t>
  </si>
  <si>
    <t>Choux vert</t>
  </si>
  <si>
    <t>Thon boite 4/4 saladière</t>
  </si>
  <si>
    <t>Orange</t>
  </si>
  <si>
    <t>Choux fleur</t>
  </si>
  <si>
    <t>Thon boite 1/8</t>
  </si>
  <si>
    <t>Olives</t>
  </si>
  <si>
    <t>Cerises</t>
  </si>
  <si>
    <t>Thon boite 1/6 basse</t>
  </si>
  <si>
    <t>Oignon moyen</t>
  </si>
  <si>
    <t>Céléri rave</t>
  </si>
  <si>
    <t>Thon boite 1/5</t>
  </si>
  <si>
    <t>Œufs jaune</t>
  </si>
  <si>
    <t>Céléri 1 branche</t>
  </si>
  <si>
    <t>Thon boite 1/3 saladière</t>
  </si>
  <si>
    <t>Œufs entiers</t>
  </si>
  <si>
    <t>Carotte moyenne</t>
  </si>
  <si>
    <t>Thon boite 1/10</t>
  </si>
  <si>
    <t>Œufs blanc d'</t>
  </si>
  <si>
    <t>Canard vidé</t>
  </si>
  <si>
    <t>Tapioca Tasse thé de 15 cl</t>
  </si>
  <si>
    <t>Œufs 1 douzaine</t>
  </si>
  <si>
    <t>Cacao Tasse thé de 15 cl</t>
  </si>
  <si>
    <t>T</t>
  </si>
  <si>
    <t>Oeuf petit</t>
  </si>
  <si>
    <t>Cacao poudre 1 cuillère soupe</t>
  </si>
  <si>
    <t>Sucre Verre de 20 cl</t>
  </si>
  <si>
    <t>Oeuf moyen</t>
  </si>
  <si>
    <t>Sucre semoule 1 tasse</t>
  </si>
  <si>
    <t>Oeuf gros</t>
  </si>
  <si>
    <t>Brochet</t>
  </si>
  <si>
    <t>Sucre semoule 1 cuillère soupe</t>
  </si>
  <si>
    <t>Oeuf  le blanc</t>
  </si>
  <si>
    <t>Bœuf train côtes milieu</t>
  </si>
  <si>
    <t>Sucre semoule 1 cuillère café</t>
  </si>
  <si>
    <t>O</t>
  </si>
  <si>
    <t>Bœuf rognon</t>
  </si>
  <si>
    <t>Sucre morceaux</t>
  </si>
  <si>
    <t>Noix épluchées Tasse thé de 15 cl</t>
  </si>
  <si>
    <t>Bœuf langue</t>
  </si>
  <si>
    <t>Sole T4 + de</t>
  </si>
  <si>
    <t>Noix</t>
  </si>
  <si>
    <t>Bœuf foie</t>
  </si>
  <si>
    <t>N</t>
  </si>
  <si>
    <t>Bœuf filet</t>
  </si>
  <si>
    <t>Sole T3</t>
  </si>
  <si>
    <t>Mouton selle anglaise</t>
  </si>
  <si>
    <t>Bœuf faux filet</t>
  </si>
  <si>
    <t>Sole T2</t>
  </si>
  <si>
    <t>Mouton gigot raccourci</t>
  </si>
  <si>
    <t>Bœuf entrecôte</t>
  </si>
  <si>
    <t>Sole T1</t>
  </si>
  <si>
    <t>Mouton épaule</t>
  </si>
  <si>
    <t>Bœuf cœur</t>
  </si>
  <si>
    <t>Semoule Verre de 20 cl</t>
  </si>
  <si>
    <t>Mouton cœur</t>
  </si>
  <si>
    <t>Bœuf Cervelle</t>
  </si>
  <si>
    <t>Semoule Tasse thé de 15 cl</t>
  </si>
  <si>
    <t xml:space="preserve">Mouton cervelle </t>
  </si>
  <si>
    <t>Beurre 1 tasse</t>
  </si>
  <si>
    <t>Sel pour 1 Kg Semoule a couscous</t>
  </si>
  <si>
    <t>Mouton carré découvert (5)</t>
  </si>
  <si>
    <t>Beurre 1 noix</t>
  </si>
  <si>
    <t>Sel pour 1 Kg Saucisse a griller</t>
  </si>
  <si>
    <t>Mouton carré couvert (5+3)</t>
  </si>
  <si>
    <t>Beurre 1 noisette</t>
  </si>
  <si>
    <t>Sel pour 1 Kg Pommes terre</t>
  </si>
  <si>
    <t>Mouton 1/2 carcasse</t>
  </si>
  <si>
    <t>Beurre 1 cuillère soupe</t>
  </si>
  <si>
    <t>Sel pour 1 Kg Pâtes alimentaires</t>
  </si>
  <si>
    <t>Merlan</t>
  </si>
  <si>
    <t>Beurre 1 cuillère café</t>
  </si>
  <si>
    <t>Sel pour 1 Kg Merguez</t>
  </si>
  <si>
    <t>Melon portion</t>
  </si>
  <si>
    <t>Baton de vanille</t>
  </si>
  <si>
    <t>Sel pour 1 Kg Foie gras</t>
  </si>
  <si>
    <t>Melon gros</t>
  </si>
  <si>
    <t>Banane</t>
  </si>
  <si>
    <t>Sel pour 1 Kg Blé</t>
  </si>
  <si>
    <t>Maizena 1 cuillère soupe</t>
  </si>
  <si>
    <t>Sel fin 1 tasse</t>
  </si>
  <si>
    <t>Avocat entier</t>
  </si>
  <si>
    <t>Sel fin 1 cuillère soupe rase</t>
  </si>
  <si>
    <t>Lentilles Verre de 20 cl</t>
  </si>
  <si>
    <t>Avocat 1/2</t>
  </si>
  <si>
    <t>Sel fin 1 cuillère café rase</t>
  </si>
  <si>
    <t>Lapin vidé</t>
  </si>
  <si>
    <t>Artichaut</t>
  </si>
  <si>
    <t>Sel 1 pincée</t>
  </si>
  <si>
    <t>Ananas</t>
  </si>
  <si>
    <t>Sardine</t>
  </si>
  <si>
    <t>Homard petit</t>
  </si>
  <si>
    <t>Ail tête</t>
  </si>
  <si>
    <t>Homard moyen</t>
  </si>
  <si>
    <t>Ail gousse moyenne</t>
  </si>
  <si>
    <t>Riz long Verre de 20 cl</t>
  </si>
  <si>
    <t>Haricot sec Verre de 20 cl</t>
  </si>
  <si>
    <t>Ail gousse</t>
  </si>
  <si>
    <t>Raisin sec Tasse thé de 15 cl</t>
  </si>
  <si>
    <t>Hareng</t>
  </si>
  <si>
    <t>Abricot</t>
  </si>
  <si>
    <t>R</t>
  </si>
  <si>
    <t>Poids Brut</t>
  </si>
  <si>
    <t>Poids unitaire</t>
  </si>
  <si>
    <t>Produits</t>
  </si>
  <si>
    <t>Saisissez votre nombre d'unité (encre rouge)- Modifiez le poids unitaire (encre bleue) s'il n'est pas excact</t>
  </si>
  <si>
    <t>Convertissez  les volumes en poids sur la base de 1L = 1Kg  et le nombre de pièces en Kg</t>
  </si>
  <si>
    <t>servir tiède</t>
  </si>
  <si>
    <t>maintenir au froid + 3°C maxi</t>
  </si>
  <si>
    <t>maintenir au bain marie + 65°C</t>
  </si>
  <si>
    <t>maintenir à température + 63°C</t>
  </si>
  <si>
    <t>reserver dans des bacs</t>
  </si>
  <si>
    <t>réserver au froid</t>
  </si>
  <si>
    <t>réserver au frais</t>
  </si>
  <si>
    <t>https://www.encoreungateau.com/pourquoi-un-blog-de-patisserie/vocabulaire-du-patissier/</t>
  </si>
  <si>
    <t>refroidir en cellule</t>
  </si>
  <si>
    <t>filmer et stocker en chambre froide</t>
  </si>
  <si>
    <t>https://devenirpatissier.fr/vocabulaire-professionnel/</t>
  </si>
  <si>
    <t>débarrasser dans un récipient</t>
  </si>
  <si>
    <t>http://technologiepatisserie.blogspot.com/p/le-vocabulaire-professionnel-en.html</t>
  </si>
  <si>
    <t>répartir le fond de cuisson</t>
  </si>
  <si>
    <t>http://devenir.patissier.free.fr/cours-CAP-vocabulaire-professionnel-eleve.pdf</t>
  </si>
  <si>
    <t>rendre onctueux l'appareil</t>
  </si>
  <si>
    <t>rectifier l'assaisonnement</t>
  </si>
  <si>
    <t>https://www.passionpatisserie.fr/lexique</t>
  </si>
  <si>
    <t>mixer et passer au chinois</t>
  </si>
  <si>
    <t>mélanger et porter à ébullition</t>
  </si>
  <si>
    <t>dresser sur assiette</t>
  </si>
  <si>
    <r>
      <t>Zester </t>
    </r>
    <r>
      <rPr>
        <sz val="9.9"/>
        <color rgb="FF434343"/>
        <rFont val="Arial"/>
        <family val="2"/>
      </rPr>
      <t>: retirer la partie extérieure de l’écorce d’agrumes (citrons, oranges, pamplemousse….) à l’aide d’un zesteur ou d’une râpe.</t>
    </r>
  </si>
  <si>
    <t>dresser à la poche</t>
  </si>
  <si>
    <r>
      <t>Zeste </t>
    </r>
    <r>
      <rPr>
        <sz val="9.9"/>
        <color rgb="FF434343"/>
        <rFont val="Arial"/>
        <family val="2"/>
      </rPr>
      <t>: peau découpée dans l’écorce des agrumes.</t>
    </r>
  </si>
  <si>
    <t>disperser au fouet</t>
  </si>
  <si>
    <r>
      <t>Vanner </t>
    </r>
    <r>
      <rPr>
        <sz val="9.9"/>
        <color rgb="FF434343"/>
        <rFont val="Arial"/>
        <family val="2"/>
      </rPr>
      <t>: remuer une sauce ou une crème pendant son refroidissement pour la rendre homogène, limité son dessèchement en surface et accélérer sa descente en température.</t>
    </r>
  </si>
  <si>
    <t>préchauffer le four</t>
  </si>
  <si>
    <t>–  enrober des bonbons, des intérieurs, des fruits dans du chocolat de couverture ou du fondant.</t>
  </si>
  <si>
    <t>piquer la sonde à cœur</t>
  </si>
  <si>
    <t>–  imbiber une pièce de pâtisseries avec du sirop</t>
  </si>
  <si>
    <t>passer au four très chaud</t>
  </si>
  <si>
    <r>
      <t>Tremper </t>
    </r>
    <r>
      <rPr>
        <sz val="9.9"/>
        <color rgb="FF434343"/>
        <rFont val="Arial"/>
        <family val="2"/>
      </rPr>
      <t>:</t>
    </r>
  </si>
  <si>
    <t>laisser cuire</t>
  </si>
  <si>
    <r>
      <t>Tourer </t>
    </r>
    <r>
      <rPr>
        <sz val="9.9"/>
        <color rgb="FF434343"/>
        <rFont val="Arial"/>
        <family val="2"/>
      </rPr>
      <t>: action de plier  en trois ou en quatre un pâton de pâte levée, feuilletée, après l’avoir allongée.</t>
    </r>
  </si>
  <si>
    <t>Éditions BPI 2006</t>
  </si>
  <si>
    <t>griller et finir au four</t>
  </si>
  <si>
    <t>300 Fiches Techniques</t>
  </si>
  <si>
    <t>finir de cuire</t>
  </si>
  <si>
    <r>
      <t>Tabler </t>
    </r>
    <r>
      <rPr>
        <sz val="9.9"/>
        <color rgb="FF434343"/>
        <rFont val="Arial"/>
        <family val="2"/>
      </rPr>
      <t>: technique de pré-cristallisation du chocolat de couverture sur un marbre.</t>
    </r>
  </si>
  <si>
    <t>Cuisine et Pâtisserie</t>
  </si>
  <si>
    <t>enfourner et cuire</t>
  </si>
  <si>
    <t>LA CUISINE DE COLLECTIVITÉ</t>
  </si>
  <si>
    <t>cuire sans coloration</t>
  </si>
  <si>
    <r>
      <t>Sabler </t>
    </r>
    <r>
      <rPr>
        <sz val="9.9"/>
        <color rgb="FF434343"/>
        <rFont val="Arial"/>
        <family val="2"/>
      </rPr>
      <t>: opération qui consiste à brasser de la farine et de la matière grasse jusqu’à l’obtention d’un mélange rappelant la texture du sable.</t>
    </r>
  </si>
  <si>
    <t>cuire légèrement croquant</t>
  </si>
  <si>
    <t>cuire à l'eau salée</t>
  </si>
  <si>
    <r>
      <t>Ruban </t>
    </r>
    <r>
      <rPr>
        <sz val="9.9"/>
        <color rgb="FF434343"/>
        <rFont val="Arial"/>
        <family val="2"/>
      </rPr>
      <t>: préparation qui, après avoir été travaillé au fouet ou à la spatule, se glisse comme un ruban lorsqu’on la fait retomber de hauteur (ex : génoise).</t>
    </r>
  </si>
  <si>
    <t>Je vous conseille de faire l'acquisition de l'excellent ouvrage de Michel Grossmann et Alain Le Franc</t>
  </si>
  <si>
    <t>cuire à la vapeur</t>
  </si>
  <si>
    <r>
      <t>Rompre </t>
    </r>
    <r>
      <rPr>
        <sz val="9.9"/>
        <color rgb="FF434343"/>
        <rFont val="Arial"/>
        <family val="2"/>
      </rPr>
      <t>: actions manuelles consistant après un certain temps de pointage, a rabattre une pâte levée, fermentée, pour en chasser les gaz produits, avant le façonnage.</t>
    </r>
  </si>
  <si>
    <t>cuire à four moyen</t>
  </si>
  <si>
    <r>
      <t>Rognures </t>
    </r>
    <r>
      <rPr>
        <sz val="9.9"/>
        <color rgb="FF434343"/>
        <rFont val="Arial"/>
        <family val="2"/>
      </rPr>
      <t>: chutes de pâtisseries provenant de découpes de pâtes, d’entremets.</t>
    </r>
  </si>
  <si>
    <t>Cette Méthode de fabrication est citée à titre d'exemple</t>
  </si>
  <si>
    <t>cuire a feu vif</t>
  </si>
  <si>
    <r>
      <t>Retomber </t>
    </r>
    <r>
      <rPr>
        <sz val="9.9"/>
        <color rgb="FF434343"/>
        <rFont val="Arial"/>
        <family val="2"/>
      </rPr>
      <t>: se dit d’une pâte, d’un appareil dont le volume diminue après avoir augmenté pendant le montage ou la cuisson.</t>
    </r>
  </si>
  <si>
    <t>cuire à feu doux</t>
  </si>
  <si>
    <t>cuire à couvert</t>
  </si>
  <si>
    <r>
      <t>Puncher (synonyme d’imbiber)</t>
    </r>
    <r>
      <rPr>
        <sz val="9.9"/>
        <color rgb="FF434343"/>
        <rFont val="Arial"/>
        <family val="2"/>
      </rPr>
      <t>: rayer avec la pointe de la lame d’un couteau d’office, inciser de raies parallèles la surface de certains gâteaux préalablement passée à la dorure afin de parfaire la présentation.</t>
    </r>
  </si>
  <si>
    <t>et de croûtons frits</t>
  </si>
  <si>
    <r>
      <t>Punch </t>
    </r>
    <r>
      <rPr>
        <sz val="9.9"/>
        <color rgb="FF434343"/>
        <rFont val="Arial"/>
        <family val="2"/>
      </rPr>
      <t>: mélange de sirop de sucre et d’un autre ingrédient (alcool, café, jus ou purée de fruits, vanille etc…).</t>
    </r>
  </si>
  <si>
    <t>ou de pommes purée à l'huile d'olive</t>
  </si>
  <si>
    <r>
      <t>Pointage </t>
    </r>
    <r>
      <rPr>
        <sz val="9.9"/>
        <color rgb="FF434343"/>
        <rFont val="Arial"/>
        <family val="2"/>
      </rPr>
      <t>: technique survenant après le pétrissage d’une pâte levée, fermentée, permettant à la première fermentation de se réaliser et de développer des arômes caractéristiques, mais aussi de renforcer le corps de la pâte avant son façonnage.</t>
    </r>
  </si>
  <si>
    <t>en robe des champs</t>
  </si>
  <si>
    <t>sauter au beurre et à l'huile</t>
  </si>
  <si>
    <r>
      <t>Pocher </t>
    </r>
    <r>
      <rPr>
        <sz val="9.9"/>
        <color rgb="FF434343"/>
        <rFont val="Arial"/>
        <family val="2"/>
      </rPr>
      <t>: opération qui consiste à cuire une préparation ou des aliments dans un liquide (eau, sirop, etc…) à une température basse, généralement comprise entre 70° et 85°C.</t>
    </r>
  </si>
  <si>
    <t>de pommes de terre à l'anglaise</t>
  </si>
  <si>
    <t>réduire le vin</t>
  </si>
  <si>
    <r>
      <t>Pincer </t>
    </r>
    <r>
      <rPr>
        <sz val="9.9"/>
        <color rgb="FF434343"/>
        <rFont val="Arial"/>
        <family val="2"/>
      </rPr>
      <t>: faire un décor sur le pourtour d’une tarte à l’aide d’une pince spéciale.</t>
    </r>
  </si>
  <si>
    <t xml:space="preserve"> La brandade de morue peut être accompagnée </t>
  </si>
  <si>
    <t>Ⓒ</t>
  </si>
  <si>
    <t>rafraichir et égoutter</t>
  </si>
  <si>
    <r>
      <t>Piquer </t>
    </r>
    <r>
      <rPr>
        <sz val="9.9"/>
        <color rgb="FF434343"/>
        <rFont val="Arial"/>
        <family val="2"/>
      </rPr>
      <t>: percer de nombreux petits trous la surface d’une abaisse de pâte à l’aide d’une fourchette ou d’un pique vite, dans le but d’empêcher la formation de boursouflures durant la cuisson.</t>
    </r>
  </si>
  <si>
    <t>porter à ébullition</t>
  </si>
  <si>
    <r>
      <t>Pâton </t>
    </r>
    <r>
      <rPr>
        <sz val="9.9"/>
        <color rgb="FF434343"/>
        <rFont val="Arial"/>
        <family val="2"/>
      </rPr>
      <t>: nom donné à un morceau de pâte pesé et prêt à être façonné.</t>
    </r>
  </si>
  <si>
    <t>C'est à tort que l'on appelle brandade celle additionnée de purée de pomme de terre</t>
  </si>
  <si>
    <t>Ⓑ</t>
  </si>
  <si>
    <t>napper de sauce</t>
  </si>
  <si>
    <r>
      <t>Passer </t>
    </r>
    <r>
      <rPr>
        <sz val="9.9"/>
        <color rgb="FF434343"/>
        <rFont val="Arial"/>
        <family val="2"/>
      </rPr>
      <t>: faire traverser un liquide dans un ustensile percé de trous  pour en retenir en général les impuretés (ex : chinois,  passoire, tamis).</t>
    </r>
  </si>
  <si>
    <t>mouiller au vin blanc</t>
  </si>
  <si>
    <r>
      <t>Pasteuriser </t>
    </r>
    <r>
      <rPr>
        <sz val="9.9"/>
        <color rgb="FF434343"/>
        <rFont val="Arial"/>
        <family val="2"/>
      </rPr>
      <t>: action de soumettre une préparation à un traitement thermique (Température inférieure à 100°C), pendant un temps défini, afin de détruire d’éventuels germes pathogènes et de prolonger leur conservations.</t>
    </r>
  </si>
  <si>
    <t xml:space="preserve"> La brandade de morue n'est constituée que de poisson</t>
  </si>
  <si>
    <t>Ⓐ</t>
  </si>
  <si>
    <t>monter au beurre</t>
  </si>
  <si>
    <t>Commentaires</t>
  </si>
  <si>
    <t xml:space="preserve">❽ </t>
  </si>
  <si>
    <t>lustrer à l'huie</t>
  </si>
  <si>
    <r>
      <t>Napper </t>
    </r>
    <r>
      <rPr>
        <sz val="9.9"/>
        <color rgb="FF434343"/>
        <rFont val="Arial"/>
        <family val="2"/>
      </rPr>
      <t>: verser sur un met chaud ou froid une sauce, une gelée, ou une crème pour le recouvrir complètement.</t>
    </r>
  </si>
  <si>
    <t>lier la cuisson</t>
  </si>
  <si>
    <t>incorporer dans la sauce</t>
  </si>
  <si>
    <r>
      <t>Mouler </t>
    </r>
    <r>
      <rPr>
        <sz val="9.9"/>
        <color rgb="FF434343"/>
        <rFont val="Arial"/>
        <family val="2"/>
      </rPr>
      <t>: verser une substance ou une préparation liquide ou semi-liquide dans un moule pour en obtenir une reproduction de sa forme après solidification.</t>
    </r>
  </si>
  <si>
    <t>Servir une portion sur chaque assiette et garnir de toasts (facultatif)</t>
  </si>
  <si>
    <t>faire suer</t>
  </si>
  <si>
    <t>– assembler les différentes parties d’une pâtisserie pour en faire un gâteau plus ou moins important (monter un entremet, pièce montée).</t>
  </si>
  <si>
    <t>Détailler chaque bac GN en 12 portions</t>
  </si>
  <si>
    <t>faire sauter vivement</t>
  </si>
  <si>
    <t>–  battre au fouet une substance ou un appareil pour le rendre plus léger et en augmenter le volume (ex : blanc en neige).</t>
  </si>
  <si>
    <t>Dresser et servir</t>
  </si>
  <si>
    <t>étuver au beurre</t>
  </si>
  <si>
    <r>
      <t>Monter </t>
    </r>
    <r>
      <rPr>
        <sz val="9.9"/>
        <color rgb="FF434343"/>
        <rFont val="Arial"/>
        <family val="2"/>
      </rPr>
      <t>:</t>
    </r>
  </si>
  <si>
    <t>égoutter et débarrasser</t>
  </si>
  <si>
    <r>
      <t>Masquer </t>
    </r>
    <r>
      <rPr>
        <sz val="9.9"/>
        <color rgb="FF434343"/>
        <rFont val="Arial"/>
        <family val="2"/>
      </rPr>
      <t>: recouvrir un entremets ou un fond de plat d’une légère couche de crème, de sauce ou de gelée.</t>
    </r>
  </si>
  <si>
    <t>dégraisser en partie</t>
  </si>
  <si>
    <r>
      <t>Marbrer </t>
    </r>
    <r>
      <rPr>
        <sz val="9.9"/>
        <color rgb="FF434343"/>
        <rFont val="Arial"/>
        <family val="2"/>
      </rPr>
      <t>: réaliser divers dessins sur des gâteaux glacés (au fondant, au nappage etc …) pour améliorer leur présentation.</t>
    </r>
  </si>
  <si>
    <t>Stocker en armoire chaude et maintenir à + 63 °C, en attente de consommation.</t>
  </si>
  <si>
    <t>déglacer au vin blanc</t>
  </si>
  <si>
    <r>
      <t>Macérer </t>
    </r>
    <r>
      <rPr>
        <sz val="9.9"/>
        <color rgb="FF434343"/>
        <rFont val="Arial"/>
        <family val="2"/>
      </rPr>
      <t>: opération consistant à faire tremper un corps dans un liquide froid pour en extraire les parties solubles ou un produit alimentaire pour le parfumer ou le conserver.</t>
    </r>
  </si>
  <si>
    <t>Respecter la procédure de fin de cuisson</t>
  </si>
  <si>
    <t xml:space="preserve"> et gratiner légèrement la surface</t>
  </si>
  <si>
    <r>
      <t>Lustrer </t>
    </r>
    <r>
      <rPr>
        <sz val="9.9"/>
        <color rgb="FF434343"/>
        <rFont val="Arial"/>
        <family val="2"/>
      </rPr>
      <t>: recouvrir de nappage de gelée ou de beurre fondu, une préparation afin de lui donner un aspect brillant.</t>
    </r>
  </si>
  <si>
    <t xml:space="preserve"> Passer au four en chaleur sèche à + 170 °C</t>
  </si>
  <si>
    <t>vérifier la consistance</t>
  </si>
  <si>
    <r>
      <t>Lisser </t>
    </r>
    <r>
      <rPr>
        <sz val="9.9"/>
        <color rgb="FF434343"/>
        <rFont val="Arial"/>
        <family val="2"/>
      </rPr>
      <t>: mélanger une préparation pour la rendre homogène.</t>
    </r>
  </si>
  <si>
    <t>Gratiner</t>
  </si>
  <si>
    <t>saupoudrer légèrement</t>
  </si>
  <si>
    <t>saler en cours de cuisson</t>
  </si>
  <si>
    <r>
      <t>Infuser </t>
    </r>
    <r>
      <rPr>
        <sz val="9.9"/>
        <color rgb="FF434343"/>
        <rFont val="Arial"/>
        <family val="2"/>
      </rPr>
      <t>: opération consistant à placer une substance aromatique dans un liquide chauffé au préalable, pendant un temps déterminé et à couvert pour capter son arôme.</t>
    </r>
  </si>
  <si>
    <t>Étager les bacs sur l'échelle de cuisson</t>
  </si>
  <si>
    <t>reviser l'assaisonnement</t>
  </si>
  <si>
    <r>
      <t>Imbiber </t>
    </r>
    <r>
      <rPr>
        <sz val="9.9"/>
        <color rgb="FF434343"/>
        <rFont val="Arial"/>
        <family val="2"/>
      </rPr>
      <t>: c’est faire pénétrer un liquide (sirop, alcool, liqueur etc…) dans une préparation dans le but de la rendre moins sèche ou dans le but de la parfumer.</t>
    </r>
  </si>
  <si>
    <t>https://www.unamur.be/services/sevrexe/prodoc/documents-mission-accompagnement-prodoc-AL/verbes-actions</t>
  </si>
  <si>
    <t>Verbes d'action Lien &gt;</t>
  </si>
  <si>
    <t>Parsemer de parcelles de beurre</t>
  </si>
  <si>
    <t>passer la sauce</t>
  </si>
  <si>
    <t>Le dictionnaire du boucher</t>
  </si>
  <si>
    <t>Saupoudrer d'emmenthal râpé</t>
  </si>
  <si>
    <t>crémer-réduire</t>
  </si>
  <si>
    <r>
      <t>Graisser </t>
    </r>
    <r>
      <rPr>
        <sz val="9.9"/>
        <color rgb="FF434343"/>
        <rFont val="Arial"/>
        <family val="2"/>
      </rPr>
      <t>: enduire d’une couche de matière grasse à l’aide d’un pinceau ou d’une bombe à graisse les parois d’un moule ou une plaque.</t>
    </r>
  </si>
  <si>
    <t>Lexique en français de la boucherie</t>
  </si>
  <si>
    <t xml:space="preserve">Égaliser la surface </t>
  </si>
  <si>
    <t>blanchir-rafraichir-couper</t>
  </si>
  <si>
    <r>
      <t>Grainage </t>
    </r>
    <r>
      <rPr>
        <sz val="9.9"/>
        <color rgb="FF434343"/>
        <rFont val="Arial"/>
        <family val="2"/>
      </rPr>
      <t>: phénomène résultant de la déstabilisation d’une mousse alimentaire (ex : blancs montés) ou d’une émulsion mousseuse (ex : crème fouettée) à la suite d’un battage prolongé.</t>
    </r>
  </si>
  <si>
    <t>beurrer grassement</t>
  </si>
  <si>
    <t>– rendre brillant la surface d’une pâtisserie avec du sirop avant le passage au four ou saupoudrer une pièce de sucre glace et la passer au four, le temps de caraméliser le sucre.</t>
  </si>
  <si>
    <t>Dans les 8 bacs GN 1/1 beurrés, répartir la brandade Bénédictine</t>
  </si>
  <si>
    <t xml:space="preserve">arroser de liqueur </t>
  </si>
  <si>
    <t>– action de recouvrir partiellement ou entièrement la surface d’une pâtisserie avec un glaçage (ex : fondant)</t>
  </si>
  <si>
    <t>Exprimer</t>
  </si>
  <si>
    <t>Décanter la préparation</t>
  </si>
  <si>
    <t>arroser de beurre noisette</t>
  </si>
  <si>
    <r>
      <t>Glacer </t>
    </r>
    <r>
      <rPr>
        <sz val="9.9"/>
        <color rgb="FF434343"/>
        <rFont val="Arial"/>
        <family val="2"/>
      </rPr>
      <t>:</t>
    </r>
  </si>
  <si>
    <t>Quadriller</t>
  </si>
  <si>
    <t>Lyophiliser</t>
  </si>
  <si>
    <t>Evider</t>
  </si>
  <si>
    <t>Culotter</t>
  </si>
  <si>
    <t>ajouter dans l'ordre les autres éléments</t>
  </si>
  <si>
    <r>
      <t>Garnir </t>
    </r>
    <r>
      <rPr>
        <sz val="9.9"/>
        <color rgb="FF434343"/>
        <rFont val="Arial"/>
        <family val="2"/>
      </rPr>
      <t>: remplir avec une préparation de crème ou autres un fond de gâteau, un moule, une poche.</t>
    </r>
  </si>
  <si>
    <t>Q</t>
  </si>
  <si>
    <t>Luter</t>
  </si>
  <si>
    <t>Etuver</t>
  </si>
  <si>
    <t>Cuire</t>
  </si>
  <si>
    <t xml:space="preserve"> Rectifier la consistance</t>
  </si>
  <si>
    <t>adjoindre de la creme</t>
  </si>
  <si>
    <t>Lustrer</t>
  </si>
  <si>
    <t>Etouffer</t>
  </si>
  <si>
    <t>Crouter</t>
  </si>
  <si>
    <t xml:space="preserve"> Travailler</t>
  </si>
  <si>
    <r>
      <t>Fraser </t>
    </r>
    <r>
      <rPr>
        <sz val="9.9"/>
        <color rgb="FF434343"/>
        <rFont val="Arial"/>
        <family val="2"/>
      </rPr>
      <t>: écraser les ingrédients d’une pâte pour les agglomérer soit sur le marbre avec la paume de la main en la poussant devant soi, soit au batteur en écrasant avec la paume de sa main sur les parois.</t>
    </r>
  </si>
  <si>
    <t>faire</t>
  </si>
  <si>
    <t>Puncher</t>
  </si>
  <si>
    <t>Lisser</t>
  </si>
  <si>
    <t>Etoffer</t>
  </si>
  <si>
    <t>Crever</t>
  </si>
  <si>
    <t xml:space="preserve"> Finir de lier la brandade en ajoutant la purée.</t>
  </si>
  <si>
    <r>
      <t>Foisonnement</t>
    </r>
    <r>
      <rPr>
        <sz val="9.9"/>
        <color rgb="FF434343"/>
        <rFont val="Arial"/>
        <family val="2"/>
      </rPr>
      <t>: phénomène résultant d’une augmentation de volume d’une fabrication par incorporation de gaz.</t>
    </r>
  </si>
  <si>
    <t>vérifier</t>
  </si>
  <si>
    <t>extraire</t>
  </si>
  <si>
    <t>Protéger</t>
  </si>
  <si>
    <t>Limoner</t>
  </si>
  <si>
    <t>Etaler</t>
  </si>
  <si>
    <t>Crémer</t>
  </si>
  <si>
    <t>Poivrer et muscader</t>
  </si>
  <si>
    <t>couper en 2</t>
  </si>
  <si>
    <r>
      <t>Fond </t>
    </r>
    <r>
      <rPr>
        <sz val="9.9"/>
        <color rgb="FF434343"/>
        <rFont val="Arial"/>
        <family val="2"/>
      </rPr>
      <t>: pâtisseries utilisée comme base de fabrication et constituant généralement la couche inférieure des gâteaux.</t>
    </r>
  </si>
  <si>
    <t>vaporiser</t>
  </si>
  <si>
    <t>exploiter</t>
  </si>
  <si>
    <t>Surgeler</t>
  </si>
  <si>
    <t>Préparer</t>
  </si>
  <si>
    <t>Lier</t>
  </si>
  <si>
    <t>Escaloper</t>
  </si>
  <si>
    <t>Craquer</t>
  </si>
  <si>
    <t>On doit obtenir une pâte homogène et compacte</t>
  </si>
  <si>
    <t>ciseler finement</t>
  </si>
  <si>
    <r>
      <t>Foncer </t>
    </r>
    <r>
      <rPr>
        <sz val="9.9"/>
        <color rgb="FF434343"/>
        <rFont val="Arial"/>
        <family val="2"/>
      </rPr>
      <t>: tapisser l’intérieur d’un moule ou d’un cercle avec de la pâte, pour qu’elle épouse parfaitement sa forme.</t>
    </r>
  </si>
  <si>
    <t>utiliser</t>
  </si>
  <si>
    <t>exécuter</t>
  </si>
  <si>
    <t>Suer</t>
  </si>
  <si>
    <t>Prélever</t>
  </si>
  <si>
    <t>Lever</t>
  </si>
  <si>
    <t>Equeter</t>
  </si>
  <si>
    <t>Coucher</t>
  </si>
  <si>
    <r>
      <t>Fleurer </t>
    </r>
    <r>
      <rPr>
        <sz val="9.9"/>
        <color rgb="FF434343"/>
        <rFont val="Arial"/>
        <family val="2"/>
      </rPr>
      <t>: saupoudrer de farine un tour, une plaque ou un moule afin d’empêcher certaines préparations de coller.</t>
    </r>
  </si>
  <si>
    <t>trier</t>
  </si>
  <si>
    <t>examiner</t>
  </si>
  <si>
    <t>Stériliser</t>
  </si>
  <si>
    <t>Préchauffer</t>
  </si>
  <si>
    <t>Laver</t>
  </si>
  <si>
    <t>Eplucher</t>
  </si>
  <si>
    <t>Corser</t>
  </si>
  <si>
    <t>Éventuellement, mettre au point la consistance en ajoutant du lait, de l'huile d'oli­ve ou de la crème</t>
  </si>
  <si>
    <t>vérifier les DLC</t>
  </si>
  <si>
    <r>
      <t>Festonner </t>
    </r>
    <r>
      <rPr>
        <sz val="9.9"/>
        <color rgb="FF434343"/>
        <rFont val="Arial"/>
        <family val="2"/>
      </rPr>
      <t>: constituer des bordures décoratives ou des formes arrondies sur des pâtisseries (ex : pithiviers, tartelette…).</t>
    </r>
  </si>
  <si>
    <t>transformer</t>
  </si>
  <si>
    <t>étendre</t>
  </si>
  <si>
    <t>Sonder</t>
  </si>
  <si>
    <t>Praliner</t>
  </si>
  <si>
    <t>Larder</t>
  </si>
  <si>
    <t>Enrober</t>
  </si>
  <si>
    <t>Corner</t>
  </si>
  <si>
    <t>trier et tremper</t>
  </si>
  <si>
    <r>
      <t>Façonner </t>
    </r>
    <r>
      <rPr>
        <sz val="9.9"/>
        <color rgb="FF434343"/>
        <rFont val="Arial"/>
        <family val="2"/>
      </rPr>
      <t>: c’est donner une forme  particulière à toute sortes de pâtes par un travail manuel ou mécanique avant cuisson.</t>
    </r>
  </si>
  <si>
    <t>tester</t>
  </si>
  <si>
    <t>établir</t>
  </si>
  <si>
    <t>Snacker</t>
  </si>
  <si>
    <t>Pousser</t>
  </si>
  <si>
    <t>Enfourner</t>
  </si>
  <si>
    <t>Contrôler</t>
  </si>
  <si>
    <t>A la feuille en première vitesse, incorporer progressivement le lait et la crème</t>
  </si>
  <si>
    <t>peser les denrées</t>
  </si>
  <si>
    <t>surveiller</t>
  </si>
  <si>
    <t>ériger</t>
  </si>
  <si>
    <t>Siroter</t>
  </si>
  <si>
    <t>Poudrer</t>
  </si>
  <si>
    <t>Émulsionner</t>
  </si>
  <si>
    <t>Contiser</t>
  </si>
  <si>
    <t>Rayer</t>
  </si>
  <si>
    <t>Griller</t>
  </si>
  <si>
    <t>Denteler</t>
  </si>
  <si>
    <t>laver à grande eau</t>
  </si>
  <si>
    <r>
      <t>Évider</t>
    </r>
    <r>
      <rPr>
        <sz val="9.9"/>
        <color rgb="FF434343"/>
        <rFont val="Arial"/>
        <family val="2"/>
      </rPr>
      <t> : éliminer, extraire l’intérieur de certains fruits (ex : citrons, orange).</t>
    </r>
  </si>
  <si>
    <t>superviser</t>
  </si>
  <si>
    <t>envoyer</t>
  </si>
  <si>
    <t>Siroper</t>
  </si>
  <si>
    <t>Porter à ébullition</t>
  </si>
  <si>
    <t>Jeter</t>
  </si>
  <si>
    <t>Emonder</t>
  </si>
  <si>
    <t>Conserver</t>
  </si>
  <si>
    <t>Rassir</t>
  </si>
  <si>
    <t>Dénoyauter</t>
  </si>
  <si>
    <t>Mettre la morue travaillée dans la grande cuve du batteur</t>
  </si>
  <si>
    <t>hacher finement</t>
  </si>
  <si>
    <r>
      <t>Émulsionner </t>
    </r>
    <r>
      <rPr>
        <sz val="9.9"/>
        <color rgb="FF434343"/>
        <rFont val="Arial"/>
        <family val="2"/>
      </rPr>
      <t>: opération consistant à provoquer la dispersion d’un liquide dans un autre liquide ou d’une matière non miscible (ex : ganache).</t>
    </r>
  </si>
  <si>
    <t>standardiser</t>
  </si>
  <si>
    <t>entretenir</t>
  </si>
  <si>
    <t>Singer</t>
  </si>
  <si>
    <t>Poêler</t>
  </si>
  <si>
    <t>Eliminer</t>
  </si>
  <si>
    <t>Confire</t>
  </si>
  <si>
    <t>Raidir</t>
  </si>
  <si>
    <t>Graisser</t>
  </si>
  <si>
    <t>Dénerver</t>
  </si>
  <si>
    <t>habiller les soles</t>
  </si>
  <si>
    <r>
      <t>Émonder</t>
    </r>
    <r>
      <rPr>
        <sz val="9.9"/>
        <color rgb="FF434343"/>
        <rFont val="Arial"/>
        <family val="2"/>
      </rPr>
      <t> : retirer les peaux, pellicules et enveloppe de certains fruits ou légumes.</t>
    </r>
  </si>
  <si>
    <t>soulever</t>
  </si>
  <si>
    <t>enregistrer</t>
  </si>
  <si>
    <t>Servir</t>
  </si>
  <si>
    <t>Pocher</t>
  </si>
  <si>
    <t>Egrener</t>
  </si>
  <si>
    <t>Concasser</t>
  </si>
  <si>
    <t>Rafraîchir</t>
  </si>
  <si>
    <t>Gommer</t>
  </si>
  <si>
    <t>Déhousser</t>
  </si>
  <si>
    <t>(ou travailler directement la morue effeuillée dans la cuve du batteur).</t>
  </si>
  <si>
    <t>faire tremper</t>
  </si>
  <si>
    <r>
      <t>Écumer </t>
    </r>
    <r>
      <rPr>
        <sz val="9.9"/>
        <color rgb="FF434343"/>
        <rFont val="Arial"/>
        <family val="2"/>
      </rPr>
      <t>: c’est éliminer les impuretés qui se forment à la surface de cuisson de sucre, confitures, gelées à l’aide d’une écumoire.</t>
    </r>
  </si>
  <si>
    <t>simplifier</t>
  </si>
  <si>
    <t>employer</t>
  </si>
  <si>
    <t>Serrer</t>
  </si>
  <si>
    <t>Plaquer</t>
  </si>
  <si>
    <t>Infuser</t>
  </si>
  <si>
    <t>Egrapper</t>
  </si>
  <si>
    <t>Compoter</t>
  </si>
  <si>
    <t>Rabattre</t>
  </si>
  <si>
    <t>Glacer</t>
  </si>
  <si>
    <t>Dégraisser</t>
  </si>
  <si>
    <t>travailler à la spatule</t>
  </si>
  <si>
    <t>eplucher-laver-désinfecter</t>
  </si>
  <si>
    <t>sensibiliser</t>
  </si>
  <si>
    <t>emplir</t>
  </si>
  <si>
    <t>Sauter</t>
  </si>
  <si>
    <t>Piquer</t>
  </si>
  <si>
    <t>Indications packaging</t>
  </si>
  <si>
    <t>Egoutter</t>
  </si>
  <si>
    <t>Coller</t>
  </si>
  <si>
    <t>Dégourdir</t>
  </si>
  <si>
    <t>ajouter la morue effeuillée et l'ail</t>
  </si>
  <si>
    <r>
      <t>Détrempe</t>
    </r>
    <r>
      <rPr>
        <sz val="9.9"/>
        <color rgb="FF434343"/>
        <rFont val="Arial"/>
        <family val="2"/>
      </rPr>
      <t> : mélange de farine, d’eau et de sel servant de base à la pâte feuilleté et à la pâte levée feuilleté.</t>
    </r>
  </si>
  <si>
    <t>revoir</t>
  </si>
  <si>
    <t>élaborer</t>
  </si>
  <si>
    <t>Saupoudrer</t>
  </si>
  <si>
    <t>Pincer</t>
  </si>
  <si>
    <t>Incorporer</t>
  </si>
  <si>
    <t>Egermer</t>
  </si>
  <si>
    <t>Clouter</t>
  </si>
  <si>
    <t>Frire</t>
  </si>
  <si>
    <t>Dégorger</t>
  </si>
  <si>
    <t>Dans une sauteuse, faire chauffer l'huile d'olive</t>
  </si>
  <si>
    <r>
      <t>Détailler</t>
    </r>
    <r>
      <rPr>
        <sz val="9.9"/>
        <color rgb="FF434343"/>
        <rFont val="Arial"/>
        <family val="2"/>
      </rPr>
      <t> : découper des morceaux de pâte de forme bien déterminée dans une abaisse de pâte, à l’aide d’un couteau ou d’un découpoir.</t>
    </r>
  </si>
  <si>
    <t>réviser</t>
  </si>
  <si>
    <t>effectuer</t>
  </si>
  <si>
    <t>Saumurer</t>
  </si>
  <si>
    <t>Piler</t>
  </si>
  <si>
    <t>Inciser</t>
  </si>
  <si>
    <t>Effiler</t>
  </si>
  <si>
    <t>Clarifier</t>
  </si>
  <si>
    <t>Frémir</t>
  </si>
  <si>
    <t>Déglacer</t>
  </si>
  <si>
    <t>Effeuiller les filets de morue cuits.</t>
  </si>
  <si>
    <t>suivre les protocoles</t>
  </si>
  <si>
    <r>
      <t>Dessécher</t>
    </r>
    <r>
      <rPr>
        <sz val="9.9"/>
        <color rgb="FF434343"/>
        <rFont val="Arial"/>
        <family val="2"/>
      </rPr>
      <t> : déshydrater, faire évaporer l’excédent d’eau se trouvant dans une préparation en la chauffant sur feu doux dans une étuve ou dans un four (ex : pâte à choux)</t>
    </r>
  </si>
  <si>
    <t>résoudre</t>
  </si>
  <si>
    <t>édifier</t>
  </si>
  <si>
    <t>Sangler</t>
  </si>
  <si>
    <t>Pétrir</t>
  </si>
  <si>
    <t>Imbiber</t>
  </si>
  <si>
    <t>Effilandrer</t>
  </si>
  <si>
    <t>Citronner</t>
  </si>
  <si>
    <t>Frapper</t>
  </si>
  <si>
    <t>Déffilandrer</t>
  </si>
  <si>
    <t>selectionner le matériel</t>
  </si>
  <si>
    <r>
      <t>Décoction </t>
    </r>
    <r>
      <rPr>
        <sz val="9.9"/>
        <color rgb="FF434343"/>
        <rFont val="Arial"/>
        <family val="2"/>
      </rPr>
      <t>: solution obtenue par l’action prolongée de l’eau bouillante sur une plante aromatique.</t>
    </r>
  </si>
  <si>
    <t>réparer</t>
  </si>
  <si>
    <t>écrire</t>
  </si>
  <si>
    <t>Saisir</t>
  </si>
  <si>
    <t>Peser</t>
  </si>
  <si>
    <t>Ecumer</t>
  </si>
  <si>
    <t>Ciseler</t>
  </si>
  <si>
    <t>Fileter</t>
  </si>
  <si>
    <t>Décuire</t>
  </si>
  <si>
    <t>Ne pas trop cuire au risque de retirer les propriétés gluantes de la morue</t>
  </si>
  <si>
    <t>etager les bacs sur l'échelle de cuisson</t>
  </si>
  <si>
    <r>
      <t>Décercler </t>
    </r>
    <r>
      <rPr>
        <sz val="9.9"/>
        <color rgb="FF434343"/>
        <rFont val="Arial"/>
        <family val="2"/>
      </rPr>
      <t>: retirer avec précaution le cercle d’un fond de tarte ou d’un entremet.</t>
    </r>
  </si>
  <si>
    <t>réorganiser</t>
  </si>
  <si>
    <t>écouler</t>
  </si>
  <si>
    <t>Saigner</t>
  </si>
  <si>
    <t>Persiller</t>
  </si>
  <si>
    <t>Ecosser</t>
  </si>
  <si>
    <t>Chiqueter</t>
  </si>
  <si>
    <t>Fraiser</t>
  </si>
  <si>
    <t>Décortiquer</t>
  </si>
  <si>
    <t>Cuire les filets à la vapeur 7 minutes environ</t>
  </si>
  <si>
    <t>désinfecter le poste de travail</t>
  </si>
  <si>
    <t>rénover</t>
  </si>
  <si>
    <t>documenter</t>
  </si>
  <si>
    <t>Sabler</t>
  </si>
  <si>
    <t>Peler</t>
  </si>
  <si>
    <t>Huiler</t>
  </si>
  <si>
    <t>Ecorcher</t>
  </si>
  <si>
    <t>Chevaucher</t>
  </si>
  <si>
    <t>Fouler</t>
  </si>
  <si>
    <t>Décercler</t>
  </si>
  <si>
    <t xml:space="preserve"> Préchauffer le four sur la position vapeur</t>
  </si>
  <si>
    <t>désinfecter le matériel</t>
  </si>
  <si>
    <r>
      <t>Crouter</t>
    </r>
    <r>
      <rPr>
        <sz val="9.9"/>
        <color rgb="FF434343"/>
        <rFont val="Arial"/>
        <family val="2"/>
      </rPr>
      <t> : opération permettant de sécher à l’air ou en étuve une fabrication crue ou cuite afin d’obtenir une pellicule sèche et résistante à sa surface (biscuit cuillère, macarons…).</t>
    </r>
  </si>
  <si>
    <t>remplacer</t>
  </si>
  <si>
    <t>dessiner</t>
  </si>
  <si>
    <t>Pasteuriser</t>
  </si>
  <si>
    <t>Historier</t>
  </si>
  <si>
    <t>Echauder</t>
  </si>
  <si>
    <t>Chemiser</t>
  </si>
  <si>
    <t>Fondre</t>
  </si>
  <si>
    <t>Décanter</t>
  </si>
  <si>
    <t>Confectionner la brandade de morue</t>
  </si>
  <si>
    <r>
      <t>Crémer</t>
    </r>
    <r>
      <rPr>
        <sz val="9.9"/>
        <color rgb="FF434343"/>
        <rFont val="Arial"/>
        <family val="2"/>
      </rPr>
      <t> : travailler une matière grasse seule ou avec du sucre, afin de lui donner la consistance d’une crème.</t>
    </r>
  </si>
  <si>
    <t>remodeler</t>
  </si>
  <si>
    <t>décharger</t>
  </si>
  <si>
    <t>Passer</t>
  </si>
  <si>
    <t>Hacher</t>
  </si>
  <si>
    <t>Ecaler</t>
  </si>
  <si>
    <t>Chaufroiter</t>
  </si>
  <si>
    <t>Zester</t>
  </si>
  <si>
    <t>Foncer</t>
  </si>
  <si>
    <t>Quelques expressions</t>
  </si>
  <si>
    <r>
      <t>Coucher (synonyme de dresser)</t>
    </r>
    <r>
      <rPr>
        <sz val="9.9"/>
        <color rgb="FF434343"/>
        <rFont val="Arial"/>
        <family val="2"/>
      </rPr>
      <t> : façonner à la poche à douille généralement sur plaque ou tapis anti-adhérant, papier sulfurisé des appareils mous (pâte à choux, biscuits, meringues).</t>
    </r>
  </si>
  <si>
    <t>réguler</t>
  </si>
  <si>
    <t>décentraliser</t>
  </si>
  <si>
    <t>Roussir</t>
  </si>
  <si>
    <t>Parsemer</t>
  </si>
  <si>
    <t>Habiller</t>
  </si>
  <si>
    <t>Ecailler</t>
  </si>
  <si>
    <t>Chauffer</t>
  </si>
  <si>
    <t>Foisonner</t>
  </si>
  <si>
    <r>
      <t>Corser</t>
    </r>
    <r>
      <rPr>
        <sz val="9.9"/>
        <color rgb="FF434343"/>
        <rFont val="Arial"/>
        <family val="2"/>
      </rPr>
      <t> : donner de l’élasticité à une pâte  en la pétrissant davantage.</t>
    </r>
  </si>
  <si>
    <t>régler</t>
  </si>
  <si>
    <t>cultiver</t>
  </si>
  <si>
    <t>Rouler</t>
  </si>
  <si>
    <t>Parfumer</t>
  </si>
  <si>
    <t>Ebaucher</t>
  </si>
  <si>
    <t>Châtrer</t>
  </si>
  <si>
    <t>Fleurer</t>
  </si>
  <si>
    <t>Ou marquer la cuisson des pommes de terre pour la réalisation de la purée fraîche.</t>
  </si>
  <si>
    <r>
      <t>Corps</t>
    </r>
    <r>
      <rPr>
        <sz val="9.9"/>
        <color rgb="FF434343"/>
        <rFont val="Arial"/>
        <family val="2"/>
      </rPr>
      <t> : terme appliqué à une pâte pour désigner son élasticité, sa résistance après son pétrissage, résultant de la formation de gluten.</t>
    </r>
  </si>
  <si>
    <t>réduire</t>
  </si>
  <si>
    <t>creuser</t>
  </si>
  <si>
    <t>Rôtir</t>
  </si>
  <si>
    <t>Parer</t>
  </si>
  <si>
    <t>Ebarber</t>
  </si>
  <si>
    <t>Chablonner</t>
  </si>
  <si>
    <t>Voiler</t>
  </si>
  <si>
    <t>Flanquer</t>
  </si>
  <si>
    <t>Réserver au chaud.</t>
  </si>
  <si>
    <t>Spécificités et usages du vocabulaire des "métiers de la bouche" </t>
  </si>
  <si>
    <r>
      <t>Corner</t>
    </r>
    <r>
      <rPr>
        <sz val="9.9"/>
        <color rgb="FF434343"/>
        <rFont val="Arial"/>
        <family val="2"/>
      </rPr>
      <t> : utiliser une corne à l’intérieur d’un  récipient pour récupérer le maximum d’appareil.</t>
    </r>
  </si>
  <si>
    <t>reconstruire</t>
  </si>
  <si>
    <t>créer</t>
  </si>
  <si>
    <t>Rompre</t>
  </si>
  <si>
    <t>Papilloter</t>
  </si>
  <si>
    <t>Cerner</t>
  </si>
  <si>
    <t>Videler</t>
  </si>
  <si>
    <t>Flamber</t>
  </si>
  <si>
    <t>Muscader légèrement.</t>
  </si>
  <si>
    <r>
      <t>Confire</t>
    </r>
    <r>
      <rPr>
        <sz val="9.9"/>
        <color rgb="FF434343"/>
        <rFont val="Arial"/>
        <family val="2"/>
      </rPr>
      <t> : remplacer l’eau de végétation des fruits par un sirop à la suite d’immersions multiples et répétées dans un sirop de sucre de plus en plus concentré.</t>
    </r>
  </si>
  <si>
    <t>réceptionner</t>
  </si>
  <si>
    <t>couper</t>
  </si>
  <si>
    <t>Rissoler</t>
  </si>
  <si>
    <t>Paner</t>
  </si>
  <si>
    <t>Caraméliser</t>
  </si>
  <si>
    <t>Vanner</t>
  </si>
  <si>
    <t>Festonner</t>
  </si>
  <si>
    <t xml:space="preserve">Mettre au point l'assaisonnement. </t>
  </si>
  <si>
    <t>Lexique en français de la cuisine Wiktionnaire</t>
  </si>
  <si>
    <r>
      <t>Chiqueter</t>
    </r>
    <r>
      <rPr>
        <sz val="9.9"/>
        <color rgb="FF434343"/>
        <rFont val="Arial"/>
        <family val="2"/>
      </rPr>
      <t> : tailler le tour d’une pièce de feuilletage avant la cuisson avec la lame d’un couteau pour lui donner un aspect particulier.</t>
    </r>
  </si>
  <si>
    <t>rebâtir</t>
  </si>
  <si>
    <t>contrôler</t>
  </si>
  <si>
    <t>Rioler</t>
  </si>
  <si>
    <t>Panacher</t>
  </si>
  <si>
    <t>Grainer</t>
  </si>
  <si>
    <t>Dresser</t>
  </si>
  <si>
    <t>Farcir</t>
  </si>
  <si>
    <r>
      <t>Chemiser</t>
    </r>
    <r>
      <rPr>
        <sz val="9.9"/>
        <color rgb="FF434343"/>
        <rFont val="Arial"/>
        <family val="2"/>
      </rPr>
      <t> : appliquer contre la paroi intérieur d’un moule ou d’une caissette, une couche de pâte, de biscuit, de gelée, de chocolat, de glace, de farine etc…</t>
    </r>
  </si>
  <si>
    <t>programmer</t>
  </si>
  <si>
    <t>construire</t>
  </si>
  <si>
    <t>Rincer</t>
  </si>
  <si>
    <t>Doubler</t>
  </si>
  <si>
    <t>Canneler</t>
  </si>
  <si>
    <t xml:space="preserve"> Préparer la purée déshydratée en suivant les indications du fabricant.</t>
  </si>
  <si>
    <t>Lexique en français de la boucherie Wiktionnaire</t>
  </si>
  <si>
    <r>
      <t>Chablonner</t>
    </r>
    <r>
      <rPr>
        <sz val="9.9"/>
        <color rgb="FF434343"/>
        <rFont val="Arial"/>
        <family val="2"/>
      </rPr>
      <t> : appliquer du chocolat de couverture ou de la pâte à glacer à la base des entremets, petits gâteaux, des ganaches, pour faciliter leur manipulation avant leur montage ou découpage.</t>
    </r>
  </si>
  <si>
    <t>produire</t>
  </si>
  <si>
    <t>constituer</t>
  </si>
  <si>
    <t>Revenir</t>
  </si>
  <si>
    <t>Napper</t>
  </si>
  <si>
    <t>Dorer</t>
  </si>
  <si>
    <r>
      <t>Candir</t>
    </r>
    <r>
      <rPr>
        <sz val="9.9"/>
        <color rgb="FF434343"/>
        <rFont val="Arial"/>
        <family val="2"/>
      </rPr>
      <t> </t>
    </r>
  </si>
  <si>
    <t>Turbiner</t>
  </si>
  <si>
    <t>Préparer la purée</t>
  </si>
  <si>
    <r>
      <t>Caraméliser </t>
    </r>
    <r>
      <rPr>
        <sz val="9.9"/>
        <color rgb="FF434343"/>
        <rFont val="Arial"/>
        <family val="2"/>
      </rPr>
      <t>: enduire un moule ou une pâtisserie de sucre cuit au caramel.</t>
    </r>
  </si>
  <si>
    <t>prévoir</t>
  </si>
  <si>
    <t>consigner</t>
  </si>
  <si>
    <t>Retourner</t>
  </si>
  <si>
    <t>Nacrer</t>
  </si>
  <si>
    <t>Gerber</t>
  </si>
  <si>
    <t>Disposer</t>
  </si>
  <si>
    <t>Trousser</t>
  </si>
  <si>
    <r>
      <t>Caramélisation :</t>
    </r>
    <r>
      <rPr>
        <sz val="9.9"/>
        <color rgb="FF434343"/>
        <rFont val="Arial"/>
        <family val="2"/>
      </rPr>
      <t> phénomène correspondant au changement de couleur consécutif à une dégradation du saccharose au contact d’une source de chaleur importante. C’est une réaction de brunissement non enzymatique.</t>
    </r>
  </si>
  <si>
    <t>présenter</t>
  </si>
  <si>
    <t>conduire</t>
  </si>
  <si>
    <t>Retomber</t>
  </si>
  <si>
    <t>Garnir</t>
  </si>
  <si>
    <t>Disperser</t>
  </si>
  <si>
    <t>Tronçonner</t>
  </si>
  <si>
    <r>
      <t>Canneler </t>
    </r>
    <r>
      <rPr>
        <sz val="9.9"/>
        <color rgb="FF434343"/>
        <rFont val="Arial"/>
        <family val="2"/>
      </rPr>
      <t>: c’est le fait de faire de petites cannelures peu profondes à l’aide d’un couteau à canneler (appelé aussi canneleur) sur la surface de certains fruits &amp; légumes (oranges, citrons, carottes…) pour améliorer leur présentation.</t>
    </r>
  </si>
  <si>
    <t>préparer</t>
  </si>
  <si>
    <t>concevoir</t>
  </si>
  <si>
    <t>Verser</t>
  </si>
  <si>
    <t>Retirer</t>
  </si>
  <si>
    <t>Mousser</t>
  </si>
  <si>
    <t>Détremper</t>
  </si>
  <si>
    <t>Brûler</t>
  </si>
  <si>
    <t>Tremper</t>
  </si>
  <si>
    <t>Au pinceau, badigeonner de beurre 8 bacs GN 1/1 H 65</t>
  </si>
  <si>
    <r>
      <t>Candir</t>
    </r>
    <r>
      <rPr>
        <sz val="9.9"/>
        <color rgb="FF434343"/>
        <rFont val="Arial"/>
        <family val="2"/>
      </rPr>
      <t> : technique qui consiste à immerger des confiseries, des décors, dans un sirop de sucre afin d’obtenir une cristallisation de sucre en surface.</t>
    </r>
  </si>
  <si>
    <t>planifier</t>
  </si>
  <si>
    <t>compter</t>
  </si>
  <si>
    <t>Vérifier la temp.</t>
  </si>
  <si>
    <t>Respecter le délai de 2 H</t>
  </si>
  <si>
    <t>Mouler</t>
  </si>
  <si>
    <t>Détendre</t>
  </si>
  <si>
    <t>Broyer</t>
  </si>
  <si>
    <t>Travailler</t>
  </si>
  <si>
    <t>Mouiller</t>
  </si>
  <si>
    <t>et la maintenir au chaud en attente d'utilisation</t>
  </si>
  <si>
    <t>organiser</t>
  </si>
  <si>
    <t>compiler</t>
  </si>
  <si>
    <t>Réserver</t>
  </si>
  <si>
    <t>Détailler</t>
  </si>
  <si>
    <t>Brider</t>
  </si>
  <si>
    <t>Tourner</t>
  </si>
  <si>
    <t>Mortifier</t>
  </si>
  <si>
    <t>Mixer</t>
  </si>
  <si>
    <t xml:space="preserve">Porter à ébullition la crème fraîche </t>
  </si>
  <si>
    <t>Editeur DOMERGUES 4  rue de la Bourie Rouge 45 000 ORLÉANS   1981</t>
  </si>
  <si>
    <r>
      <t>Brunissement enzymatique</t>
    </r>
    <r>
      <rPr>
        <sz val="9.9"/>
        <color rgb="FF434343"/>
        <rFont val="Arial"/>
        <family val="2"/>
      </rPr>
      <t> : c’est le phénomène qui se produit au contact de l’air à la suite d’opérations ou de traitements de divers végétaux (épluchage, taille) lesquels dégradent la structure végétale externe. Le phénomène conduit à un changement de couleur brun caractéristique du fruit).</t>
    </r>
  </si>
  <si>
    <t>ordonnancer</t>
  </si>
  <si>
    <t>commander</t>
  </si>
  <si>
    <t>Repasser</t>
  </si>
  <si>
    <t>Dessécher</t>
  </si>
  <si>
    <t>Braiser</t>
  </si>
  <si>
    <t>Tourer</t>
  </si>
  <si>
    <t>Monter</t>
  </si>
  <si>
    <t>Emincer</t>
  </si>
  <si>
    <t>Mettre en cuisson</t>
  </si>
  <si>
    <t xml:space="preserve"> Chauffer le lait et le maintenir au chaud.</t>
  </si>
  <si>
    <r>
      <t>Bouler</t>
    </r>
    <r>
      <rPr>
        <sz val="9.9"/>
        <color rgb="FF434343"/>
        <rFont val="Arial"/>
        <family val="2"/>
      </rPr>
      <t> : façonner à la main une pâte pour lui donner la forme d’une boule.</t>
    </r>
  </si>
  <si>
    <t>optimiser</t>
  </si>
  <si>
    <t>classifier</t>
  </si>
  <si>
    <t>Répartir</t>
  </si>
  <si>
    <t>Fraser</t>
  </si>
  <si>
    <t>Désosser</t>
  </si>
  <si>
    <t>Bouler</t>
  </si>
  <si>
    <t>Tapisser</t>
  </si>
  <si>
    <t>Monder</t>
  </si>
  <si>
    <t>Mélanger</t>
  </si>
  <si>
    <t xml:space="preserve"> Au cutter, hacher finement l'ail. Réserver.</t>
  </si>
  <si>
    <t>source : Fiches techniques de cuisine Annette et Jean Pierre DOMERGUES</t>
  </si>
  <si>
    <r>
      <t>Blanchir</t>
    </r>
    <r>
      <rPr>
        <sz val="9.9"/>
        <color rgb="FF434343"/>
        <rFont val="Arial"/>
        <family val="2"/>
      </rPr>
      <t> : travailler ensemble le jaune d’œuf et le sucre au fouet jusqu’à ce que le mélange devienne mousseux.</t>
    </r>
  </si>
  <si>
    <t>nettoyer</t>
  </si>
  <si>
    <t>chercher</t>
  </si>
  <si>
    <t>Utiliser</t>
  </si>
  <si>
    <t>Remuer</t>
  </si>
  <si>
    <t>Dérober</t>
  </si>
  <si>
    <t>Blondir</t>
  </si>
  <si>
    <t>Tamponner</t>
  </si>
  <si>
    <t>Mijoter</t>
  </si>
  <si>
    <t>Manipuler</t>
  </si>
  <si>
    <t>et réserver au froid en attente de cuisson.</t>
  </si>
  <si>
    <r>
      <t>Blanchiment</t>
    </r>
    <r>
      <rPr>
        <sz val="9.9"/>
        <color rgb="FF434343"/>
        <rFont val="Arial"/>
        <family val="2"/>
      </rPr>
      <t> : phénomène de déstabilisation d’une fabrication de chocolat, correspondants à la migration en surface des cristaux de sucre, liée à une conservation en atmosphère humide et/ou un travail du chocolat à des températures inadaptées.</t>
    </r>
  </si>
  <si>
    <t>naviguer</t>
  </si>
  <si>
    <t>centraliser</t>
  </si>
  <si>
    <t>Upériser</t>
  </si>
  <si>
    <t>Remplacer</t>
  </si>
  <si>
    <t>Moiner</t>
  </si>
  <si>
    <t>Dépouiller</t>
  </si>
  <si>
    <t>Blanchir</t>
  </si>
  <si>
    <t>Tamiser</t>
  </si>
  <si>
    <t>Meringuer</t>
  </si>
  <si>
    <t>Maintenir en temp. sup à 63°</t>
  </si>
  <si>
    <t xml:space="preserve"> Mettre les bacs sur l'échelle de four</t>
  </si>
  <si>
    <t>servir sans attendre</t>
  </si>
  <si>
    <r>
      <t>Beurre en pommade</t>
    </r>
    <r>
      <rPr>
        <sz val="9.9"/>
        <color rgb="FF434343"/>
        <rFont val="Arial"/>
        <family val="2"/>
      </rPr>
      <t> : beurre ramolli ayant la consistance d’une pommade.</t>
    </r>
  </si>
  <si>
    <t>monter</t>
  </si>
  <si>
    <t>cataloguer</t>
  </si>
  <si>
    <t>Remonter en température</t>
  </si>
  <si>
    <t>Modeler</t>
  </si>
  <si>
    <t>Fourrer</t>
  </si>
  <si>
    <t>Beurrer</t>
  </si>
  <si>
    <t>Tailler</t>
  </si>
  <si>
    <t>Masser</t>
  </si>
  <si>
    <t xml:space="preserve">napper les filets </t>
  </si>
  <si>
    <r>
      <t>Beurre clarifié</t>
    </r>
    <r>
      <rPr>
        <sz val="9.9"/>
        <color rgb="FF434343"/>
        <rFont val="Arial"/>
        <family val="2"/>
      </rPr>
      <t> : beurre fondu et décanté dont on a éliminé de la caséine et du petit lait.</t>
    </r>
  </si>
  <si>
    <t>moderniser</t>
  </si>
  <si>
    <t>calculer</t>
  </si>
  <si>
    <t>Relever</t>
  </si>
  <si>
    <t>Battre</t>
  </si>
  <si>
    <t>Masquer</t>
  </si>
  <si>
    <t>Délayer</t>
  </si>
  <si>
    <t>Plaquer les filets sur 5 bacs GN 1/1 H 25 perforés.</t>
  </si>
  <si>
    <r>
      <t>Battre</t>
    </r>
    <r>
      <rPr>
        <sz val="9.9"/>
        <color rgb="FF434343"/>
        <rFont val="Arial"/>
        <family val="2"/>
      </rPr>
      <t> : agiter vigoureusement une préparation à l’aide d’un fouet, pour la rendre homogène ou lui donner du volume (foisonnement).</t>
    </r>
  </si>
  <si>
    <t>mettre</t>
  </si>
  <si>
    <t>brancher</t>
  </si>
  <si>
    <t>Relâcher</t>
  </si>
  <si>
    <t>Fouetter</t>
  </si>
  <si>
    <t>Barder</t>
  </si>
  <si>
    <t>Mariner</t>
  </si>
  <si>
    <t>Réhydrater</t>
  </si>
  <si>
    <t>Décorer</t>
  </si>
  <si>
    <t>réduire la garniture presque à sec</t>
  </si>
  <si>
    <r>
      <t>Bain-marie</t>
    </r>
    <r>
      <rPr>
        <sz val="9.9"/>
        <color rgb="FF434343"/>
        <rFont val="Arial"/>
        <family val="2"/>
      </rPr>
      <t> : eau plus ou moins chaude dans laquelle on place des récipients contenant des préparations à cuire ou à tenir au chaud.</t>
    </r>
  </si>
  <si>
    <t>mesurer</t>
  </si>
  <si>
    <t>attribuer</t>
  </si>
  <si>
    <t>Démouler</t>
  </si>
  <si>
    <t>Marbrer</t>
  </si>
  <si>
    <t>Refroidir</t>
  </si>
  <si>
    <t xml:space="preserve"> Éventuellement, dessaler par trempage dans un grand volume d'eau.</t>
  </si>
  <si>
    <t>les tenir au chaud</t>
  </si>
  <si>
    <t>– incorporer du beurre dans la détrempe d’une pâte feuilletée ou d’une pâte levée feuilletée, pour le tourage.</t>
  </si>
  <si>
    <t>manœuvrer</t>
  </si>
  <si>
    <t>attacher</t>
  </si>
  <si>
    <t>Régénérer</t>
  </si>
  <si>
    <t>Mettre au point</t>
  </si>
  <si>
    <t>Assaisonner</t>
  </si>
  <si>
    <t>Manchonner</t>
  </si>
  <si>
    <t>Rectifier</t>
  </si>
  <si>
    <t>débarrasser les filets sur plat beurré</t>
  </si>
  <si>
    <t>– enduire un moule ou un ustensile de beurre afin d’empêcher les mets d’attacher au fond ou aux parois.</t>
  </si>
  <si>
    <t>manier</t>
  </si>
  <si>
    <t>Arroser</t>
  </si>
  <si>
    <t>Macérer</t>
  </si>
  <si>
    <t>Recouvrir</t>
  </si>
  <si>
    <t xml:space="preserve"> La veille, décongeler les filets de morue suivant la procédure.</t>
  </si>
  <si>
    <t>cuire 4 à 6 mn</t>
  </si>
  <si>
    <t>– ajouter de beurre à une sauce</t>
  </si>
  <si>
    <t>maintenir</t>
  </si>
  <si>
    <t>archiver</t>
  </si>
  <si>
    <t>Réduire</t>
  </si>
  <si>
    <t>Aromatiser</t>
  </si>
  <si>
    <t>Réchauffer en moins d'1 H</t>
  </si>
  <si>
    <t>Préparations préliminaires</t>
  </si>
  <si>
    <t>sur toute cette garniture avec un peu de vin blanc</t>
  </si>
  <si>
    <r>
      <t>Beurrer</t>
    </r>
    <r>
      <rPr>
        <sz val="9.9"/>
        <color rgb="FF434343"/>
        <rFont val="Arial"/>
        <family val="2"/>
      </rPr>
      <t> :</t>
    </r>
  </si>
  <si>
    <t>localiser</t>
  </si>
  <si>
    <t>approuver</t>
  </si>
  <si>
    <t>Aplatir</t>
  </si>
  <si>
    <t>Terminer</t>
  </si>
  <si>
    <t>Réaliser</t>
  </si>
  <si>
    <t>pocher les filets pliés à très court mouillement</t>
  </si>
  <si>
    <t>inventorier</t>
  </si>
  <si>
    <t>appliquer</t>
  </si>
  <si>
    <t>Ajouter</t>
  </si>
  <si>
    <t>concasser le persil</t>
  </si>
  <si>
    <r>
      <t>Aromatiser</t>
    </r>
    <r>
      <rPr>
        <sz val="9.9"/>
        <color rgb="FF434343"/>
        <rFont val="Arial"/>
        <family val="2"/>
      </rPr>
      <t> : incorporer un arôme ou un aromate à une préparation.</t>
    </r>
  </si>
  <si>
    <t>inventer</t>
  </si>
  <si>
    <t>analyser</t>
  </si>
  <si>
    <t>Torréfier</t>
  </si>
  <si>
    <t>Marquer</t>
  </si>
  <si>
    <t>Fixer</t>
  </si>
  <si>
    <t>Agir rapidement</t>
  </si>
  <si>
    <t>désinfecter le matériel et le poste de travail suivant la procédure</t>
  </si>
  <si>
    <t>monder  épépiner  concasser les tomates</t>
  </si>
  <si>
    <r>
      <t>Apprêt</t>
    </r>
    <r>
      <rPr>
        <sz val="9.9"/>
        <color rgb="FF434343"/>
        <rFont val="Arial"/>
        <family val="2"/>
      </rPr>
      <t> : technique survenant après le façonnage d’une pâte levée fermentée (pain, brioche…), pour assurer le développement des pièces par la fermentation avant la cuisson.</t>
    </r>
  </si>
  <si>
    <t>installer</t>
  </si>
  <si>
    <t>aménager</t>
  </si>
  <si>
    <t>Tomber</t>
  </si>
  <si>
    <t>Adjoindre</t>
  </si>
  <si>
    <t>Faire bouillir</t>
  </si>
  <si>
    <t>sélectionner le matériel</t>
  </si>
  <si>
    <t>hacher finement oignons et échalotes</t>
  </si>
  <si>
    <r>
      <t>Appareil</t>
    </r>
    <r>
      <rPr>
        <sz val="9.9"/>
        <color rgb="FF434343"/>
        <rFont val="Arial"/>
        <family val="2"/>
      </rPr>
      <t> : mélange de différentes substances alimentaires entrant dans la composition d’une préparation de pâtisserie.</t>
    </r>
  </si>
  <si>
    <t>inspecter</t>
  </si>
  <si>
    <t>améliorer</t>
  </si>
  <si>
    <t>Additionner</t>
  </si>
  <si>
    <t>dégorger le tout 1/2 heure à l'eau fraiche</t>
  </si>
  <si>
    <r>
      <t>Accoler</t>
    </r>
    <r>
      <rPr>
        <sz val="9.9"/>
        <color rgb="FF434343"/>
        <rFont val="Arial"/>
        <family val="2"/>
      </rPr>
      <t> : réunir, rassembler deux ou plusieurs éléments pour constituer un gâteau, un élément de fabrication ou autre.</t>
    </r>
  </si>
  <si>
    <t>insérer</t>
  </si>
  <si>
    <t>ajuster</t>
  </si>
  <si>
    <t>Fariner</t>
  </si>
  <si>
    <t>Accompagner</t>
  </si>
  <si>
    <t>verifier les DLC</t>
  </si>
  <si>
    <t>les mettre en filet</t>
  </si>
  <si>
    <r>
      <t>Abricoter</t>
    </r>
    <r>
      <rPr>
        <sz val="9.9"/>
        <color rgb="FF434343"/>
        <rFont val="Arial"/>
        <family val="2"/>
      </rPr>
      <t> : étendre une confiture d’abricot à l’aide d’un pinceau sur un entremets, sur une tarte ou une préparation pour la rendre brillante et la protéger en surface en limitant les risques de dessèchement et de brunissement enzymatique.</t>
    </r>
  </si>
  <si>
    <t>inscrire</t>
  </si>
  <si>
    <t>agrandir</t>
  </si>
  <si>
    <t>Manier</t>
  </si>
  <si>
    <t>Farder</t>
  </si>
  <si>
    <t>Accoler</t>
  </si>
  <si>
    <t>Mise en place du poste de travail</t>
  </si>
  <si>
    <t>les dépouiller</t>
  </si>
  <si>
    <r>
      <t>Abaisser</t>
    </r>
    <r>
      <rPr>
        <sz val="9.9"/>
        <color rgb="FF434343"/>
        <rFont val="Arial"/>
        <family val="2"/>
      </rPr>
      <t> : étaler une pâte au rouleau à une épaisseur voulue.</t>
    </r>
  </si>
  <si>
    <t>imaginer</t>
  </si>
  <si>
    <t>activer</t>
  </si>
  <si>
    <t>Abricoter</t>
  </si>
  <si>
    <t>Remonter</t>
  </si>
  <si>
    <r>
      <t>Abaisse</t>
    </r>
    <r>
      <rPr>
        <sz val="9.9"/>
        <color rgb="FF434343"/>
        <rFont val="Arial"/>
        <family val="2"/>
      </rPr>
      <t> : morceau de pâte que l’on étale au rouleau à une épaisseur voulue</t>
    </r>
  </si>
  <si>
    <t>identifier</t>
  </si>
  <si>
    <t>achever</t>
  </si>
  <si>
    <t>Raccourcir</t>
  </si>
  <si>
    <t>Abaisser la temp. à coeur</t>
  </si>
  <si>
    <t>Exemple pour une brandade de morue Bénédictine</t>
  </si>
  <si>
    <t>Exemple pour un filet de sole Duglére</t>
  </si>
  <si>
    <t>gérer</t>
  </si>
  <si>
    <t>acheter</t>
  </si>
  <si>
    <t>Tabler</t>
  </si>
  <si>
    <t>Façonner</t>
  </si>
  <si>
    <t>Dauber</t>
  </si>
  <si>
    <t>Abaisser</t>
  </si>
  <si>
    <t>http://www.juliemyrtille.com/lexique_du_patissier/</t>
  </si>
  <si>
    <t>générer</t>
  </si>
  <si>
    <t>accomplir</t>
  </si>
  <si>
    <t>EXEMPLE UN PEU PLUS LONG :</t>
  </si>
  <si>
    <t>faire court …1 verbe = 1 action</t>
  </si>
  <si>
    <t>Quelques verbes d'action complémentaires</t>
  </si>
  <si>
    <t>En complément vous avez des liens en bas de page</t>
  </si>
  <si>
    <t>VOCABULAIRE PROFESSIONNEL "La CUISINE DE REFERENCE" Michel MAINCENT</t>
  </si>
  <si>
    <t xml:space="preserve">VOCABULAIRE PROFESSIONNEL " CUISINE DE COMPOSITION" </t>
  </si>
  <si>
    <t>Le vocabulaire professionnel en pâtisserie</t>
  </si>
  <si>
    <t>Mise à jour du 14 Décembre 2021</t>
  </si>
  <si>
    <t>=</t>
  </si>
  <si>
    <t>_</t>
  </si>
  <si>
    <t>|</t>
  </si>
  <si>
    <t>/</t>
  </si>
  <si>
    <t>}</t>
  </si>
  <si>
    <t>§</t>
  </si>
  <si>
    <t>*</t>
  </si>
  <si>
    <t>\</t>
  </si>
  <si>
    <t>{</t>
  </si>
  <si>
    <t>µ</t>
  </si>
  <si>
    <t>&lt;</t>
  </si>
  <si>
    <t>]</t>
  </si>
  <si>
    <t>~</t>
  </si>
  <si>
    <t>[</t>
  </si>
  <si>
    <t>ç</t>
  </si>
  <si>
    <t>.</t>
  </si>
  <si>
    <t>)</t>
  </si>
  <si>
    <t>ù</t>
  </si>
  <si>
    <t>-</t>
  </si>
  <si>
    <t>(</t>
  </si>
  <si>
    <t>è</t>
  </si>
  <si>
    <t>:</t>
  </si>
  <si>
    <t>é</t>
  </si>
  <si>
    <t>;</t>
  </si>
  <si>
    <t>£</t>
  </si>
  <si>
    <t>z</t>
  </si>
  <si>
    <t>y</t>
  </si>
  <si>
    <t>Y</t>
  </si>
  <si>
    <t>x</t>
  </si>
  <si>
    <t>w</t>
  </si>
  <si>
    <t>W</t>
  </si>
  <si>
    <t>v</t>
  </si>
  <si>
    <t>s</t>
  </si>
  <si>
    <t>r</t>
  </si>
  <si>
    <t>o</t>
  </si>
  <si>
    <t>n</t>
  </si>
  <si>
    <t>m</t>
  </si>
  <si>
    <t>l</t>
  </si>
  <si>
    <t>k</t>
  </si>
  <si>
    <t>j</t>
  </si>
  <si>
    <t>i</t>
  </si>
  <si>
    <t>h</t>
  </si>
  <si>
    <t>f</t>
  </si>
  <si>
    <t>e</t>
  </si>
  <si>
    <t>d</t>
  </si>
  <si>
    <t>c</t>
  </si>
  <si>
    <t>b</t>
  </si>
  <si>
    <t>a</t>
  </si>
  <si>
    <t>correspondance</t>
  </si>
  <si>
    <t>nombres</t>
  </si>
  <si>
    <t>Chiffres</t>
  </si>
  <si>
    <t>Minuscules</t>
  </si>
  <si>
    <t>Majuscules</t>
  </si>
  <si>
    <t>Copiez / collez le symbole sur votre document ou faites un imprim'écran</t>
  </si>
  <si>
    <t>Aa</t>
  </si>
  <si>
    <t>Police Symbol</t>
  </si>
  <si>
    <t>Correspondance</t>
  </si>
  <si>
    <t>Saisir lettre ou nombre</t>
  </si>
  <si>
    <t>Police MT Extra</t>
  </si>
  <si>
    <t>Pour reproduire la police de caractère vous pouvez utiliser le pinceau</t>
  </si>
  <si>
    <t>Police Marlett</t>
  </si>
  <si>
    <t>Police ZDingbats</t>
  </si>
  <si>
    <t>⑳</t>
  </si>
  <si>
    <t>⑲</t>
  </si>
  <si>
    <t>⑱</t>
  </si>
  <si>
    <t>⑰</t>
  </si>
  <si>
    <t>⑯</t>
  </si>
  <si>
    <t>⑮</t>
  </si>
  <si>
    <t>⑭</t>
  </si>
  <si>
    <t>⑬</t>
  </si>
  <si>
    <t>⑫</t>
  </si>
  <si>
    <t>⑪</t>
  </si>
  <si>
    <t>⑨</t>
  </si>
  <si>
    <t>⑩</t>
  </si>
  <si>
    <t>⑧</t>
  </si>
  <si>
    <t>⑦</t>
  </si>
  <si>
    <t>⑥</t>
  </si>
  <si>
    <t>⑤</t>
  </si>
  <si>
    <t>④</t>
  </si>
  <si>
    <t>Windgings 3</t>
  </si>
  <si>
    <t>Copiez / Collez les N° dans vos fiches</t>
  </si>
  <si>
    <t>Windgings 2</t>
  </si>
  <si>
    <t>calibri</t>
  </si>
  <si>
    <t>arial</t>
  </si>
  <si>
    <t>Windgings</t>
  </si>
  <si>
    <t xml:space="preserve">Polices de caractèes utilisées : ARIAL et CALIBRI en fonction de la largeur de colonne </t>
  </si>
  <si>
    <t>Webdings</t>
  </si>
  <si>
    <t>Pour la couleur de numérotation cliquez sur Couleur de police et choisissez la couleur qui vous convient</t>
  </si>
  <si>
    <t>♠</t>
  </si>
  <si>
    <t>♫</t>
  </si>
  <si>
    <t>♪</t>
  </si>
  <si>
    <t>♀</t>
  </si>
  <si>
    <t>♂</t>
  </si>
  <si>
    <t>œ</t>
  </si>
  <si>
    <t>Œ</t>
  </si>
  <si>
    <t>÷</t>
  </si>
  <si>
    <t>í</t>
  </si>
  <si>
    <t>æ</t>
  </si>
  <si>
    <t>ß</t>
  </si>
  <si>
    <t>Ü</t>
  </si>
  <si>
    <t>Arial Narrow</t>
  </si>
  <si>
    <t xml:space="preserve">QUATRIÈME RANGÉE </t>
  </si>
  <si>
    <t>Windings 2</t>
  </si>
  <si>
    <t>Windgins</t>
  </si>
  <si>
    <t>Alt + 6</t>
  </si>
  <si>
    <t>Alt + 14</t>
  </si>
  <si>
    <t>Alt + 13</t>
  </si>
  <si>
    <t>Alt + 12</t>
  </si>
  <si>
    <t>Alt + 11</t>
  </si>
  <si>
    <t>Alt + 0156</t>
  </si>
  <si>
    <t>Alt + 0140</t>
  </si>
  <si>
    <t>Alt + 0247</t>
  </si>
  <si>
    <t>Alt + 0237</t>
  </si>
  <si>
    <t>Alt + 0230</t>
  </si>
  <si>
    <t>Alt + 0223</t>
  </si>
  <si>
    <t>Alt + 0220</t>
  </si>
  <si>
    <t>Raccourcis</t>
  </si>
  <si>
    <t>ABSENT DU CLAVIER</t>
  </si>
  <si>
    <t>Police Webdings</t>
  </si>
  <si>
    <t>Police Wending 3</t>
  </si>
  <si>
    <t>Û</t>
  </si>
  <si>
    <t>Ù</t>
  </si>
  <si>
    <t>Ø</t>
  </si>
  <si>
    <t>×</t>
  </si>
  <si>
    <t>Ö</t>
  </si>
  <si>
    <t>Ô</t>
  </si>
  <si>
    <t>Ñ</t>
  </si>
  <si>
    <t>Ï</t>
  </si>
  <si>
    <t>Î</t>
  </si>
  <si>
    <t>Í</t>
  </si>
  <si>
    <t>Ì</t>
  </si>
  <si>
    <t>Ë</t>
  </si>
  <si>
    <t xml:space="preserve">TROISIÈME RANGÉE </t>
  </si>
  <si>
    <t>¤</t>
  </si>
  <si>
    <t>^</t>
  </si>
  <si>
    <t>¨</t>
  </si>
  <si>
    <t>Alt + 0219</t>
  </si>
  <si>
    <t>Alt + 0217</t>
  </si>
  <si>
    <t>Alt + 0216</t>
  </si>
  <si>
    <t>Alt + 0215</t>
  </si>
  <si>
    <t>Alt + 0214</t>
  </si>
  <si>
    <t>Alt + 0212</t>
  </si>
  <si>
    <t>Alt + 0209</t>
  </si>
  <si>
    <t>Alt + 0207</t>
  </si>
  <si>
    <t>Alt + 0206</t>
  </si>
  <si>
    <t>Alt + 0205</t>
  </si>
  <si>
    <t>Alt + 0204</t>
  </si>
  <si>
    <t>Alt + 0203</t>
  </si>
  <si>
    <t>Ê</t>
  </si>
  <si>
    <t>É</t>
  </si>
  <si>
    <t>È</t>
  </si>
  <si>
    <t>Ç</t>
  </si>
  <si>
    <t>Æ</t>
  </si>
  <si>
    <t>Å</t>
  </si>
  <si>
    <t>Ä</t>
  </si>
  <si>
    <t>Ã</t>
  </si>
  <si>
    <t>Â</t>
  </si>
  <si>
    <t>À</t>
  </si>
  <si>
    <t>¿</t>
  </si>
  <si>
    <t>DEUXIÈME RANGÉE  DU CLAVIER</t>
  </si>
  <si>
    <t>`</t>
  </si>
  <si>
    <t xml:space="preserve">' </t>
  </si>
  <si>
    <t>Alt + 0202</t>
  </si>
  <si>
    <t>Alt + 0201</t>
  </si>
  <si>
    <t>Alt + 0200</t>
  </si>
  <si>
    <t>Alt + 0199</t>
  </si>
  <si>
    <t>Alt + 0198</t>
  </si>
  <si>
    <t>Alt + 0197</t>
  </si>
  <si>
    <t>Alt + 0196</t>
  </si>
  <si>
    <t>Alt + 0195</t>
  </si>
  <si>
    <t>Alt + 0194</t>
  </si>
  <si>
    <t>Alt + 0192</t>
  </si>
  <si>
    <t>Alt + 0191</t>
  </si>
  <si>
    <t>Alt + 0190</t>
  </si>
  <si>
    <t>+</t>
  </si>
  <si>
    <t>°</t>
  </si>
  <si>
    <t>¹</t>
  </si>
  <si>
    <t>·</t>
  </si>
  <si>
    <t>¶</t>
  </si>
  <si>
    <t>®</t>
  </si>
  <si>
    <t>¬</t>
  </si>
  <si>
    <t>«</t>
  </si>
  <si>
    <t>©</t>
  </si>
  <si>
    <t>ALT + 0189</t>
  </si>
  <si>
    <t>ALT + 0188</t>
  </si>
  <si>
    <t>ALT + 0187</t>
  </si>
  <si>
    <t>ALT + 0185</t>
  </si>
  <si>
    <t>ALT + 0183</t>
  </si>
  <si>
    <t>ALT + 0182</t>
  </si>
  <si>
    <t>ALT + 0179</t>
  </si>
  <si>
    <t>ALT + 0177</t>
  </si>
  <si>
    <t>ALT + 0174</t>
  </si>
  <si>
    <t>ALT + 0172</t>
  </si>
  <si>
    <t>ALT + 0171</t>
  </si>
  <si>
    <t>Alt + 0169</t>
  </si>
  <si>
    <t>PREMIERE RANGÉE DU CLAVIER</t>
  </si>
  <si>
    <t xml:space="preserve">Police Wingdins 2 </t>
  </si>
  <si>
    <t>Police Wingdins</t>
  </si>
  <si>
    <r>
      <t xml:space="preserve">COMMENT CHOISIR SA POLICE DE SYMBOLES  </t>
    </r>
    <r>
      <rPr>
        <b/>
        <sz val="12"/>
        <rFont val="Verdana"/>
        <family val="2"/>
      </rPr>
      <t>UPRM 1991. Servez vous du pinceau pour reproduire les symboles que vous souhaitez utiliser.Attention saisissez la bonne lettre ou le bon chiffre pour la reproduction</t>
    </r>
  </si>
  <si>
    <t>banjo</t>
  </si>
  <si>
    <t>🪕</t>
  </si>
  <si>
    <t>1FA95</t>
  </si>
  <si>
    <t>chambre homme</t>
  </si>
  <si>
    <t>🚹</t>
  </si>
  <si>
    <t>1F6B9</t>
  </si>
  <si>
    <t>trombone</t>
  </si>
  <si>
    <t>📎</t>
  </si>
  <si>
    <t>1F4CE</t>
  </si>
  <si>
    <t>fourchette et couteau avec assiette</t>
  </si>
  <si>
    <t>🍽</t>
  </si>
  <si>
    <t>1F37D</t>
  </si>
  <si>
    <t>lampe diya</t>
  </si>
  <si>
    <t>🪔</t>
  </si>
  <si>
    <t>1FA94</t>
  </si>
  <si>
    <t>enfants traversant</t>
  </si>
  <si>
    <t>🚸</t>
  </si>
  <si>
    <t>1F6B8</t>
  </si>
  <si>
    <t>poussoir rond</t>
  </si>
  <si>
    <t>📍</t>
  </si>
  <si>
    <t>1F4CD</t>
  </si>
  <si>
    <t>biberon</t>
  </si>
  <si>
    <t>🍼</t>
  </si>
  <si>
    <t>1F37C</t>
  </si>
  <si>
    <t>axe</t>
  </si>
  <si>
    <t>🪓</t>
  </si>
  <si>
    <t>1FA93</t>
  </si>
  <si>
    <t>pas de piétons</t>
  </si>
  <si>
    <t>🚷</t>
  </si>
  <si>
    <t>1F6B7</t>
  </si>
  <si>
    <t>punaise</t>
  </si>
  <si>
    <t>📌</t>
  </si>
  <si>
    <t>1F4CC</t>
  </si>
  <si>
    <t>tasses à bière qui clignotent</t>
  </si>
  <si>
    <t>🍻</t>
  </si>
  <si>
    <t>1F37B</t>
  </si>
  <si>
    <t>rasoir</t>
  </si>
  <si>
    <t>🪒</t>
  </si>
  <si>
    <t>1FA92</t>
  </si>
  <si>
    <t>personne qui marche</t>
  </si>
  <si>
    <t>🚶</t>
  </si>
  <si>
    <t>1F6B6</t>
  </si>
  <si>
    <t>Presse-papiers</t>
  </si>
  <si>
    <t>📋</t>
  </si>
  <si>
    <t>1F4CB</t>
  </si>
  <si>
    <t>tasse à bière</t>
  </si>
  <si>
    <t>🍺</t>
  </si>
  <si>
    <t>1F37A</t>
  </si>
  <si>
    <t>chaise</t>
  </si>
  <si>
    <t>🪑</t>
  </si>
  <si>
    <t>1FA91</t>
  </si>
  <si>
    <t>personne VTT</t>
  </si>
  <si>
    <t>🚵</t>
  </si>
  <si>
    <t>1F6B5</t>
  </si>
  <si>
    <t>graphique à barres</t>
  </si>
  <si>
    <t>📊</t>
  </si>
  <si>
    <t>1F4CA</t>
  </si>
  <si>
    <t>boisson tropicale</t>
  </si>
  <si>
    <t>🍹</t>
  </si>
  <si>
    <t>1F379</t>
  </si>
  <si>
    <t>planète anneée</t>
  </si>
  <si>
    <t>🪐</t>
  </si>
  <si>
    <t>1FA90</t>
  </si>
  <si>
    <t>personne à vélo</t>
  </si>
  <si>
    <t>🚴</t>
  </si>
  <si>
    <t>1F6B4</t>
  </si>
  <si>
    <t>graphique décroissant</t>
  </si>
  <si>
    <t>📉</t>
  </si>
  <si>
    <t>1F4C9</t>
  </si>
  <si>
    <t>verre à cocktail</t>
  </si>
  <si>
    <t>🍸</t>
  </si>
  <si>
    <t>1F378</t>
  </si>
  <si>
    <t>poupées gigognes</t>
  </si>
  <si>
    <t>🪆</t>
  </si>
  <si>
    <t>1FA86</t>
  </si>
  <si>
    <t>pas de vélos</t>
  </si>
  <si>
    <t>🚳</t>
  </si>
  <si>
    <t>1F6B3</t>
  </si>
  <si>
    <t>graphique croissant</t>
  </si>
  <si>
    <t>📈</t>
  </si>
  <si>
    <t>1F4C8</t>
  </si>
  <si>
    <t>verre à vin</t>
  </si>
  <si>
    <t>🍷</t>
  </si>
  <si>
    <t>1F377</t>
  </si>
  <si>
    <t>piñata</t>
  </si>
  <si>
    <t>🪅</t>
  </si>
  <si>
    <t>1FA85</t>
  </si>
  <si>
    <t>bicyclette</t>
  </si>
  <si>
    <t>🚲</t>
  </si>
  <si>
    <t>1F6B2</t>
  </si>
  <si>
    <t>index des cartes</t>
  </si>
  <si>
    <t>📇</t>
  </si>
  <si>
    <t>1F4C7</t>
  </si>
  <si>
    <t>saké</t>
  </si>
  <si>
    <t>🍶</t>
  </si>
  <si>
    <t>1F376</t>
  </si>
  <si>
    <t>mur magique</t>
  </si>
  <si>
    <t>🪄</t>
  </si>
  <si>
    <t>1FA84</t>
  </si>
  <si>
    <t>eau non potable</t>
  </si>
  <si>
    <t>🚱</t>
  </si>
  <si>
    <t>1F6B1</t>
  </si>
  <si>
    <t>calendrier dérachant</t>
  </si>
  <si>
    <t>📆</t>
  </si>
  <si>
    <t>1F4C6</t>
  </si>
  <si>
    <t>tasse à thé sans poignée</t>
  </si>
  <si>
    <t>🍵</t>
  </si>
  <si>
    <t>1F375</t>
  </si>
  <si>
    <t>boomerang</t>
  </si>
  <si>
    <t>🪃</t>
  </si>
  <si>
    <t>1FA83</t>
  </si>
  <si>
    <t>eau potable</t>
  </si>
  <si>
    <t>🚰</t>
  </si>
  <si>
    <t>1F6B0</t>
  </si>
  <si>
    <t>calendrier</t>
  </si>
  <si>
    <t>📅</t>
  </si>
  <si>
    <t>1F4C5</t>
  </si>
  <si>
    <t>fourchette et couteau</t>
  </si>
  <si>
    <t>🍴</t>
  </si>
  <si>
    <t>1F374</t>
  </si>
  <si>
    <t>parachute</t>
  </si>
  <si>
    <t>🪂</t>
  </si>
  <si>
    <t>1FA82</t>
  </si>
  <si>
    <t>pas de détritus</t>
  </si>
  <si>
    <t>🚯</t>
  </si>
  <si>
    <t>1F6AF</t>
  </si>
  <si>
    <t>page tournée vers le haut</t>
  </si>
  <si>
    <t>📄</t>
  </si>
  <si>
    <t>1F4C4</t>
  </si>
  <si>
    <t>cuisine</t>
  </si>
  <si>
    <t>🍳</t>
  </si>
  <si>
    <t>1F373</t>
  </si>
  <si>
    <t>cerf-volant</t>
  </si>
  <si>
    <t>🪁</t>
  </si>
  <si>
    <t>1FA81</t>
  </si>
  <si>
    <t>litière dans le panneau de bac</t>
  </si>
  <si>
    <t>🚮</t>
  </si>
  <si>
    <t>1F6AE</t>
  </si>
  <si>
    <t>page avec boucle</t>
  </si>
  <si>
    <t>📃</t>
  </si>
  <si>
    <t>1F4C3</t>
  </si>
  <si>
    <t>pot de nourriture</t>
  </si>
  <si>
    <t>🍲</t>
  </si>
  <si>
    <t>1F372</t>
  </si>
  <si>
    <t>ils-sont</t>
  </si>
  <si>
    <t>🪀</t>
  </si>
  <si>
    <t>1FA80</t>
  </si>
  <si>
    <t>défense de fumer</t>
  </si>
  <si>
    <t>🚭</t>
  </si>
  <si>
    <t>1F6AD</t>
  </si>
  <si>
    <t>ouvrir le dossier de fichiers</t>
  </si>
  <si>
    <t>📂</t>
  </si>
  <si>
    <t>1F4C2</t>
  </si>
  <si>
    <t>boîte bento</t>
  </si>
  <si>
    <t>🍱</t>
  </si>
  <si>
    <t>1F371</t>
  </si>
  <si>
    <t>🩼</t>
  </si>
  <si>
    <t>1FA7C</t>
  </si>
  <si>
    <t>cigarette</t>
  </si>
  <si>
    <t>🚬</t>
  </si>
  <si>
    <t>1F6AC</t>
  </si>
  <si>
    <t>dossier de fichiers</t>
  </si>
  <si>
    <t>📁</t>
  </si>
  <si>
    <t>1F4C1</t>
  </si>
  <si>
    <t>shortcake</t>
  </si>
  <si>
    <t>🍰</t>
  </si>
  <si>
    <t>1F370</t>
  </si>
  <si>
    <t>🩻</t>
  </si>
  <si>
    <t>1FA7B</t>
  </si>
  <si>
    <t>interdit</t>
  </si>
  <si>
    <t>🚫</t>
  </si>
  <si>
    <t>1F6AB</t>
  </si>
  <si>
    <t>DVD</t>
  </si>
  <si>
    <t>📀</t>
  </si>
  <si>
    <t>1F4C0</t>
  </si>
  <si>
    <t>pot de miel</t>
  </si>
  <si>
    <t>🍯</t>
  </si>
  <si>
    <t>1F36F</t>
  </si>
  <si>
    <t>stéthoscope</t>
  </si>
  <si>
    <t>🩺</t>
  </si>
  <si>
    <t>1FA7A</t>
  </si>
  <si>
    <t>par</t>
  </si>
  <si>
    <t>🚪</t>
  </si>
  <si>
    <t>1F6AA</t>
  </si>
  <si>
    <t>disque optique</t>
  </si>
  <si>
    <t>💿</t>
  </si>
  <si>
    <t>1F4BF</t>
  </si>
  <si>
    <t>crème</t>
  </si>
  <si>
    <t>🍮</t>
  </si>
  <si>
    <t>1F36E</t>
  </si>
  <si>
    <t>sparadrap</t>
  </si>
  <si>
    <t>🩹</t>
  </si>
  <si>
    <t>1FA79</t>
  </si>
  <si>
    <t>drapeau triangulaire</t>
  </si>
  <si>
    <t>🚩</t>
  </si>
  <si>
    <t>1F6A9</t>
  </si>
  <si>
    <t>disquette</t>
  </si>
  <si>
    <t>💾</t>
  </si>
  <si>
    <t>1F4BE</t>
  </si>
  <si>
    <t>sucette</t>
  </si>
  <si>
    <t>🍭</t>
  </si>
  <si>
    <t>1F36D</t>
  </si>
  <si>
    <t xml:space="preserve"> de sang</t>
  </si>
  <si>
    <t>🩸</t>
  </si>
  <si>
    <t>1FA78</t>
  </si>
  <si>
    <t>feu de voiture de police</t>
  </si>
  <si>
    <t>🚨</t>
  </si>
  <si>
    <t>1F6A8</t>
  </si>
  <si>
    <t>disque d’ordinateur</t>
  </si>
  <si>
    <t>💽</t>
  </si>
  <si>
    <t>1F4BD</t>
  </si>
  <si>
    <t>bonbon</t>
  </si>
  <si>
    <t>🍬</t>
  </si>
  <si>
    <t>1F36C</t>
  </si>
  <si>
    <t>sandale string</t>
  </si>
  <si>
    <t>🩴</t>
  </si>
  <si>
    <t>1FA74</t>
  </si>
  <si>
    <t>construction</t>
  </si>
  <si>
    <t>🚧</t>
  </si>
  <si>
    <t>1F6A7</t>
  </si>
  <si>
    <t>porte-documents</t>
  </si>
  <si>
    <t>💼</t>
  </si>
  <si>
    <t>1F4BC</t>
  </si>
  <si>
    <t>barre chocolatée</t>
  </si>
  <si>
    <t>🍫</t>
  </si>
  <si>
    <t>1F36B</t>
  </si>
  <si>
    <t>short</t>
  </si>
  <si>
    <t>🩳</t>
  </si>
  <si>
    <t>1FA73</t>
  </si>
  <si>
    <t>feu de circulation vertical</t>
  </si>
  <si>
    <t>🚦</t>
  </si>
  <si>
    <t>1F6A6</t>
  </si>
  <si>
    <t>ordinateur portable</t>
  </si>
  <si>
    <t>💻</t>
  </si>
  <si>
    <t>1F4BB</t>
  </si>
  <si>
    <t>biscuit</t>
  </si>
  <si>
    <t>🍪</t>
  </si>
  <si>
    <t>1F36A</t>
  </si>
  <si>
    <t>cache-sexes</t>
  </si>
  <si>
    <t>🩲</t>
  </si>
  <si>
    <t>1FA72</t>
  </si>
  <si>
    <t>feu de circulation horizontal</t>
  </si>
  <si>
    <t>🚥</t>
  </si>
  <si>
    <t>1F6A5</t>
  </si>
  <si>
    <t>siège</t>
  </si>
  <si>
    <t>💺</t>
  </si>
  <si>
    <t>1F4BA</t>
  </si>
  <si>
    <t>beignet</t>
  </si>
  <si>
    <t>🍩</t>
  </si>
  <si>
    <t>1F369</t>
  </si>
  <si>
    <t>maillot de bain une pièce</t>
  </si>
  <si>
    <t>🩱</t>
  </si>
  <si>
    <t>1FA71</t>
  </si>
  <si>
    <t>vedette</t>
  </si>
  <si>
    <t>🚤</t>
  </si>
  <si>
    <t>1F6A4</t>
  </si>
  <si>
    <t>graphique en hausse avec le yen</t>
  </si>
  <si>
    <t>💹</t>
  </si>
  <si>
    <t>1F4B9</t>
  </si>
  <si>
    <t>glace</t>
  </si>
  <si>
    <t>🍨</t>
  </si>
  <si>
    <t>1F368</t>
  </si>
  <si>
    <t>chaussures de ballet</t>
  </si>
  <si>
    <t>🩰</t>
  </si>
  <si>
    <t>1FA70</t>
  </si>
  <si>
    <t>personne bateau à rames</t>
  </si>
  <si>
    <t>🚣</t>
  </si>
  <si>
    <t>1F6A3</t>
  </si>
  <si>
    <t>de l’argent avec des ailes</t>
  </si>
  <si>
    <t>💸</t>
  </si>
  <si>
    <t>1F4B8</t>
  </si>
  <si>
    <t>glace rasée</t>
  </si>
  <si>
    <t>🍧</t>
  </si>
  <si>
    <t>1F367</t>
  </si>
  <si>
    <t>amulette nazar</t>
  </si>
  <si>
    <t>🧿</t>
  </si>
  <si>
    <t>1F9FF</t>
  </si>
  <si>
    <t>bateau</t>
  </si>
  <si>
    <t>🚢</t>
  </si>
  <si>
    <t>1F6A2</t>
  </si>
  <si>
    <t>Billet de banque en livres sterling</t>
  </si>
  <si>
    <t>💷</t>
  </si>
  <si>
    <t>1F4B7</t>
  </si>
  <si>
    <t>crème glacée molle</t>
  </si>
  <si>
    <t>🍦</t>
  </si>
  <si>
    <t>1F366</t>
  </si>
  <si>
    <t>reçu</t>
  </si>
  <si>
    <t>🧾</t>
  </si>
  <si>
    <t>1F9FE</t>
  </si>
  <si>
    <t>téléphérique</t>
  </si>
  <si>
    <t>🚡</t>
  </si>
  <si>
    <t>1F6A1</t>
  </si>
  <si>
    <t>billet en euros</t>
  </si>
  <si>
    <t>💶</t>
  </si>
  <si>
    <t>1F4B6</t>
  </si>
  <si>
    <t>gâteau de poisson avec tourbillon</t>
  </si>
  <si>
    <t>🍥</t>
  </si>
  <si>
    <t>1F365</t>
  </si>
  <si>
    <t>éponge</t>
  </si>
  <si>
    <t>🧽</t>
  </si>
  <si>
    <t>1F9FD</t>
  </si>
  <si>
    <t>téléphérique de montagne</t>
  </si>
  <si>
    <t>🚠</t>
  </si>
  <si>
    <t>1F6A0</t>
  </si>
  <si>
    <t>billet de banque en dollars</t>
  </si>
  <si>
    <t>💵</t>
  </si>
  <si>
    <t>1F4B5</t>
  </si>
  <si>
    <t>crevettes frites</t>
  </si>
  <si>
    <t>🍤</t>
  </si>
  <si>
    <t>1F364</t>
  </si>
  <si>
    <t>savon</t>
  </si>
  <si>
    <t>🧼</t>
  </si>
  <si>
    <t>1F9FC</t>
  </si>
  <si>
    <t>chemin de fer suspendu</t>
  </si>
  <si>
    <t>🚟</t>
  </si>
  <si>
    <t>1F69F</t>
  </si>
  <si>
    <t>Billet de banque en yen</t>
  </si>
  <si>
    <t>💴</t>
  </si>
  <si>
    <t>1F4B4</t>
  </si>
  <si>
    <t>sushi</t>
  </si>
  <si>
    <t>🍣</t>
  </si>
  <si>
    <t>1F363</t>
  </si>
  <si>
    <t>rouleau de papier</t>
  </si>
  <si>
    <t>🧻</t>
  </si>
  <si>
    <t>1F9FB</t>
  </si>
  <si>
    <t>chemin de fer de montagne</t>
  </si>
  <si>
    <t>🚞</t>
  </si>
  <si>
    <t>1F69E</t>
  </si>
  <si>
    <t>carte de crédit</t>
  </si>
  <si>
    <t>💳</t>
  </si>
  <si>
    <t>1F4B3</t>
  </si>
  <si>
    <t>Oden</t>
  </si>
  <si>
    <t>🍢</t>
  </si>
  <si>
    <t>1F362</t>
  </si>
  <si>
    <t>panier</t>
  </si>
  <si>
    <t>🧺</t>
  </si>
  <si>
    <t>1F9FA</t>
  </si>
  <si>
    <t>monorail</t>
  </si>
  <si>
    <t>🚝</t>
  </si>
  <si>
    <t>1F69D</t>
  </si>
  <si>
    <t>signe dollar lourd</t>
  </si>
  <si>
    <t>💲</t>
  </si>
  <si>
    <t>1F4B2</t>
  </si>
  <si>
    <t>dango</t>
  </si>
  <si>
    <t>🍡</t>
  </si>
  <si>
    <t>1F361</t>
  </si>
  <si>
    <t>balai</t>
  </si>
  <si>
    <t>🧹</t>
  </si>
  <si>
    <t>1F9F9</t>
  </si>
  <si>
    <t>tracteur</t>
  </si>
  <si>
    <t>🚜</t>
  </si>
  <si>
    <t>1F69C</t>
  </si>
  <si>
    <t>Change</t>
  </si>
  <si>
    <t>💱</t>
  </si>
  <si>
    <t>1F4B1</t>
  </si>
  <si>
    <t>patate douce rôtie</t>
  </si>
  <si>
    <t>🍠</t>
  </si>
  <si>
    <t>1F360</t>
  </si>
  <si>
    <t>nounours</t>
  </si>
  <si>
    <t>🧸</t>
  </si>
  <si>
    <t>1F9F8</t>
  </si>
  <si>
    <t>camion articulé</t>
  </si>
  <si>
    <t>🚛</t>
  </si>
  <si>
    <t>1F69B</t>
  </si>
  <si>
    <t>sac d’argent</t>
  </si>
  <si>
    <t>💰</t>
  </si>
  <si>
    <t>1F4B0</t>
  </si>
  <si>
    <t>frites</t>
  </si>
  <si>
    <t>🍟</t>
  </si>
  <si>
    <t>1F35F</t>
  </si>
  <si>
    <t>épingle de sûreté</t>
  </si>
  <si>
    <t>🧷</t>
  </si>
  <si>
    <t>1F9F7</t>
  </si>
  <si>
    <t>camion de livraison</t>
  </si>
  <si>
    <t>🚚</t>
  </si>
  <si>
    <t>1F69A</t>
  </si>
  <si>
    <t>cent points</t>
  </si>
  <si>
    <t>💯</t>
  </si>
  <si>
    <t>1F4AF</t>
  </si>
  <si>
    <t>pain</t>
  </si>
  <si>
    <t>🍞</t>
  </si>
  <si>
    <t>1F35E</t>
  </si>
  <si>
    <t>fil</t>
  </si>
  <si>
    <t>🧶</t>
  </si>
  <si>
    <t>1F9F6</t>
  </si>
  <si>
    <t>véhicule utilitaire sport</t>
  </si>
  <si>
    <t>🚙</t>
  </si>
  <si>
    <t>1F699</t>
  </si>
  <si>
    <t>fleur blanche</t>
  </si>
  <si>
    <t>💮</t>
  </si>
  <si>
    <t>1F4AE</t>
  </si>
  <si>
    <t>spaghettis</t>
  </si>
  <si>
    <t>🍝</t>
  </si>
  <si>
    <t>1F35D</t>
  </si>
  <si>
    <t>🧵</t>
  </si>
  <si>
    <t>1F9F5</t>
  </si>
  <si>
    <t>automobile venant en venant en voiture</t>
  </si>
  <si>
    <t>🚘</t>
  </si>
  <si>
    <t>1F698</t>
  </si>
  <si>
    <t>ballon de pensée</t>
  </si>
  <si>
    <t>💭</t>
  </si>
  <si>
    <t>1F4AD</t>
  </si>
  <si>
    <t>bol fumant</t>
  </si>
  <si>
    <t>🍜</t>
  </si>
  <si>
    <t>1F35C</t>
  </si>
  <si>
    <t>flacon de lotion</t>
  </si>
  <si>
    <t>🧴</t>
  </si>
  <si>
    <t>1F9F4</t>
  </si>
  <si>
    <t>automobile</t>
  </si>
  <si>
    <t>🚗</t>
  </si>
  <si>
    <t>1F697</t>
  </si>
  <si>
    <t>ballon vocal</t>
  </si>
  <si>
    <t>💬</t>
  </si>
  <si>
    <t>1F4AC</t>
  </si>
  <si>
    <t>riz au curry</t>
  </si>
  <si>
    <t>🍛</t>
  </si>
  <si>
    <t>1F35B</t>
  </si>
  <si>
    <t>bagage</t>
  </si>
  <si>
    <t>🧳</t>
  </si>
  <si>
    <t>1F9F3</t>
  </si>
  <si>
    <t>taxi venant en venant en voiture</t>
  </si>
  <si>
    <t>🚖</t>
  </si>
  <si>
    <t>1F696</t>
  </si>
  <si>
    <t>vertigineux</t>
  </si>
  <si>
    <t>💫</t>
  </si>
  <si>
    <t>1F4AB</t>
  </si>
  <si>
    <t>riz cuit</t>
  </si>
  <si>
    <t>🍚</t>
  </si>
  <si>
    <t>1F35A</t>
  </si>
  <si>
    <t>aimant</t>
  </si>
  <si>
    <t>🧲</t>
  </si>
  <si>
    <t>1F9F2</t>
  </si>
  <si>
    <t>taxi</t>
  </si>
  <si>
    <t>🚕</t>
  </si>
  <si>
    <t>1F695</t>
  </si>
  <si>
    <t>biceps fléchis</t>
  </si>
  <si>
    <t>💪</t>
  </si>
  <si>
    <t>1F4AA</t>
  </si>
  <si>
    <t>boule de riz</t>
  </si>
  <si>
    <t>🍙</t>
  </si>
  <si>
    <t>1F359</t>
  </si>
  <si>
    <t>brique</t>
  </si>
  <si>
    <t>🧱</t>
  </si>
  <si>
    <t>1F9F1</t>
  </si>
  <si>
    <t>voiture de police venant en voiture venant en voiture</t>
  </si>
  <si>
    <t>🚔</t>
  </si>
  <si>
    <t>1F694</t>
  </si>
  <si>
    <t>tas de caca</t>
  </si>
  <si>
    <t>💩</t>
  </si>
  <si>
    <t>1F4A9</t>
  </si>
  <si>
    <t>craquelin de riz</t>
  </si>
  <si>
    <t>🍘</t>
  </si>
  <si>
    <t>1F358</t>
  </si>
  <si>
    <t>toolbox</t>
  </si>
  <si>
    <t>🧰</t>
  </si>
  <si>
    <t>1F9F0</t>
  </si>
  <si>
    <t>véhicule de police</t>
  </si>
  <si>
    <t>🚓</t>
  </si>
  <si>
    <t>1F693</t>
  </si>
  <si>
    <t>s’enfuir</t>
  </si>
  <si>
    <t>💨</t>
  </si>
  <si>
    <t>1F4A8</t>
  </si>
  <si>
    <t>cuisse de volaille</t>
  </si>
  <si>
    <t>🍗</t>
  </si>
  <si>
    <t>1F357</t>
  </si>
  <si>
    <t>extincteur</t>
  </si>
  <si>
    <t>🧯</t>
  </si>
  <si>
    <t>1F9EF</t>
  </si>
  <si>
    <t>voiture de pompiers</t>
  </si>
  <si>
    <t>🚒</t>
  </si>
  <si>
    <t>1F692</t>
  </si>
  <si>
    <t>gouttelette</t>
  </si>
  <si>
    <t>💧</t>
  </si>
  <si>
    <t>1F4A7</t>
  </si>
  <si>
    <t>viande sur os</t>
  </si>
  <si>
    <t>🍖</t>
  </si>
  <si>
    <t>1F356</t>
  </si>
  <si>
    <t>abaque</t>
  </si>
  <si>
    <t>🧮</t>
  </si>
  <si>
    <t>1F9EE</t>
  </si>
  <si>
    <t>ambulance</t>
  </si>
  <si>
    <t>🚑</t>
  </si>
  <si>
    <t>1F691</t>
  </si>
  <si>
    <t>gouttelettes de sueur</t>
  </si>
  <si>
    <t>💦</t>
  </si>
  <si>
    <t>1F4A6</t>
  </si>
  <si>
    <t>pizza</t>
  </si>
  <si>
    <t>🍕</t>
  </si>
  <si>
    <t>1F355</t>
  </si>
  <si>
    <t>boussole</t>
  </si>
  <si>
    <t>🧭</t>
  </si>
  <si>
    <t>1F9ED</t>
  </si>
  <si>
    <t>minibus</t>
  </si>
  <si>
    <t>🚐</t>
  </si>
  <si>
    <t>1F690</t>
  </si>
  <si>
    <t>collision</t>
  </si>
  <si>
    <t>💥</t>
  </si>
  <si>
    <t>1F4A5</t>
  </si>
  <si>
    <t>hamburger</t>
  </si>
  <si>
    <t>🍔</t>
  </si>
  <si>
    <t>1F354</t>
  </si>
  <si>
    <t>ADN</t>
  </si>
  <si>
    <t>🧬</t>
  </si>
  <si>
    <t>1F9EC</t>
  </si>
  <si>
    <t>arrêt de bus</t>
  </si>
  <si>
    <t>🚏</t>
  </si>
  <si>
    <t>1F68F</t>
  </si>
  <si>
    <t>zzz</t>
  </si>
  <si>
    <t>💤</t>
  </si>
  <si>
    <t>1F4A4</t>
  </si>
  <si>
    <t>fraise</t>
  </si>
  <si>
    <t>🍓</t>
  </si>
  <si>
    <t>1F353</t>
  </si>
  <si>
    <t>Pétri</t>
  </si>
  <si>
    <t>🧫</t>
  </si>
  <si>
    <t>1F9EB</t>
  </si>
  <si>
    <t>trolleybus</t>
  </si>
  <si>
    <t>🚎</t>
  </si>
  <si>
    <t>1F68E</t>
  </si>
  <si>
    <t>bombe</t>
  </si>
  <si>
    <t>💣</t>
  </si>
  <si>
    <t>1F4A3</t>
  </si>
  <si>
    <t>🍒</t>
  </si>
  <si>
    <t>1F352</t>
  </si>
  <si>
    <t>éprouvette</t>
  </si>
  <si>
    <t>🧪</t>
  </si>
  <si>
    <t>1F9EA</t>
  </si>
  <si>
    <t>bus venant en venant en venant en couple</t>
  </si>
  <si>
    <t>🚍</t>
  </si>
  <si>
    <t>1F68D</t>
  </si>
  <si>
    <t>symbole de colère</t>
  </si>
  <si>
    <t>💢</t>
  </si>
  <si>
    <t>1F4A2</t>
  </si>
  <si>
    <t>pêche</t>
  </si>
  <si>
    <t>🍑</t>
  </si>
  <si>
    <t>1F351</t>
  </si>
  <si>
    <t>Puzzle</t>
  </si>
  <si>
    <t>🧩</t>
  </si>
  <si>
    <t>1F9E9</t>
  </si>
  <si>
    <t>bus</t>
  </si>
  <si>
    <t>🚌</t>
  </si>
  <si>
    <t>1F68C</t>
  </si>
  <si>
    <t>ampoule</t>
  </si>
  <si>
    <t>💡</t>
  </si>
  <si>
    <t>1F4A1</t>
  </si>
  <si>
    <t>poire</t>
  </si>
  <si>
    <t>🍐</t>
  </si>
  <si>
    <t>1F350</t>
  </si>
  <si>
    <t>pétard</t>
  </si>
  <si>
    <t>🧨</t>
  </si>
  <si>
    <t>1F9E8</t>
  </si>
  <si>
    <t>voiture de tramway</t>
  </si>
  <si>
    <t>🚋</t>
  </si>
  <si>
    <t>1F68B</t>
  </si>
  <si>
    <t>diamant avec un point</t>
  </si>
  <si>
    <t>💠</t>
  </si>
  <si>
    <t>1F4A0</t>
  </si>
  <si>
    <t>pomme verte</t>
  </si>
  <si>
    <t>🍏</t>
  </si>
  <si>
    <t>1F34F</t>
  </si>
  <si>
    <t>enveloppe rouge</t>
  </si>
  <si>
    <t>🧧</t>
  </si>
  <si>
    <t>1F9E7</t>
  </si>
  <si>
    <t>tramway</t>
  </si>
  <si>
    <t>🚊</t>
  </si>
  <si>
    <t>1F68A</t>
  </si>
  <si>
    <t>décoration de cœur</t>
  </si>
  <si>
    <t>💟</t>
  </si>
  <si>
    <t>1F49F</t>
  </si>
  <si>
    <t>pomme rouge</t>
  </si>
  <si>
    <t>🍎</t>
  </si>
  <si>
    <t>1F34E</t>
  </si>
  <si>
    <t>chaussettes</t>
  </si>
  <si>
    <t>🧦</t>
  </si>
  <si>
    <t>1F9E6</t>
  </si>
  <si>
    <t>gare</t>
  </si>
  <si>
    <t>🚉</t>
  </si>
  <si>
    <t>1F689</t>
  </si>
  <si>
    <t>cœurs tournants</t>
  </si>
  <si>
    <t>💞</t>
  </si>
  <si>
    <t>1F49E</t>
  </si>
  <si>
    <t>ananas</t>
  </si>
  <si>
    <t>🍍</t>
  </si>
  <si>
    <t>1F34D</t>
  </si>
  <si>
    <t>manteau</t>
  </si>
  <si>
    <t>🧥</t>
  </si>
  <si>
    <t>1F9E5</t>
  </si>
  <si>
    <t>train léger sur rail</t>
  </si>
  <si>
    <t>🚈</t>
  </si>
  <si>
    <t>1F688</t>
  </si>
  <si>
    <t>cœur avec ruban</t>
  </si>
  <si>
    <t>💝</t>
  </si>
  <si>
    <t>1F49D</t>
  </si>
  <si>
    <t>banane</t>
  </si>
  <si>
    <t>🍌</t>
  </si>
  <si>
    <t>1F34C</t>
  </si>
  <si>
    <t>Gants</t>
  </si>
  <si>
    <t>🧤</t>
  </si>
  <si>
    <t>1F9E4</t>
  </si>
  <si>
    <t>métro</t>
  </si>
  <si>
    <t>🚇</t>
  </si>
  <si>
    <t>1F687</t>
  </si>
  <si>
    <t>cœur violet</t>
  </si>
  <si>
    <t>💜</t>
  </si>
  <si>
    <t>1F49C</t>
  </si>
  <si>
    <t>citron</t>
  </si>
  <si>
    <t>🍋</t>
  </si>
  <si>
    <t>1F34B</t>
  </si>
  <si>
    <t>foulard</t>
  </si>
  <si>
    <t>🧣</t>
  </si>
  <si>
    <t>1F9E3</t>
  </si>
  <si>
    <t>train</t>
  </si>
  <si>
    <t>🚆</t>
  </si>
  <si>
    <t>1F686</t>
  </si>
  <si>
    <t>cœur jaune</t>
  </si>
  <si>
    <t>💛</t>
  </si>
  <si>
    <t>1F49B</t>
  </si>
  <si>
    <t>mandarine</t>
  </si>
  <si>
    <t>🍊</t>
  </si>
  <si>
    <t>1F34A</t>
  </si>
  <si>
    <t>bouchon facturé</t>
  </si>
  <si>
    <t>🧢</t>
  </si>
  <si>
    <t>1F9E2</t>
  </si>
  <si>
    <t>shinkansen</t>
  </si>
  <si>
    <t>🚅</t>
  </si>
  <si>
    <t>1F685</t>
  </si>
  <si>
    <t>cœur vert</t>
  </si>
  <si>
    <t>💚</t>
  </si>
  <si>
    <t>1F49A</t>
  </si>
  <si>
    <t>pastèque</t>
  </si>
  <si>
    <t>🍉</t>
  </si>
  <si>
    <t>1F349</t>
  </si>
  <si>
    <t>cœur orange</t>
  </si>
  <si>
    <t>🧡</t>
  </si>
  <si>
    <t>1F9E1</t>
  </si>
  <si>
    <t>TGV</t>
  </si>
  <si>
    <t>🚄</t>
  </si>
  <si>
    <t>1F684</t>
  </si>
  <si>
    <t>cœur bleu</t>
  </si>
  <si>
    <t>💙</t>
  </si>
  <si>
    <t>1F499</t>
  </si>
  <si>
    <t>melon</t>
  </si>
  <si>
    <t>🍈</t>
  </si>
  <si>
    <t>1F348</t>
  </si>
  <si>
    <t>cerveau</t>
  </si>
  <si>
    <t>🧠</t>
  </si>
  <si>
    <t>1F9E0</t>
  </si>
  <si>
    <t>wagon de chemin de fer</t>
  </si>
  <si>
    <t>🚃</t>
  </si>
  <si>
    <t>1F683</t>
  </si>
  <si>
    <t>cœur avec flèche</t>
  </si>
  <si>
    <t>💘</t>
  </si>
  <si>
    <t>1F498</t>
  </si>
  <si>
    <t>raisins</t>
  </si>
  <si>
    <t>🍇</t>
  </si>
  <si>
    <t>1F347</t>
  </si>
  <si>
    <t>zombi</t>
  </si>
  <si>
    <t>🧟</t>
  </si>
  <si>
    <t>1F9DF</t>
  </si>
  <si>
    <t>locomotive</t>
  </si>
  <si>
    <t>🚂</t>
  </si>
  <si>
    <t>1F682</t>
  </si>
  <si>
    <t>cœur en croissance</t>
  </si>
  <si>
    <t>💗</t>
  </si>
  <si>
    <t>1F497</t>
  </si>
  <si>
    <t>aubergine</t>
  </si>
  <si>
    <t>🍆</t>
  </si>
  <si>
    <t>1F346</t>
  </si>
  <si>
    <t>génie</t>
  </si>
  <si>
    <t>🧞</t>
  </si>
  <si>
    <t>1F9DE</t>
  </si>
  <si>
    <t>hélicoptère</t>
  </si>
  <si>
    <t>🚁</t>
  </si>
  <si>
    <t>1F681</t>
  </si>
  <si>
    <t>cœur étincelant</t>
  </si>
  <si>
    <t>💖</t>
  </si>
  <si>
    <t>1F496</t>
  </si>
  <si>
    <t>tomate</t>
  </si>
  <si>
    <t>🍅</t>
  </si>
  <si>
    <t>1F345</t>
  </si>
  <si>
    <t>Onze</t>
  </si>
  <si>
    <t>🧝</t>
  </si>
  <si>
    <t>1F9DD</t>
  </si>
  <si>
    <t>fusée</t>
  </si>
  <si>
    <t>🚀</t>
  </si>
  <si>
    <t>1F680</t>
  </si>
  <si>
    <t>deux cœurs</t>
  </si>
  <si>
    <t>💕</t>
  </si>
  <si>
    <t>1F495</t>
  </si>
  <si>
    <t>champignon</t>
  </si>
  <si>
    <t>🍄</t>
  </si>
  <si>
    <t>1F344</t>
  </si>
  <si>
    <t>merperson</t>
  </si>
  <si>
    <t>🧜</t>
  </si>
  <si>
    <t>1F9DC</t>
  </si>
  <si>
    <t>mains jointes</t>
  </si>
  <si>
    <t>🙏</t>
  </si>
  <si>
    <t>1F64F</t>
  </si>
  <si>
    <t>cœur brisé</t>
  </si>
  <si>
    <t>💔</t>
  </si>
  <si>
    <t>1F494</t>
  </si>
  <si>
    <t>feuilles flottant dans le vent</t>
  </si>
  <si>
    <t>🍃</t>
  </si>
  <si>
    <t>1F343</t>
  </si>
  <si>
    <t>vampire</t>
  </si>
  <si>
    <t>🧛</t>
  </si>
  <si>
    <t>1F9DB</t>
  </si>
  <si>
    <t>personne mettant la moue</t>
  </si>
  <si>
    <t>🙎</t>
  </si>
  <si>
    <t>1F64E</t>
  </si>
  <si>
    <t>cœur battant</t>
  </si>
  <si>
    <t>💓</t>
  </si>
  <si>
    <t>1F493</t>
  </si>
  <si>
    <t>feuille tombée</t>
  </si>
  <si>
    <t>🍂</t>
  </si>
  <si>
    <t>1F342</t>
  </si>
  <si>
    <t>fée</t>
  </si>
  <si>
    <t>🧚</t>
  </si>
  <si>
    <t>1F9DA</t>
  </si>
  <si>
    <t>personne fronçant les sourcils</t>
  </si>
  <si>
    <t>🙍</t>
  </si>
  <si>
    <t>1F64D</t>
  </si>
  <si>
    <t>mariage</t>
  </si>
  <si>
    <t>💒</t>
  </si>
  <si>
    <t>1F492</t>
  </si>
  <si>
    <t>feuille d’érable</t>
  </si>
  <si>
    <t>🍁</t>
  </si>
  <si>
    <t>1F341</t>
  </si>
  <si>
    <t>mage</t>
  </si>
  <si>
    <t>🧙</t>
  </si>
  <si>
    <t>1F9D9</t>
  </si>
  <si>
    <t>lever la main</t>
  </si>
  <si>
    <t>🙌</t>
  </si>
  <si>
    <t>1F64C</t>
  </si>
  <si>
    <t>couple avec cœur</t>
  </si>
  <si>
    <t>💑</t>
  </si>
  <si>
    <t>1F491</t>
  </si>
  <si>
    <t>trèfle à quatre feuilles</t>
  </si>
  <si>
    <t>🍀</t>
  </si>
  <si>
    <t>1F340</t>
  </si>
  <si>
    <t>personne en position lotus</t>
  </si>
  <si>
    <t>🧘</t>
  </si>
  <si>
    <t>1F9D8</t>
  </si>
  <si>
    <t>personne levant la main</t>
  </si>
  <si>
    <t>🙋</t>
  </si>
  <si>
    <t>1F64B</t>
  </si>
  <si>
    <t>bouquet</t>
  </si>
  <si>
    <t>💐</t>
  </si>
  <si>
    <t>1F490</t>
  </si>
  <si>
    <t>herbe</t>
  </si>
  <si>
    <t>🌿</t>
  </si>
  <si>
    <t>1F33F</t>
  </si>
  <si>
    <t>personne grimpant</t>
  </si>
  <si>
    <t>🧗</t>
  </si>
  <si>
    <t>1F9D7</t>
  </si>
  <si>
    <t>parler-pas-mal singe</t>
  </si>
  <si>
    <t>🙊</t>
  </si>
  <si>
    <t>1F64A</t>
  </si>
  <si>
    <t>baiser</t>
  </si>
  <si>
    <t>💏</t>
  </si>
  <si>
    <t>1F48F</t>
  </si>
  <si>
    <t>gerbe de riz</t>
  </si>
  <si>
    <t>🌾</t>
  </si>
  <si>
    <t>1F33E</t>
  </si>
  <si>
    <t>personne dans une chambre à vapeur</t>
  </si>
  <si>
    <t>🧖</t>
  </si>
  <si>
    <t>1F9D6</t>
  </si>
  <si>
    <t>n’entendez pas de singe maléfique</t>
  </si>
  <si>
    <t>🙉</t>
  </si>
  <si>
    <t>1F649</t>
  </si>
  <si>
    <t>pierre précieuse</t>
  </si>
  <si>
    <t>💎</t>
  </si>
  <si>
    <t>1F48E</t>
  </si>
  <si>
    <t>épi de maïs</t>
  </si>
  <si>
    <t>🌽</t>
  </si>
  <si>
    <t>1F33D</t>
  </si>
  <si>
    <t>femme avec foulard</t>
  </si>
  <si>
    <t>🧕</t>
  </si>
  <si>
    <t>1F9D5</t>
  </si>
  <si>
    <t>voir-pas-mal singe</t>
  </si>
  <si>
    <t>🙈</t>
  </si>
  <si>
    <t>1F648</t>
  </si>
  <si>
    <t>bague</t>
  </si>
  <si>
    <t>💍</t>
  </si>
  <si>
    <t>1F48D</t>
  </si>
  <si>
    <t>fleurir</t>
  </si>
  <si>
    <t>🌼</t>
  </si>
  <si>
    <t>1F33C</t>
  </si>
  <si>
    <t>personne: barbe</t>
  </si>
  <si>
    <t>🧔</t>
  </si>
  <si>
    <t>1F9D4</t>
  </si>
  <si>
    <t>personne s’inclinant</t>
  </si>
  <si>
    <t>🙇</t>
  </si>
  <si>
    <t>1F647</t>
  </si>
  <si>
    <t>lettre d’amour</t>
  </si>
  <si>
    <t>💌</t>
  </si>
  <si>
    <t>1F48C</t>
  </si>
  <si>
    <t>tournesol</t>
  </si>
  <si>
    <t>🌻</t>
  </si>
  <si>
    <t>1F33B</t>
  </si>
  <si>
    <t>personne âgée</t>
  </si>
  <si>
    <t>🧓</t>
  </si>
  <si>
    <t>1F9D3</t>
  </si>
  <si>
    <t>personne faisant signe OK</t>
  </si>
  <si>
    <t>🙆</t>
  </si>
  <si>
    <t>1F646</t>
  </si>
  <si>
    <t>marque de baiser</t>
  </si>
  <si>
    <t>💋</t>
  </si>
  <si>
    <t>1F48B</t>
  </si>
  <si>
    <t>hibiscus</t>
  </si>
  <si>
    <t>🌺</t>
  </si>
  <si>
    <t>1F33A</t>
  </si>
  <si>
    <t>enfant</t>
  </si>
  <si>
    <t>🧒</t>
  </si>
  <si>
    <t>1F9D2</t>
  </si>
  <si>
    <t>personne faisant signe NON</t>
  </si>
  <si>
    <t>🙅</t>
  </si>
  <si>
    <t>1F645</t>
  </si>
  <si>
    <t>pilule</t>
  </si>
  <si>
    <t>💊</t>
  </si>
  <si>
    <t>1F48A</t>
  </si>
  <si>
    <t>rose</t>
  </si>
  <si>
    <t>🌹</t>
  </si>
  <si>
    <t>1F339</t>
  </si>
  <si>
    <t>personne</t>
  </si>
  <si>
    <t>🧑</t>
  </si>
  <si>
    <t>1F9D1</t>
  </si>
  <si>
    <t>visage avec des yeux qui roulent</t>
  </si>
  <si>
    <t>🙄</t>
  </si>
  <si>
    <t>1F644</t>
  </si>
  <si>
    <t>seringue</t>
  </si>
  <si>
    <t>💉</t>
  </si>
  <si>
    <t>1F489</t>
  </si>
  <si>
    <t>fleur de cerisier</t>
  </si>
  <si>
    <t>🌸</t>
  </si>
  <si>
    <t>1F338</t>
  </si>
  <si>
    <t>visage avec monocle</t>
  </si>
  <si>
    <t>🧐</t>
  </si>
  <si>
    <t>1F9D0</t>
  </si>
  <si>
    <t>visage à l’envers</t>
  </si>
  <si>
    <t>🙃</t>
  </si>
  <si>
    <t>1F643</t>
  </si>
  <si>
    <t>bâton de barbier</t>
  </si>
  <si>
    <t>💈</t>
  </si>
  <si>
    <t>1F488</t>
  </si>
  <si>
    <t>Tulipe</t>
  </si>
  <si>
    <t>🌷</t>
  </si>
  <si>
    <t>1F337</t>
  </si>
  <si>
    <t>sourd</t>
  </si>
  <si>
    <t>🧏</t>
  </si>
  <si>
    <t>1F9CF</t>
  </si>
  <si>
    <t>visage légèrement souriant</t>
  </si>
  <si>
    <t>🙂</t>
  </si>
  <si>
    <t>1F642</t>
  </si>
  <si>
    <t>personne se faisant couper les cheveux</t>
  </si>
  <si>
    <t>💇</t>
  </si>
  <si>
    <t>1F487</t>
  </si>
  <si>
    <t>piment</t>
  </si>
  <si>
    <t>🌶</t>
  </si>
  <si>
    <t>1F336</t>
  </si>
  <si>
    <t>personne agenouillé</t>
  </si>
  <si>
    <t>🧎</t>
  </si>
  <si>
    <t>1F9CE</t>
  </si>
  <si>
    <t>visage légèrement froncé les sourcils</t>
  </si>
  <si>
    <t>🙁</t>
  </si>
  <si>
    <t>1F641</t>
  </si>
  <si>
    <t>personne se faisant masser</t>
  </si>
  <si>
    <t>💆</t>
  </si>
  <si>
    <t>1F486</t>
  </si>
  <si>
    <t>cactus</t>
  </si>
  <si>
    <t>🌵</t>
  </si>
  <si>
    <t>1F335</t>
  </si>
  <si>
    <t>personne debout</t>
  </si>
  <si>
    <t>🧍</t>
  </si>
  <si>
    <t>1F9CD</t>
  </si>
  <si>
    <t>chat fatigué</t>
  </si>
  <si>
    <t>🙀</t>
  </si>
  <si>
    <t>1F640</t>
  </si>
  <si>
    <t>vernis à ongles</t>
  </si>
  <si>
    <t>💅</t>
  </si>
  <si>
    <t>1F485</t>
  </si>
  <si>
    <t>palmier</t>
  </si>
  <si>
    <t>🌴</t>
  </si>
  <si>
    <t>1F334</t>
  </si>
  <si>
    <t>🧌</t>
  </si>
  <si>
    <t>1F9CC</t>
  </si>
  <si>
    <t>chat qui pleure</t>
  </si>
  <si>
    <t>😿</t>
  </si>
  <si>
    <t>1F63F</t>
  </si>
  <si>
    <t>rouge à lèvres</t>
  </si>
  <si>
    <t>💄</t>
  </si>
  <si>
    <t>1F484</t>
  </si>
  <si>
    <t>arbre feuillu</t>
  </si>
  <si>
    <t>🌳</t>
  </si>
  <si>
    <t>1F333</t>
  </si>
  <si>
    <t>thé à bulles</t>
  </si>
  <si>
    <t>🧋</t>
  </si>
  <si>
    <t>1F9CB</t>
  </si>
  <si>
    <t>faire la moue</t>
  </si>
  <si>
    <t>😾</t>
  </si>
  <si>
    <t>1F63E</t>
  </si>
  <si>
    <t>femme dansant</t>
  </si>
  <si>
    <t>💃</t>
  </si>
  <si>
    <t>1F483</t>
  </si>
  <si>
    <t>arbre à feuilles persistantes</t>
  </si>
  <si>
    <t>🌲</t>
  </si>
  <si>
    <t>1F332</t>
  </si>
  <si>
    <t>🧊</t>
  </si>
  <si>
    <t>1F9CA</t>
  </si>
  <si>
    <t>embrasser le chat</t>
  </si>
  <si>
    <t>😽</t>
  </si>
  <si>
    <t>1F63D</t>
  </si>
  <si>
    <t>garde</t>
  </si>
  <si>
    <t>💂</t>
  </si>
  <si>
    <t>1F482</t>
  </si>
  <si>
    <t>plant</t>
  </si>
  <si>
    <t>🌱</t>
  </si>
  <si>
    <t>1F331</t>
  </si>
  <si>
    <t>compagnon</t>
  </si>
  <si>
    <t>🧉</t>
  </si>
  <si>
    <t>1F9C9</t>
  </si>
  <si>
    <t>chat au sourire ironique</t>
  </si>
  <si>
    <t>😼</t>
  </si>
  <si>
    <t>1F63C</t>
  </si>
  <si>
    <t>personne basculant la main</t>
  </si>
  <si>
    <t>💁</t>
  </si>
  <si>
    <t>1F481</t>
  </si>
  <si>
    <t>châtaigne</t>
  </si>
  <si>
    <t>🌰</t>
  </si>
  <si>
    <t>1F330</t>
  </si>
  <si>
    <t>beurre</t>
  </si>
  <si>
    <t>🧈</t>
  </si>
  <si>
    <t>1F9C8</t>
  </si>
  <si>
    <t>chat souriant avec des yeux de cœur</t>
  </si>
  <si>
    <t>😻</t>
  </si>
  <si>
    <t>1F63B</t>
  </si>
  <si>
    <t>crâne</t>
  </si>
  <si>
    <t>💀</t>
  </si>
  <si>
    <t>1F480</t>
  </si>
  <si>
    <t>burrito</t>
  </si>
  <si>
    <t>🌯</t>
  </si>
  <si>
    <t>1F32F</t>
  </si>
  <si>
    <t>gaufre</t>
  </si>
  <si>
    <t>🧇</t>
  </si>
  <si>
    <t>1F9C7</t>
  </si>
  <si>
    <t>Chat souriant</t>
  </si>
  <si>
    <t>😺</t>
  </si>
  <si>
    <t>1F63A</t>
  </si>
  <si>
    <t>visage en colère avec des cornes</t>
  </si>
  <si>
    <t>👿</t>
  </si>
  <si>
    <t>1F47F</t>
  </si>
  <si>
    <t>taco</t>
  </si>
  <si>
    <t>🌮</t>
  </si>
  <si>
    <t>1F32E</t>
  </si>
  <si>
    <t>falafel</t>
  </si>
  <si>
    <t>🧆</t>
  </si>
  <si>
    <t>1F9C6</t>
  </si>
  <si>
    <t>chat avec des larmes de joie</t>
  </si>
  <si>
    <t>😹</t>
  </si>
  <si>
    <t>1F639</t>
  </si>
  <si>
    <t>monstre extraterrestre</t>
  </si>
  <si>
    <t>👾</t>
  </si>
  <si>
    <t>1F47E</t>
  </si>
  <si>
    <t>hot-dog</t>
  </si>
  <si>
    <t>🌭</t>
  </si>
  <si>
    <t>1F32D</t>
  </si>
  <si>
    <t>oignon</t>
  </si>
  <si>
    <t>🧅</t>
  </si>
  <si>
    <t>1F9C5</t>
  </si>
  <si>
    <t>chat souriant avec des yeux souriants</t>
  </si>
  <si>
    <t>😸</t>
  </si>
  <si>
    <t>1F638</t>
  </si>
  <si>
    <t>étranger</t>
  </si>
  <si>
    <t>👽</t>
  </si>
  <si>
    <t>1F47D</t>
  </si>
  <si>
    <t>face au vent</t>
  </si>
  <si>
    <t>🌬</t>
  </si>
  <si>
    <t>1F32C</t>
  </si>
  <si>
    <t>ail</t>
  </si>
  <si>
    <t>🧄</t>
  </si>
  <si>
    <t>1F9C4</t>
  </si>
  <si>
    <t xml:space="preserve"> avec masque médical</t>
  </si>
  <si>
    <t>😷</t>
  </si>
  <si>
    <t>1F637</t>
  </si>
  <si>
    <t>bébé ange</t>
  </si>
  <si>
    <t>👼</t>
  </si>
  <si>
    <t>1F47C</t>
  </si>
  <si>
    <t>dent</t>
  </si>
  <si>
    <t>🌫</t>
  </si>
  <si>
    <t>1F32B</t>
  </si>
  <si>
    <t>boîte à boissons</t>
  </si>
  <si>
    <t>🧃</t>
  </si>
  <si>
    <t>1F9C3</t>
  </si>
  <si>
    <t>visage sans bouche</t>
  </si>
  <si>
    <t>😶</t>
  </si>
  <si>
    <t>1F636</t>
  </si>
  <si>
    <t>fantôme</t>
  </si>
  <si>
    <t>👻</t>
  </si>
  <si>
    <t>1F47B</t>
  </si>
  <si>
    <t>tornade</t>
  </si>
  <si>
    <t>🌪</t>
  </si>
  <si>
    <t>1F32A</t>
  </si>
  <si>
    <t>🧂</t>
  </si>
  <si>
    <t>1F9C2</t>
  </si>
  <si>
    <t>visage avec des yeux barrés</t>
  </si>
  <si>
    <t>😵</t>
  </si>
  <si>
    <t>1F635</t>
  </si>
  <si>
    <t>lutin</t>
  </si>
  <si>
    <t>👺</t>
  </si>
  <si>
    <t>1F47A</t>
  </si>
  <si>
    <t>nuage avec la foudre</t>
  </si>
  <si>
    <t>🌩</t>
  </si>
  <si>
    <t>1F329</t>
  </si>
  <si>
    <t>Cupcake</t>
  </si>
  <si>
    <t>🧁</t>
  </si>
  <si>
    <t>1F9C1</t>
  </si>
  <si>
    <t>visage endormi</t>
  </si>
  <si>
    <t>😴</t>
  </si>
  <si>
    <t>1F634</t>
  </si>
  <si>
    <t>ogre</t>
  </si>
  <si>
    <t>👹</t>
  </si>
  <si>
    <t>1F479</t>
  </si>
  <si>
    <t>nuage avec neige</t>
  </si>
  <si>
    <t>🌨</t>
  </si>
  <si>
    <t>1F328</t>
  </si>
  <si>
    <t>coin de fromage</t>
  </si>
  <si>
    <t>🧀</t>
  </si>
  <si>
    <t>1F9C0</t>
  </si>
  <si>
    <t>visage rougi</t>
  </si>
  <si>
    <t>😳</t>
  </si>
  <si>
    <t>1F633</t>
  </si>
  <si>
    <t>princesse</t>
  </si>
  <si>
    <t>👸</t>
  </si>
  <si>
    <t>1F478</t>
  </si>
  <si>
    <t>nuage avec pluie</t>
  </si>
  <si>
    <t>🌧</t>
  </si>
  <si>
    <t>1F327</t>
  </si>
  <si>
    <t>jambe mécanique</t>
  </si>
  <si>
    <t>🦿</t>
  </si>
  <si>
    <t>1F9BF</t>
  </si>
  <si>
    <t>visage étonné</t>
  </si>
  <si>
    <t>😲</t>
  </si>
  <si>
    <t>1F632</t>
  </si>
  <si>
    <t>ouvrier du bâtiment</t>
  </si>
  <si>
    <t>👷</t>
  </si>
  <si>
    <t>1F477</t>
  </si>
  <si>
    <t>soleil derrière le nuage de pluie</t>
  </si>
  <si>
    <t>🌦</t>
  </si>
  <si>
    <t>1F326</t>
  </si>
  <si>
    <t>bras mécanique</t>
  </si>
  <si>
    <t>🦾</t>
  </si>
  <si>
    <t>1F9BE</t>
  </si>
  <si>
    <t>visage hurlant de peur</t>
  </si>
  <si>
    <t>😱</t>
  </si>
  <si>
    <t>1F631</t>
  </si>
  <si>
    <t>bébé</t>
  </si>
  <si>
    <t>👶</t>
  </si>
  <si>
    <t>1F476</t>
  </si>
  <si>
    <t>soleil derrière un gros nuage</t>
  </si>
  <si>
    <t>🌥</t>
  </si>
  <si>
    <t>1F325</t>
  </si>
  <si>
    <t>fauteuil roulant manuel</t>
  </si>
  <si>
    <t>🦽</t>
  </si>
  <si>
    <t>1F9BD</t>
  </si>
  <si>
    <t>visage anxieux avec de la sueur</t>
  </si>
  <si>
    <t>😰</t>
  </si>
  <si>
    <t>1F630</t>
  </si>
  <si>
    <t>vieille femme</t>
  </si>
  <si>
    <t>👵</t>
  </si>
  <si>
    <t>1F475</t>
  </si>
  <si>
    <t>soleil derrière un petit nuage</t>
  </si>
  <si>
    <t>🌤</t>
  </si>
  <si>
    <t>1F324</t>
  </si>
  <si>
    <t>fauteuil roulant motorisé</t>
  </si>
  <si>
    <t>🦼</t>
  </si>
  <si>
    <t>1F9BC</t>
  </si>
  <si>
    <t>visage feutré</t>
  </si>
  <si>
    <t>😯</t>
  </si>
  <si>
    <t>1F62F</t>
  </si>
  <si>
    <t>vieillard</t>
  </si>
  <si>
    <t>👴</t>
  </si>
  <si>
    <t>1F474</t>
  </si>
  <si>
    <t>thermomètre</t>
  </si>
  <si>
    <t>🌡</t>
  </si>
  <si>
    <t>1F321</t>
  </si>
  <si>
    <t>oreille avec aide auditive</t>
  </si>
  <si>
    <t>🦻</t>
  </si>
  <si>
    <t>1F9BB</t>
  </si>
  <si>
    <t>visage avec la bouche ouverte</t>
  </si>
  <si>
    <t>😮</t>
  </si>
  <si>
    <t>1F62E</t>
  </si>
  <si>
    <t>personne portant un turban</t>
  </si>
  <si>
    <t>👳</t>
  </si>
  <si>
    <t>1F473</t>
  </si>
  <si>
    <t>étoile filante</t>
  </si>
  <si>
    <t>🌠</t>
  </si>
  <si>
    <t>1F320</t>
  </si>
  <si>
    <t>gilet de sécurité</t>
  </si>
  <si>
    <t>🦺</t>
  </si>
  <si>
    <t>1F9BA</t>
  </si>
  <si>
    <t>visage qui pleure fort</t>
  </si>
  <si>
    <t>😭</t>
  </si>
  <si>
    <t>1F62D</t>
  </si>
  <si>
    <t>personne avec calotte</t>
  </si>
  <si>
    <t>👲</t>
  </si>
  <si>
    <t>1F472</t>
  </si>
  <si>
    <t>étoile brillante</t>
  </si>
  <si>
    <t>🌟</t>
  </si>
  <si>
    <t>1F31F</t>
  </si>
  <si>
    <t>super-vilain</t>
  </si>
  <si>
    <t>🦹</t>
  </si>
  <si>
    <t>1F9B9</t>
  </si>
  <si>
    <t>grimaçant le visage</t>
  </si>
  <si>
    <t>😬</t>
  </si>
  <si>
    <t>1F62C</t>
  </si>
  <si>
    <t>personne: cheveux blonds</t>
  </si>
  <si>
    <t>👱</t>
  </si>
  <si>
    <t>1F471</t>
  </si>
  <si>
    <t>soleil avec visage</t>
  </si>
  <si>
    <t>🌞</t>
  </si>
  <si>
    <t>1F31E</t>
  </si>
  <si>
    <t>super-héros</t>
  </si>
  <si>
    <t>🦸</t>
  </si>
  <si>
    <t>1F9B8</t>
  </si>
  <si>
    <t>visage fatigué</t>
  </si>
  <si>
    <t>😫</t>
  </si>
  <si>
    <t>1F62B</t>
  </si>
  <si>
    <t>personne avec voile</t>
  </si>
  <si>
    <t>👰</t>
  </si>
  <si>
    <t>1F470</t>
  </si>
  <si>
    <t>visage de pleine lune</t>
  </si>
  <si>
    <t>🌝</t>
  </si>
  <si>
    <t>1F31D</t>
  </si>
  <si>
    <t>🦷</t>
  </si>
  <si>
    <t>1F9B7</t>
  </si>
  <si>
    <t>😪</t>
  </si>
  <si>
    <t>1F62A</t>
  </si>
  <si>
    <t>les personnes ayant des oreilles de lapin</t>
  </si>
  <si>
    <t>👯</t>
  </si>
  <si>
    <t>1F46F</t>
  </si>
  <si>
    <t>dernier visage de quart de lune</t>
  </si>
  <si>
    <t>🌜</t>
  </si>
  <si>
    <t>1F31C</t>
  </si>
  <si>
    <t>🦶</t>
  </si>
  <si>
    <t>1F9B6</t>
  </si>
  <si>
    <t>😩</t>
  </si>
  <si>
    <t>1F629</t>
  </si>
  <si>
    <t>policier</t>
  </si>
  <si>
    <t>👮</t>
  </si>
  <si>
    <t>1F46E</t>
  </si>
  <si>
    <t>premier quartier de lune face</t>
  </si>
  <si>
    <t>🌛</t>
  </si>
  <si>
    <t>1F31B</t>
  </si>
  <si>
    <t>jambe</t>
  </si>
  <si>
    <t>🦵</t>
  </si>
  <si>
    <t>1F9B5</t>
  </si>
  <si>
    <t>visage craintif</t>
  </si>
  <si>
    <t>😨</t>
  </si>
  <si>
    <t>1F628</t>
  </si>
  <si>
    <t>les femmes se tenant la main</t>
  </si>
  <si>
    <t>👭</t>
  </si>
  <si>
    <t>1F46D</t>
  </si>
  <si>
    <t>nouvelle face à la lune</t>
  </si>
  <si>
    <t>🌚</t>
  </si>
  <si>
    <t>1F31A</t>
  </si>
  <si>
    <t>os</t>
  </si>
  <si>
    <t>🦴</t>
  </si>
  <si>
    <t>1F9B4</t>
  </si>
  <si>
    <t>visage angoissé</t>
  </si>
  <si>
    <t>😧</t>
  </si>
  <si>
    <t>1F627</t>
  </si>
  <si>
    <t>hommes se tenant la main</t>
  </si>
  <si>
    <t>👬</t>
  </si>
  <si>
    <t>1F46C</t>
  </si>
  <si>
    <t>croissant</t>
  </si>
  <si>
    <t>🌙</t>
  </si>
  <si>
    <t>1F319</t>
  </si>
  <si>
    <t>cheveux blancs</t>
  </si>
  <si>
    <t>🦳</t>
  </si>
  <si>
    <t>1F9B3</t>
  </si>
  <si>
    <t>visage fronçant les sourcils avec la bouche ouverte</t>
  </si>
  <si>
    <t>😦</t>
  </si>
  <si>
    <t>1F626</t>
  </si>
  <si>
    <t>femme et homme se tenant la main</t>
  </si>
  <si>
    <t>👫</t>
  </si>
  <si>
    <t>1F46B</t>
  </si>
  <si>
    <t>croissant de lune décroissant</t>
  </si>
  <si>
    <t>🌘</t>
  </si>
  <si>
    <t>1F318</t>
  </si>
  <si>
    <t>bientôt</t>
  </si>
  <si>
    <t>🦲</t>
  </si>
  <si>
    <t>1F9B2</t>
  </si>
  <si>
    <t>visage triste mais soulagé</t>
  </si>
  <si>
    <t>😥</t>
  </si>
  <si>
    <t>1F625</t>
  </si>
  <si>
    <t>Famille</t>
  </si>
  <si>
    <t>👪</t>
  </si>
  <si>
    <t>1F46A</t>
  </si>
  <si>
    <t>dernier quartier de lune</t>
  </si>
  <si>
    <t>🌗</t>
  </si>
  <si>
    <t>1F317</t>
  </si>
  <si>
    <t>cheveux bouclés</t>
  </si>
  <si>
    <t>🦱</t>
  </si>
  <si>
    <t>1F9B1</t>
  </si>
  <si>
    <t>visage avec la vapeur du nez</t>
  </si>
  <si>
    <t>😤</t>
  </si>
  <si>
    <t>1F624</t>
  </si>
  <si>
    <t>femme</t>
  </si>
  <si>
    <t>👩</t>
  </si>
  <si>
    <t>1F469</t>
  </si>
  <si>
    <t>lune gibbeuse décroissante</t>
  </si>
  <si>
    <t>🌖</t>
  </si>
  <si>
    <t>1F316</t>
  </si>
  <si>
    <t>cheveux roux</t>
  </si>
  <si>
    <t>🦰</t>
  </si>
  <si>
    <t>1F9B0</t>
  </si>
  <si>
    <t>visage persévérant</t>
  </si>
  <si>
    <t>😣</t>
  </si>
  <si>
    <t>1F623</t>
  </si>
  <si>
    <t>Un</t>
  </si>
  <si>
    <t>👨</t>
  </si>
  <si>
    <t>1F468</t>
  </si>
  <si>
    <t>pleine lune</t>
  </si>
  <si>
    <t>🌕</t>
  </si>
  <si>
    <t>1F315</t>
  </si>
  <si>
    <t>cane blanche</t>
  </si>
  <si>
    <t>🦯</t>
  </si>
  <si>
    <t>1F9AF</t>
  </si>
  <si>
    <t>visage qui pleure</t>
  </si>
  <si>
    <t>😢</t>
  </si>
  <si>
    <t>1F622</t>
  </si>
  <si>
    <t>fille</t>
  </si>
  <si>
    <t>👧</t>
  </si>
  <si>
    <t>1F467</t>
  </si>
  <si>
    <t>cire de lune gibbeuse</t>
  </si>
  <si>
    <t>🌔</t>
  </si>
  <si>
    <t>1F314</t>
  </si>
  <si>
    <t>chien-guide</t>
  </si>
  <si>
    <t>🦮</t>
  </si>
  <si>
    <t>1F9AE</t>
  </si>
  <si>
    <t>faire la moue du visage</t>
  </si>
  <si>
    <t>😡</t>
  </si>
  <si>
    <t>1F621</t>
  </si>
  <si>
    <t>garçon</t>
  </si>
  <si>
    <t>👦</t>
  </si>
  <si>
    <t>1F466</t>
  </si>
  <si>
    <t>premier quartier de lune</t>
  </si>
  <si>
    <t>🌓</t>
  </si>
  <si>
    <t>1F313</t>
  </si>
  <si>
    <t>Phoque</t>
  </si>
  <si>
    <t>🦭</t>
  </si>
  <si>
    <t>1F9AD</t>
  </si>
  <si>
    <t>visage en colère</t>
  </si>
  <si>
    <t>😠</t>
  </si>
  <si>
    <t>1F620</t>
  </si>
  <si>
    <t>bustes en silhouette</t>
  </si>
  <si>
    <t>👥</t>
  </si>
  <si>
    <t>1F465</t>
  </si>
  <si>
    <t>croissant de lune</t>
  </si>
  <si>
    <t>🌒</t>
  </si>
  <si>
    <t>1F312</t>
  </si>
  <si>
    <t>bison</t>
  </si>
  <si>
    <t>🦬</t>
  </si>
  <si>
    <t>1F9AC</t>
  </si>
  <si>
    <t>visage inquiet</t>
  </si>
  <si>
    <t>😟</t>
  </si>
  <si>
    <t>1F61F</t>
  </si>
  <si>
    <t>buste en silhouette</t>
  </si>
  <si>
    <t>👤</t>
  </si>
  <si>
    <t>1F464</t>
  </si>
  <si>
    <t>nouvelle lune</t>
  </si>
  <si>
    <t>🌑</t>
  </si>
  <si>
    <t>1F311</t>
  </si>
  <si>
    <t>castor</t>
  </si>
  <si>
    <t>🦫</t>
  </si>
  <si>
    <t>1F9AB</t>
  </si>
  <si>
    <t>visage déçu</t>
  </si>
  <si>
    <t>😞</t>
  </si>
  <si>
    <t>1F61E</t>
  </si>
  <si>
    <t>Empreintes</t>
  </si>
  <si>
    <t>👣</t>
  </si>
  <si>
    <t>1F463</t>
  </si>
  <si>
    <t>globe avec méridiens</t>
  </si>
  <si>
    <t>🌐</t>
  </si>
  <si>
    <t>1F310</t>
  </si>
  <si>
    <t>huître</t>
  </si>
  <si>
    <t>🦪</t>
  </si>
  <si>
    <t>1F9AA</t>
  </si>
  <si>
    <t>plisser les quins avec la langue</t>
  </si>
  <si>
    <t>😝</t>
  </si>
  <si>
    <t>1F61D</t>
  </si>
  <si>
    <t>botte de femme</t>
  </si>
  <si>
    <t>👢</t>
  </si>
  <si>
    <t>1F462</t>
  </si>
  <si>
    <t>globe montrant l’Asie-Australie</t>
  </si>
  <si>
    <t>🌏</t>
  </si>
  <si>
    <t>1F30F</t>
  </si>
  <si>
    <t>Flamant</t>
  </si>
  <si>
    <t>🦩</t>
  </si>
  <si>
    <t>1F9A9</t>
  </si>
  <si>
    <t>clin d’œil au visage avec la langue</t>
  </si>
  <si>
    <t>😜</t>
  </si>
  <si>
    <t>1F61C</t>
  </si>
  <si>
    <t>sandale femme</t>
  </si>
  <si>
    <t>👡</t>
  </si>
  <si>
    <t>1F461</t>
  </si>
  <si>
    <t>globe montrant les Amériques</t>
  </si>
  <si>
    <t>🌎</t>
  </si>
  <si>
    <t>1F30E</t>
  </si>
  <si>
    <t>mouffette</t>
  </si>
  <si>
    <t>🦨</t>
  </si>
  <si>
    <t>1F9A8</t>
  </si>
  <si>
    <t>visage avec langue</t>
  </si>
  <si>
    <t>😛</t>
  </si>
  <si>
    <t>1F61B</t>
  </si>
  <si>
    <t>chaussure à talons hauts</t>
  </si>
  <si>
    <t>👠</t>
  </si>
  <si>
    <t>1F460</t>
  </si>
  <si>
    <t>globe montrant l’Europe-Afrique</t>
  </si>
  <si>
    <t>🌍</t>
  </si>
  <si>
    <t>1F30D</t>
  </si>
  <si>
    <t>orang-outan</t>
  </si>
  <si>
    <t>🦧</t>
  </si>
  <si>
    <t>1F9A7</t>
  </si>
  <si>
    <t>embrasser le visage les yeux fermés</t>
  </si>
  <si>
    <t>😚</t>
  </si>
  <si>
    <t>1F61A</t>
  </si>
  <si>
    <t>chaussure de course</t>
  </si>
  <si>
    <t>👟</t>
  </si>
  <si>
    <t>1F45F</t>
  </si>
  <si>
    <t>Voie Lactée</t>
  </si>
  <si>
    <t>🌌</t>
  </si>
  <si>
    <t>1F30C</t>
  </si>
  <si>
    <t>loutre</t>
  </si>
  <si>
    <t>🦦</t>
  </si>
  <si>
    <t>1F9A6</t>
  </si>
  <si>
    <t>embrasser le visage avec des yeux souriants</t>
  </si>
  <si>
    <t>😙</t>
  </si>
  <si>
    <t>1F619</t>
  </si>
  <si>
    <t>chaussure d’homme</t>
  </si>
  <si>
    <t>👞</t>
  </si>
  <si>
    <t>1F45E</t>
  </si>
  <si>
    <t>volcan</t>
  </si>
  <si>
    <t>🌋</t>
  </si>
  <si>
    <t>1F30B</t>
  </si>
  <si>
    <t>paresse</t>
  </si>
  <si>
    <t>🦥</t>
  </si>
  <si>
    <t>1F9A5</t>
  </si>
  <si>
    <t>visage soufflant un baiser</t>
  </si>
  <si>
    <t>😘</t>
  </si>
  <si>
    <t>1F618</t>
  </si>
  <si>
    <t>sac d’embrayage</t>
  </si>
  <si>
    <t>👝</t>
  </si>
  <si>
    <t>1F45D</t>
  </si>
  <si>
    <t>vague d’eau</t>
  </si>
  <si>
    <t>🌊</t>
  </si>
  <si>
    <t>1F30A</t>
  </si>
  <si>
    <t>dodo</t>
  </si>
  <si>
    <t>🦤</t>
  </si>
  <si>
    <t>1F9A4</t>
  </si>
  <si>
    <t>embrasser le visage</t>
  </si>
  <si>
    <t>😗</t>
  </si>
  <si>
    <t>1F617</t>
  </si>
  <si>
    <t>sac à main</t>
  </si>
  <si>
    <t>👜</t>
  </si>
  <si>
    <t>1F45C</t>
  </si>
  <si>
    <t>pont la nuit</t>
  </si>
  <si>
    <t>🌉</t>
  </si>
  <si>
    <t>1F309</t>
  </si>
  <si>
    <t>mammouth</t>
  </si>
  <si>
    <t>🦣</t>
  </si>
  <si>
    <t>1F9A3</t>
  </si>
  <si>
    <t>visage confus</t>
  </si>
  <si>
    <t>😖</t>
  </si>
  <si>
    <t>1F616</t>
  </si>
  <si>
    <t>porte-monnaie</t>
  </si>
  <si>
    <t>👛</t>
  </si>
  <si>
    <t>1F45B</t>
  </si>
  <si>
    <t>arc-en-ciel</t>
  </si>
  <si>
    <t>🌈</t>
  </si>
  <si>
    <t>1F308</t>
  </si>
  <si>
    <t>cygne</t>
  </si>
  <si>
    <t>🦢</t>
  </si>
  <si>
    <t>1F9A2</t>
  </si>
  <si>
    <t>😕</t>
  </si>
  <si>
    <t>1F615</t>
  </si>
  <si>
    <t>vêtements de femme</t>
  </si>
  <si>
    <t>👚</t>
  </si>
  <si>
    <t>1F45A</t>
  </si>
  <si>
    <t>coucher de soleil</t>
  </si>
  <si>
    <t>🌇</t>
  </si>
  <si>
    <t>1F307</t>
  </si>
  <si>
    <t>blaireau</t>
  </si>
  <si>
    <t>🦡</t>
  </si>
  <si>
    <t>1F9A1</t>
  </si>
  <si>
    <t>visage pensif</t>
  </si>
  <si>
    <t>😔</t>
  </si>
  <si>
    <t>1F614</t>
  </si>
  <si>
    <t>bikini</t>
  </si>
  <si>
    <t>👙</t>
  </si>
  <si>
    <t>1F459</t>
  </si>
  <si>
    <t>paysage urbain au crépuscule</t>
  </si>
  <si>
    <t>🌆</t>
  </si>
  <si>
    <t>1F306</t>
  </si>
  <si>
    <t>microbe</t>
  </si>
  <si>
    <t>🦠</t>
  </si>
  <si>
    <t>1F9A0</t>
  </si>
  <si>
    <t>visage abattu avec de la sueur</t>
  </si>
  <si>
    <t>😓</t>
  </si>
  <si>
    <t>1F613</t>
  </si>
  <si>
    <t>kimono</t>
  </si>
  <si>
    <t>👘</t>
  </si>
  <si>
    <t>1F458</t>
  </si>
  <si>
    <t>lever du soleil</t>
  </si>
  <si>
    <t>🌅</t>
  </si>
  <si>
    <t>1F305</t>
  </si>
  <si>
    <t>moustique</t>
  </si>
  <si>
    <t>🦟</t>
  </si>
  <si>
    <t>1F99F</t>
  </si>
  <si>
    <t>visage non amusé</t>
  </si>
  <si>
    <t>😒</t>
  </si>
  <si>
    <t>1F612</t>
  </si>
  <si>
    <t>robe</t>
  </si>
  <si>
    <t>👗</t>
  </si>
  <si>
    <t>1F457</t>
  </si>
  <si>
    <t>lever de soleil sur les montagnes</t>
  </si>
  <si>
    <t>🌄</t>
  </si>
  <si>
    <t>1F304</t>
  </si>
  <si>
    <t>homard</t>
  </si>
  <si>
    <t>🦞</t>
  </si>
  <si>
    <t>1F99E</t>
  </si>
  <si>
    <t>visage sans expression</t>
  </si>
  <si>
    <t>😑</t>
  </si>
  <si>
    <t>1F611</t>
  </si>
  <si>
    <t>jeans</t>
  </si>
  <si>
    <t>👖</t>
  </si>
  <si>
    <t>1F456</t>
  </si>
  <si>
    <t>nuit avec des étoiles</t>
  </si>
  <si>
    <t>🌃</t>
  </si>
  <si>
    <t>1F303</t>
  </si>
  <si>
    <t>raton laveur</t>
  </si>
  <si>
    <t>🦝</t>
  </si>
  <si>
    <t>1F99D</t>
  </si>
  <si>
    <t>visage neutre</t>
  </si>
  <si>
    <t>😐</t>
  </si>
  <si>
    <t>1F610</t>
  </si>
  <si>
    <t>t-shirt</t>
  </si>
  <si>
    <t>👕</t>
  </si>
  <si>
    <t>1F455</t>
  </si>
  <si>
    <t>parapluie fermé</t>
  </si>
  <si>
    <t>🌂</t>
  </si>
  <si>
    <t>1F302</t>
  </si>
  <si>
    <t>perroquet</t>
  </si>
  <si>
    <t>🦜</t>
  </si>
  <si>
    <t>1F99C</t>
  </si>
  <si>
    <t>visage souriant</t>
  </si>
  <si>
    <t>😏</t>
  </si>
  <si>
    <t>1F60F</t>
  </si>
  <si>
    <t>cravate</t>
  </si>
  <si>
    <t>👔</t>
  </si>
  <si>
    <t>1F454</t>
  </si>
  <si>
    <t>brumeux</t>
  </si>
  <si>
    <t>🌁</t>
  </si>
  <si>
    <t>1F301</t>
  </si>
  <si>
    <t>hippopotame</t>
  </si>
  <si>
    <t>🦛</t>
  </si>
  <si>
    <t>1F99B</t>
  </si>
  <si>
    <t>visage souriant avec des lunettes de soleil</t>
  </si>
  <si>
    <t>😎</t>
  </si>
  <si>
    <t>1F60E</t>
  </si>
  <si>
    <t>lunettes</t>
  </si>
  <si>
    <t>👓</t>
  </si>
  <si>
    <t>1F453</t>
  </si>
  <si>
    <t>cyclone</t>
  </si>
  <si>
    <t>🌀</t>
  </si>
  <si>
    <t>1F300</t>
  </si>
  <si>
    <t>paon</t>
  </si>
  <si>
    <t>🦚</t>
  </si>
  <si>
    <t>1F99A</t>
  </si>
  <si>
    <t>visage souriant avec des yeux de cœur</t>
  </si>
  <si>
    <t>😍</t>
  </si>
  <si>
    <t>1F60D</t>
  </si>
  <si>
    <t>chapeau de femme</t>
  </si>
  <si>
    <t>👒</t>
  </si>
  <si>
    <t>1F452</t>
  </si>
  <si>
    <t>Bouton japonais « acceptable »</t>
  </si>
  <si>
    <t>🉑</t>
  </si>
  <si>
    <t>1F251</t>
  </si>
  <si>
    <t>flamme</t>
  </si>
  <si>
    <t>🦙</t>
  </si>
  <si>
    <t>1F999</t>
  </si>
  <si>
    <t>visage soulagé</t>
  </si>
  <si>
    <t>😌</t>
  </si>
  <si>
    <t>1F60C</t>
  </si>
  <si>
    <t>couronne</t>
  </si>
  <si>
    <t>👑</t>
  </si>
  <si>
    <t>1F451</t>
  </si>
  <si>
    <t>Bouton japonais « bargain »</t>
  </si>
  <si>
    <t>🉐</t>
  </si>
  <si>
    <t>1F250</t>
  </si>
  <si>
    <t>kangourou</t>
  </si>
  <si>
    <t>🦘</t>
  </si>
  <si>
    <t>1F998</t>
  </si>
  <si>
    <t>visage savourant de la nourriture</t>
  </si>
  <si>
    <t>😋</t>
  </si>
  <si>
    <t>1F60B</t>
  </si>
  <si>
    <t>ouvrir les mains</t>
  </si>
  <si>
    <t>👐</t>
  </si>
  <si>
    <t>1F450</t>
  </si>
  <si>
    <t>Bouton japonais « open for business »</t>
  </si>
  <si>
    <t>🈺</t>
  </si>
  <si>
    <t>1F23A</t>
  </si>
  <si>
    <t>grillon</t>
  </si>
  <si>
    <t>🦗</t>
  </si>
  <si>
    <t>1F997</t>
  </si>
  <si>
    <t>visage souriant avec des yeux souriants</t>
  </si>
  <si>
    <t>😊</t>
  </si>
  <si>
    <t>1F60A</t>
  </si>
  <si>
    <t>tapant des mains</t>
  </si>
  <si>
    <t>👏</t>
  </si>
  <si>
    <t>1F44F</t>
  </si>
  <si>
    <t>Bouton japonais « discount »</t>
  </si>
  <si>
    <t>🈹</t>
  </si>
  <si>
    <t>1F239</t>
  </si>
  <si>
    <t>T-Rex</t>
  </si>
  <si>
    <t>🦖</t>
  </si>
  <si>
    <t>1F996</t>
  </si>
  <si>
    <t>clin d’œil au visage</t>
  </si>
  <si>
    <t>😉</t>
  </si>
  <si>
    <t>1F609</t>
  </si>
  <si>
    <t>pouce vers le bas</t>
  </si>
  <si>
    <t>👎</t>
  </si>
  <si>
    <t>1F44E</t>
  </si>
  <si>
    <t>Bouton « application » japonais</t>
  </si>
  <si>
    <t>🈸</t>
  </si>
  <si>
    <t>1F238</t>
  </si>
  <si>
    <t>sauropode</t>
  </si>
  <si>
    <t>🦕</t>
  </si>
  <si>
    <t>1F995</t>
  </si>
  <si>
    <t>visage souriant avec des cornes</t>
  </si>
  <si>
    <t>😈</t>
  </si>
  <si>
    <t>1F608</t>
  </si>
  <si>
    <t>Feu vert</t>
  </si>
  <si>
    <t>👍</t>
  </si>
  <si>
    <t>1F44D</t>
  </si>
  <si>
    <t>Bouton japonais « montant mensuel »</t>
  </si>
  <si>
    <t>🈷</t>
  </si>
  <si>
    <t>1F237</t>
  </si>
  <si>
    <t>hérisson</t>
  </si>
  <si>
    <t>🦔</t>
  </si>
  <si>
    <t>1F994</t>
  </si>
  <si>
    <t>visage souriant avec halo</t>
  </si>
  <si>
    <t>😇</t>
  </si>
  <si>
    <t>1F607</t>
  </si>
  <si>
    <t>OK main</t>
  </si>
  <si>
    <t>👌</t>
  </si>
  <si>
    <t>1F44C</t>
  </si>
  <si>
    <t>Bouton japonais « non gratuit »</t>
  </si>
  <si>
    <t>🈶</t>
  </si>
  <si>
    <t>1F236</t>
  </si>
  <si>
    <t>zèbre</t>
  </si>
  <si>
    <t>🦓</t>
  </si>
  <si>
    <t>1F993</t>
  </si>
  <si>
    <t>Sourire en plissant les ébissements</t>
  </si>
  <si>
    <t>😆</t>
  </si>
  <si>
    <t>1F606</t>
  </si>
  <si>
    <t>agitant la main</t>
  </si>
  <si>
    <t>👋</t>
  </si>
  <si>
    <t>1F44B</t>
  </si>
  <si>
    <t>Bouton japonais « no vacancy »</t>
  </si>
  <si>
    <t>🈵</t>
  </si>
  <si>
    <t>1F235</t>
  </si>
  <si>
    <t>girafe</t>
  </si>
  <si>
    <t>🦒</t>
  </si>
  <si>
    <t>1F992</t>
  </si>
  <si>
    <t>Visage souriant avec de la sueur</t>
  </si>
  <si>
    <t>😅</t>
  </si>
  <si>
    <t>1F605</t>
  </si>
  <si>
    <t>poing venant en avant</t>
  </si>
  <si>
    <t>👊</t>
  </si>
  <si>
    <t>1F44A</t>
  </si>
  <si>
    <t>Bouton japonais « passing grade »</t>
  </si>
  <si>
    <t>🈴</t>
  </si>
  <si>
    <t>1F234</t>
  </si>
  <si>
    <t>calmar</t>
  </si>
  <si>
    <t>🦑</t>
  </si>
  <si>
    <t>1F991</t>
  </si>
  <si>
    <t>Visage souriant avec des yeux souriants</t>
  </si>
  <si>
    <t>😄</t>
  </si>
  <si>
    <t>1F604</t>
  </si>
  <si>
    <t>index de revers pointant vers la droite</t>
  </si>
  <si>
    <t>👉</t>
  </si>
  <si>
    <t>1F449</t>
  </si>
  <si>
    <t>Bouton japonais « vacance »</t>
  </si>
  <si>
    <t>🈳</t>
  </si>
  <si>
    <t>1F233</t>
  </si>
  <si>
    <t>crevette</t>
  </si>
  <si>
    <t>🦐</t>
  </si>
  <si>
    <t>1F990</t>
  </si>
  <si>
    <t>Visage souriant avec de grands yeux</t>
  </si>
  <si>
    <t>😃</t>
  </si>
  <si>
    <t>1F603</t>
  </si>
  <si>
    <t>index de revers pointant vers la gauche</t>
  </si>
  <si>
    <t>👈</t>
  </si>
  <si>
    <t>1F448</t>
  </si>
  <si>
    <t>Bouton japonais « interdit »</t>
  </si>
  <si>
    <t>🈲</t>
  </si>
  <si>
    <t>1F232</t>
  </si>
  <si>
    <t>rhinocéros</t>
  </si>
  <si>
    <t>🦏</t>
  </si>
  <si>
    <t>1F98F</t>
  </si>
  <si>
    <t>index de revers pointant vers le bas</t>
  </si>
  <si>
    <t>👇</t>
  </si>
  <si>
    <t>1F447</t>
  </si>
  <si>
    <t>Bouton japonais « réservé »</t>
  </si>
  <si>
    <t>🈯</t>
  </si>
  <si>
    <t>1F22F</t>
  </si>
  <si>
    <t>lézard</t>
  </si>
  <si>
    <t>🦎</t>
  </si>
  <si>
    <t>1F98E</t>
  </si>
  <si>
    <t>visage avec des larmes de joie</t>
  </si>
  <si>
    <t>😂</t>
  </si>
  <si>
    <t>1F602</t>
  </si>
  <si>
    <t>index de revers pointant vers le haut</t>
  </si>
  <si>
    <t>👆</t>
  </si>
  <si>
    <t>1F446</t>
  </si>
  <si>
    <t>Bouton japonais « gratuit »</t>
  </si>
  <si>
    <t>🈚</t>
  </si>
  <si>
    <t>1F21A</t>
  </si>
  <si>
    <t>gorille</t>
  </si>
  <si>
    <t>🦍</t>
  </si>
  <si>
    <t>1F98D</t>
  </si>
  <si>
    <t>visage rayonnant avec des yeux souriants</t>
  </si>
  <si>
    <t>😁</t>
  </si>
  <si>
    <t>1F601</t>
  </si>
  <si>
    <t>langue</t>
  </si>
  <si>
    <t>👅</t>
  </si>
  <si>
    <t>1F445</t>
  </si>
  <si>
    <t>Bouton japonais « frais de service »</t>
  </si>
  <si>
    <t>🈂</t>
  </si>
  <si>
    <t>1F202</t>
  </si>
  <si>
    <t>cerf</t>
  </si>
  <si>
    <t>🦌</t>
  </si>
  <si>
    <t>1F98C</t>
  </si>
  <si>
    <t>Visage souriant</t>
  </si>
  <si>
    <t>😀</t>
  </si>
  <si>
    <t>1F600</t>
  </si>
  <si>
    <t>bouche</t>
  </si>
  <si>
    <t>👄</t>
  </si>
  <si>
    <t>1F444</t>
  </si>
  <si>
    <t>Bouton japonais « ici »</t>
  </si>
  <si>
    <t>🈁</t>
  </si>
  <si>
    <t>1F201</t>
  </si>
  <si>
    <t>papillon</t>
  </si>
  <si>
    <t>🦋</t>
  </si>
  <si>
    <t>1F98B</t>
  </si>
  <si>
    <t>??</t>
  </si>
  <si>
    <t>nez</t>
  </si>
  <si>
    <t>👃</t>
  </si>
  <si>
    <t>1F443</t>
  </si>
  <si>
    <t>Bouton VS</t>
  </si>
  <si>
    <t>🆚</t>
  </si>
  <si>
    <t>1F19A</t>
  </si>
  <si>
    <t>Renard</t>
  </si>
  <si>
    <t>🦊</t>
  </si>
  <si>
    <t>1F98A</t>
  </si>
  <si>
    <t>moai</t>
  </si>
  <si>
    <t>🗿</t>
  </si>
  <si>
    <t>1F5FF</t>
  </si>
  <si>
    <t>oreille</t>
  </si>
  <si>
    <t>👂</t>
  </si>
  <si>
    <t>1F442</t>
  </si>
  <si>
    <t>EN HAUT! bouton</t>
  </si>
  <si>
    <t>🆙</t>
  </si>
  <si>
    <t>1F199</t>
  </si>
  <si>
    <t>hibou</t>
  </si>
  <si>
    <t>🦉</t>
  </si>
  <si>
    <t>1F989</t>
  </si>
  <si>
    <t>carte du Japon</t>
  </si>
  <si>
    <t>🗾</t>
  </si>
  <si>
    <t>1F5FE</t>
  </si>
  <si>
    <t>oeil</t>
  </si>
  <si>
    <t>👁</t>
  </si>
  <si>
    <t>1F441</t>
  </si>
  <si>
    <t>Bouton SOS</t>
  </si>
  <si>
    <t>🆘</t>
  </si>
  <si>
    <t>1F198</t>
  </si>
  <si>
    <t>requin</t>
  </si>
  <si>
    <t>🦈</t>
  </si>
  <si>
    <t>1F988</t>
  </si>
  <si>
    <t>Statue de la Liberté</t>
  </si>
  <si>
    <t>🗽</t>
  </si>
  <si>
    <t>1F5FD</t>
  </si>
  <si>
    <t>yeux</t>
  </si>
  <si>
    <t>👀</t>
  </si>
  <si>
    <t>1F440</t>
  </si>
  <si>
    <t>Bouton OK</t>
  </si>
  <si>
    <t>🆗</t>
  </si>
  <si>
    <t>1F197</t>
  </si>
  <si>
    <t>bat</t>
  </si>
  <si>
    <t>🦇</t>
  </si>
  <si>
    <t>1F987</t>
  </si>
  <si>
    <t>Tour de Tokyo</t>
  </si>
  <si>
    <t>🗼</t>
  </si>
  <si>
    <t>1F5FC</t>
  </si>
  <si>
    <t>tamia</t>
  </si>
  <si>
    <t>🐿</t>
  </si>
  <si>
    <t>1F43F</t>
  </si>
  <si>
    <t>Bouton NG</t>
  </si>
  <si>
    <t>🆖</t>
  </si>
  <si>
    <t>1F196</t>
  </si>
  <si>
    <t>canard</t>
  </si>
  <si>
    <t>🦆</t>
  </si>
  <si>
    <t>1F986</t>
  </si>
  <si>
    <t>Mont Fuji</t>
  </si>
  <si>
    <t>🗻</t>
  </si>
  <si>
    <t>1F5FB</t>
  </si>
  <si>
    <t>empreintes de pattes</t>
  </si>
  <si>
    <t>🐾</t>
  </si>
  <si>
    <t>1F43E</t>
  </si>
  <si>
    <t>Bouton NOUVEAU</t>
  </si>
  <si>
    <t>🆕</t>
  </si>
  <si>
    <t>1F195</t>
  </si>
  <si>
    <t>aigle</t>
  </si>
  <si>
    <t>🦅</t>
  </si>
  <si>
    <t>1F985</t>
  </si>
  <si>
    <t>carte du monde</t>
  </si>
  <si>
    <t>🗺</t>
  </si>
  <si>
    <t>1F5FA</t>
  </si>
  <si>
    <t>nez de porc</t>
  </si>
  <si>
    <t>🐽</t>
  </si>
  <si>
    <t>1F43D</t>
  </si>
  <si>
    <t>Bouton ID</t>
  </si>
  <si>
    <t>🆔</t>
  </si>
  <si>
    <t>1F194</t>
  </si>
  <si>
    <t>licorne</t>
  </si>
  <si>
    <t>🦄</t>
  </si>
  <si>
    <t>1F984</t>
  </si>
  <si>
    <t>urne avec bulletin de vote</t>
  </si>
  <si>
    <t>🗳</t>
  </si>
  <si>
    <t>1F5F3</t>
  </si>
  <si>
    <t>panda</t>
  </si>
  <si>
    <t>🐼</t>
  </si>
  <si>
    <t>1F43C</t>
  </si>
  <si>
    <t>Bouton GRATUIT</t>
  </si>
  <si>
    <t>🆓</t>
  </si>
  <si>
    <t>1F193</t>
  </si>
  <si>
    <t>Turquie</t>
  </si>
  <si>
    <t>🦃</t>
  </si>
  <si>
    <t>1F983</t>
  </si>
  <si>
    <t>bulle de colère droite</t>
  </si>
  <si>
    <t>🗯</t>
  </si>
  <si>
    <t>1F5EF</t>
  </si>
  <si>
    <t>ours</t>
  </si>
  <si>
    <t>🐻</t>
  </si>
  <si>
    <t>1F43B</t>
  </si>
  <si>
    <t>Bouton COOL</t>
  </si>
  <si>
    <t>🆒</t>
  </si>
  <si>
    <t>1F192</t>
  </si>
  <si>
    <t>scorpion</t>
  </si>
  <si>
    <t>🦂</t>
  </si>
  <si>
    <t>1F982</t>
  </si>
  <si>
    <t>bulle de parole gauche</t>
  </si>
  <si>
    <t>🗨</t>
  </si>
  <si>
    <t>1F5E8</t>
  </si>
  <si>
    <t>loup</t>
  </si>
  <si>
    <t>🐺</t>
  </si>
  <si>
    <t>1F43A</t>
  </si>
  <si>
    <t>Bouton CL</t>
  </si>
  <si>
    <t>🆑</t>
  </si>
  <si>
    <t>1F191</t>
  </si>
  <si>
    <t>lion</t>
  </si>
  <si>
    <t>🦁</t>
  </si>
  <si>
    <t>1F981</t>
  </si>
  <si>
    <t>tête parlante</t>
  </si>
  <si>
    <t>🗣</t>
  </si>
  <si>
    <t>1F5E3</t>
  </si>
  <si>
    <t>hamster</t>
  </si>
  <si>
    <t>🐹</t>
  </si>
  <si>
    <t>1F439</t>
  </si>
  <si>
    <t>Bouton AB (groupe sanguin)</t>
  </si>
  <si>
    <t>🆎</t>
  </si>
  <si>
    <t>1F18E</t>
  </si>
  <si>
    <t>crabe</t>
  </si>
  <si>
    <t>🦀</t>
  </si>
  <si>
    <t>1F980</t>
  </si>
  <si>
    <t>dague</t>
  </si>
  <si>
    <t>🗡</t>
  </si>
  <si>
    <t>1F5E1</t>
  </si>
  <si>
    <t>grenouille</t>
  </si>
  <si>
    <t>🐸</t>
  </si>
  <si>
    <t>1F438</t>
  </si>
  <si>
    <t>Bouton P</t>
  </si>
  <si>
    <t>🅿</t>
  </si>
  <si>
    <t>1F17F</t>
  </si>
  <si>
    <t>chaussure plate</t>
  </si>
  <si>
    <t>🥿</t>
  </si>
  <si>
    <t>1F97F</t>
  </si>
  <si>
    <t>journal enroulé</t>
  </si>
  <si>
    <t>🗞</t>
  </si>
  <si>
    <t>1F5DE</t>
  </si>
  <si>
    <t>visage de porc</t>
  </si>
  <si>
    <t>🐷</t>
  </si>
  <si>
    <t>1F437</t>
  </si>
  <si>
    <t>Bouton O (groupe sanguin)</t>
  </si>
  <si>
    <t>🅾</t>
  </si>
  <si>
    <t>1F17E</t>
  </si>
  <si>
    <t>chaussure de randonnée</t>
  </si>
  <si>
    <t>🥾</t>
  </si>
  <si>
    <t>1F97E</t>
  </si>
  <si>
    <t>ancienne clé</t>
  </si>
  <si>
    <t>🗝</t>
  </si>
  <si>
    <t>1F5DD</t>
  </si>
  <si>
    <t>visage de chien</t>
  </si>
  <si>
    <t>🐶</t>
  </si>
  <si>
    <t>1F436</t>
  </si>
  <si>
    <t>Bouton B (groupe sanguin)</t>
  </si>
  <si>
    <t>🅱</t>
  </si>
  <si>
    <t>1F171</t>
  </si>
  <si>
    <t>lunettes de protection</t>
  </si>
  <si>
    <t>🥽</t>
  </si>
  <si>
    <t>1F97D</t>
  </si>
  <si>
    <t>attache</t>
  </si>
  <si>
    <t>🗜</t>
  </si>
  <si>
    <t>1F5DC</t>
  </si>
  <si>
    <t>visage de singe</t>
  </si>
  <si>
    <t>🐵</t>
  </si>
  <si>
    <t>1F435</t>
  </si>
  <si>
    <t>Un bouton (groupe sanguin)</t>
  </si>
  <si>
    <t>🅰</t>
  </si>
  <si>
    <t>1F170</t>
  </si>
  <si>
    <t>Blouse</t>
  </si>
  <si>
    <t>🥼</t>
  </si>
  <si>
    <t>1F97C</t>
  </si>
  <si>
    <t>calendrier en spirale</t>
  </si>
  <si>
    <t>🗓</t>
  </si>
  <si>
    <t>1F5D3</t>
  </si>
  <si>
    <t>visage de cheval</t>
  </si>
  <si>
    <t>🐴</t>
  </si>
  <si>
    <t>1F434</t>
  </si>
  <si>
    <t>joker</t>
  </si>
  <si>
    <t>🃏</t>
  </si>
  <si>
    <t>1F0CF</t>
  </si>
  <si>
    <t>sari</t>
  </si>
  <si>
    <t>🥻</t>
  </si>
  <si>
    <t>1F97B</t>
  </si>
  <si>
    <t>bloc-notes en spirale</t>
  </si>
  <si>
    <t>🗒</t>
  </si>
  <si>
    <t>1F5D2</t>
  </si>
  <si>
    <t>baleine jaillissante</t>
  </si>
  <si>
    <t>🐳</t>
  </si>
  <si>
    <t>1F433</t>
  </si>
  <si>
    <t>mahjong dragon rouge</t>
  </si>
  <si>
    <t>🀄</t>
  </si>
  <si>
    <t>1F004</t>
  </si>
  <si>
    <t>plaider la face</t>
  </si>
  <si>
    <t>🥺</t>
  </si>
  <si>
    <t>1F97A</t>
  </si>
  <si>
    <t>Corbeille</t>
  </si>
  <si>
    <t>🗑</t>
  </si>
  <si>
    <t>1F5D1</t>
  </si>
  <si>
    <t>visage de dragon</t>
  </si>
  <si>
    <t>🐲</t>
  </si>
  <si>
    <t>1F432</t>
  </si>
  <si>
    <t>marque</t>
  </si>
  <si>
    <t>™</t>
  </si>
  <si>
    <t>🥹</t>
  </si>
  <si>
    <t>1F979</t>
  </si>
  <si>
    <t>classeur</t>
  </si>
  <si>
    <t>🗄</t>
  </si>
  <si>
    <t>1F5C4</t>
  </si>
  <si>
    <t>cat faire</t>
  </si>
  <si>
    <t>🐱</t>
  </si>
  <si>
    <t>1F431</t>
  </si>
  <si>
    <t>encerclé M</t>
  </si>
  <si>
    <t>Ⓜ</t>
  </si>
  <si>
    <t>24C2</t>
  </si>
  <si>
    <t>visage déguisé</t>
  </si>
  <si>
    <t>🥸</t>
  </si>
  <si>
    <t>1F978</t>
  </si>
  <si>
    <t>boîte de fichier de carte</t>
  </si>
  <si>
    <t>🗃</t>
  </si>
  <si>
    <t>1F5C3</t>
  </si>
  <si>
    <t>visage de lapin</t>
  </si>
  <si>
    <t>🐰</t>
  </si>
  <si>
    <t>1F430</t>
  </si>
  <si>
    <t>information</t>
  </si>
  <si>
    <t>ℹ</t>
  </si>
  <si>
    <t>Ninja</t>
  </si>
  <si>
    <t>🥷</t>
  </si>
  <si>
    <t>1F977</t>
  </si>
  <si>
    <t>diviseurs d’index de carte</t>
  </si>
  <si>
    <t>🗂</t>
  </si>
  <si>
    <t>1F5C2</t>
  </si>
  <si>
    <t>visage de tigre</t>
  </si>
  <si>
    <t>🐯</t>
  </si>
  <si>
    <t>1F42F</t>
  </si>
  <si>
    <t>keycap: 0</t>
  </si>
  <si>
    <t>visage froid</t>
  </si>
  <si>
    <t>🥶</t>
  </si>
  <si>
    <t>1F976</t>
  </si>
  <si>
    <t>image encadrée</t>
  </si>
  <si>
    <t>🖼</t>
  </si>
  <si>
    <t>1F5BC</t>
  </si>
  <si>
    <t>visage de vache</t>
  </si>
  <si>
    <t>🐮</t>
  </si>
  <si>
    <t>1F42E</t>
  </si>
  <si>
    <t>cercle rouge creux</t>
  </si>
  <si>
    <t>⭕</t>
  </si>
  <si>
    <t>2B55</t>
  </si>
  <si>
    <t>visage chaud</t>
  </si>
  <si>
    <t>🥵</t>
  </si>
  <si>
    <t>1F975</t>
  </si>
  <si>
    <t>trackball</t>
  </si>
  <si>
    <t>🖲</t>
  </si>
  <si>
    <t>1F5B2</t>
  </si>
  <si>
    <t>visage de la souris</t>
  </si>
  <si>
    <t>🐭</t>
  </si>
  <si>
    <t>1F42D</t>
  </si>
  <si>
    <t>étoile</t>
  </si>
  <si>
    <t>⭐</t>
  </si>
  <si>
    <t>2B50</t>
  </si>
  <si>
    <t>visage woozy</t>
  </si>
  <si>
    <t>🥴</t>
  </si>
  <si>
    <t>1F974</t>
  </si>
  <si>
    <t>souris</t>
  </si>
  <si>
    <t>🖱</t>
  </si>
  <si>
    <t>1F5B1</t>
  </si>
  <si>
    <t>dauphin</t>
  </si>
  <si>
    <t>🐬</t>
  </si>
  <si>
    <t>1F42C</t>
  </si>
  <si>
    <t>pompe à carburant</t>
  </si>
  <si>
    <t>⛽</t>
  </si>
  <si>
    <t>26FD</t>
  </si>
  <si>
    <t>visage de fête</t>
  </si>
  <si>
    <t>🥳</t>
  </si>
  <si>
    <t>1F973</t>
  </si>
  <si>
    <t>imprimante</t>
  </si>
  <si>
    <t>🖨</t>
  </si>
  <si>
    <t>1F5A8</t>
  </si>
  <si>
    <t>chameau à deux bosses</t>
  </si>
  <si>
    <t>🐫</t>
  </si>
  <si>
    <t>1F42B</t>
  </si>
  <si>
    <t>tente</t>
  </si>
  <si>
    <t>⛺</t>
  </si>
  <si>
    <t>26FA</t>
  </si>
  <si>
    <t>visage souriant avec des larmes</t>
  </si>
  <si>
    <t>🥲</t>
  </si>
  <si>
    <t>1F972</t>
  </si>
  <si>
    <t>ordinateur de bureau</t>
  </si>
  <si>
    <t>🖥</t>
  </si>
  <si>
    <t>1F5A5</t>
  </si>
  <si>
    <t>chameau</t>
  </si>
  <si>
    <t>🐪</t>
  </si>
  <si>
    <t>1F42A</t>
  </si>
  <si>
    <t xml:space="preserve"> rebondissant balle</t>
  </si>
  <si>
    <t>⛹</t>
  </si>
  <si>
    <t>26F9</t>
  </si>
  <si>
    <t>visage bâillant</t>
  </si>
  <si>
    <t>🥱</t>
  </si>
  <si>
    <t>1F971</t>
  </si>
  <si>
    <t>cœur noir</t>
  </si>
  <si>
    <t>🖤</t>
  </si>
  <si>
    <t>1F5A4</t>
  </si>
  <si>
    <t>caniche</t>
  </si>
  <si>
    <t>🐩</t>
  </si>
  <si>
    <t>1F429</t>
  </si>
  <si>
    <t>patin à glace</t>
  </si>
  <si>
    <t>⛸</t>
  </si>
  <si>
    <t>26F8</t>
  </si>
  <si>
    <t>visage souriant avec des cœurs</t>
  </si>
  <si>
    <t>🥰</t>
  </si>
  <si>
    <t>1F970</t>
  </si>
  <si>
    <t>santé vulcaine</t>
  </si>
  <si>
    <t>🖖</t>
  </si>
  <si>
    <t>1F596</t>
  </si>
  <si>
    <t>koala</t>
  </si>
  <si>
    <t>🐨</t>
  </si>
  <si>
    <t>1F428</t>
  </si>
  <si>
    <t>skieur</t>
  </si>
  <si>
    <t>⛷</t>
  </si>
  <si>
    <t>26F7</t>
  </si>
  <si>
    <t>bagel</t>
  </si>
  <si>
    <t>🥯</t>
  </si>
  <si>
    <t>1F96F</t>
  </si>
  <si>
    <t>majeur</t>
  </si>
  <si>
    <t>🖕</t>
  </si>
  <si>
    <t>1F595</t>
  </si>
  <si>
    <t>pingouin</t>
  </si>
  <si>
    <t>🐧</t>
  </si>
  <si>
    <t>1F427</t>
  </si>
  <si>
    <t>voilier</t>
  </si>
  <si>
    <t>⛵</t>
  </si>
  <si>
    <t>26F5</t>
  </si>
  <si>
    <t>gâteau de lune</t>
  </si>
  <si>
    <t>🥮</t>
  </si>
  <si>
    <t>1F96E</t>
  </si>
  <si>
    <t>main avec les doigts écartés</t>
  </si>
  <si>
    <t>🖐</t>
  </si>
  <si>
    <t>1F590</t>
  </si>
  <si>
    <t>oiseau</t>
  </si>
  <si>
    <t>🐦</t>
  </si>
  <si>
    <t>1F426</t>
  </si>
  <si>
    <t>bac</t>
  </si>
  <si>
    <t>⛴</t>
  </si>
  <si>
    <t>26F4</t>
  </si>
  <si>
    <t>mangue</t>
  </si>
  <si>
    <t>🥭</t>
  </si>
  <si>
    <t>1F96D</t>
  </si>
  <si>
    <t>crayon</t>
  </si>
  <si>
    <t>🖍</t>
  </si>
  <si>
    <t>1F58D</t>
  </si>
  <si>
    <t>poussin face à l’avant</t>
  </si>
  <si>
    <t>🐥</t>
  </si>
  <si>
    <t>1F425</t>
  </si>
  <si>
    <t>drapeau dans le trou</t>
  </si>
  <si>
    <t>⛳</t>
  </si>
  <si>
    <t>26F3</t>
  </si>
  <si>
    <t>vert feuillu</t>
  </si>
  <si>
    <t>🥬</t>
  </si>
  <si>
    <t>1F96C</t>
  </si>
  <si>
    <t>pinceau</t>
  </si>
  <si>
    <t>🖌</t>
  </si>
  <si>
    <t>1F58C</t>
  </si>
  <si>
    <t>bébé poussin</t>
  </si>
  <si>
    <t>🐤</t>
  </si>
  <si>
    <t>1F424</t>
  </si>
  <si>
    <t>fontaine</t>
  </si>
  <si>
    <t>⛲</t>
  </si>
  <si>
    <t>26F2</t>
  </si>
  <si>
    <t>conserve</t>
  </si>
  <si>
    <t>🥫</t>
  </si>
  <si>
    <t>1F96B</t>
  </si>
  <si>
    <t>stylo</t>
  </si>
  <si>
    <t>🖋</t>
  </si>
  <si>
    <t>1F58B</t>
  </si>
  <si>
    <t>poussin à couver</t>
  </si>
  <si>
    <t>🐣</t>
  </si>
  <si>
    <t>1F423</t>
  </si>
  <si>
    <t>parapluie au sol</t>
  </si>
  <si>
    <t>⛱</t>
  </si>
  <si>
    <t>26F1</t>
  </si>
  <si>
    <t>sandwich</t>
  </si>
  <si>
    <t>🥪</t>
  </si>
  <si>
    <t>1F96A</t>
  </si>
  <si>
    <t>🖊</t>
  </si>
  <si>
    <t>1F58A</t>
  </si>
  <si>
    <t>tortue</t>
  </si>
  <si>
    <t>🐢</t>
  </si>
  <si>
    <t>1F422</t>
  </si>
  <si>
    <t>montagne</t>
  </si>
  <si>
    <t>⛰</t>
  </si>
  <si>
    <t>26F0</t>
  </si>
  <si>
    <t>coupe de viande</t>
  </si>
  <si>
    <t>🥩</t>
  </si>
  <si>
    <t>1F969</t>
  </si>
  <si>
    <t>trombones liés</t>
  </si>
  <si>
    <t>🖇</t>
  </si>
  <si>
    <t>1F587</t>
  </si>
  <si>
    <t>Blowfish</t>
  </si>
  <si>
    <t>🐡</t>
  </si>
  <si>
    <t>1F421</t>
  </si>
  <si>
    <t>église</t>
  </si>
  <si>
    <t>⛪</t>
  </si>
  <si>
    <t>26EA</t>
  </si>
  <si>
    <t>bretzel</t>
  </si>
  <si>
    <t>🥨</t>
  </si>
  <si>
    <t>1F968</t>
  </si>
  <si>
    <t>homme dansant</t>
  </si>
  <si>
    <t>🕺</t>
  </si>
  <si>
    <t>1F57A</t>
  </si>
  <si>
    <t>poissons tropicaux</t>
  </si>
  <si>
    <t>🐠</t>
  </si>
  <si>
    <t>1F420</t>
  </si>
  <si>
    <t>entrée interdite</t>
  </si>
  <si>
    <t>⛔</t>
  </si>
  <si>
    <t>26D4</t>
  </si>
  <si>
    <t>🥧</t>
  </si>
  <si>
    <t>1F967</t>
  </si>
  <si>
    <t>joystick</t>
  </si>
  <si>
    <t>🕹</t>
  </si>
  <si>
    <t>1F579</t>
  </si>
  <si>
    <t>poisson</t>
  </si>
  <si>
    <t>🐟</t>
  </si>
  <si>
    <t>1F41F</t>
  </si>
  <si>
    <t>enchaîne</t>
  </si>
  <si>
    <t>⛓</t>
  </si>
  <si>
    <t>26D3</t>
  </si>
  <si>
    <t>brocoli</t>
  </si>
  <si>
    <t>🥦</t>
  </si>
  <si>
    <t>1F966</t>
  </si>
  <si>
    <t>toile d’araignée</t>
  </si>
  <si>
    <t>🕸</t>
  </si>
  <si>
    <t>1F578</t>
  </si>
  <si>
    <t>coccinelle</t>
  </si>
  <si>
    <t>🐞</t>
  </si>
  <si>
    <t>1F41E</t>
  </si>
  <si>
    <t>casque de secouriste</t>
  </si>
  <si>
    <t>⛑</t>
  </si>
  <si>
    <t>26D1</t>
  </si>
  <si>
    <t>noix de coco</t>
  </si>
  <si>
    <t>🥥</t>
  </si>
  <si>
    <t>1F965</t>
  </si>
  <si>
    <t>araignée</t>
  </si>
  <si>
    <t>🕷</t>
  </si>
  <si>
    <t>1F577</t>
  </si>
  <si>
    <t>abeille</t>
  </si>
  <si>
    <t>🐝</t>
  </si>
  <si>
    <t>1F41D</t>
  </si>
  <si>
    <t>cueillir</t>
  </si>
  <si>
    <t>⛏</t>
  </si>
  <si>
    <t>26CF</t>
  </si>
  <si>
    <t>tasse avec paille</t>
  </si>
  <si>
    <t>🥤</t>
  </si>
  <si>
    <t>1F964</t>
  </si>
  <si>
    <t>lunettes de soleil</t>
  </si>
  <si>
    <t>🕶</t>
  </si>
  <si>
    <t>1F576</t>
  </si>
  <si>
    <t>sur</t>
  </si>
  <si>
    <t>🐜</t>
  </si>
  <si>
    <t>1F41C</t>
  </si>
  <si>
    <t>Ophiuchus</t>
  </si>
  <si>
    <t>⛎</t>
  </si>
  <si>
    <t>26CE</t>
  </si>
  <si>
    <t>bol avec cuillère</t>
  </si>
  <si>
    <t>🥣</t>
  </si>
  <si>
    <t>1F963</t>
  </si>
  <si>
    <t>détective</t>
  </si>
  <si>
    <t>🕵</t>
  </si>
  <si>
    <t>1F575</t>
  </si>
  <si>
    <t>🐛</t>
  </si>
  <si>
    <t>1F41B</t>
  </si>
  <si>
    <t>nuage avec la foudre et la pluie</t>
  </si>
  <si>
    <t>⛈</t>
  </si>
  <si>
    <t>26C8</t>
  </si>
  <si>
    <t>baguettes</t>
  </si>
  <si>
    <t>🥢</t>
  </si>
  <si>
    <t>1F962</t>
  </si>
  <si>
    <t>personne en costume en lévitation</t>
  </si>
  <si>
    <t>🕴</t>
  </si>
  <si>
    <t>1F574</t>
  </si>
  <si>
    <t>coquille en spirale</t>
  </si>
  <si>
    <t>🐚</t>
  </si>
  <si>
    <t>1F41A</t>
  </si>
  <si>
    <t>soleil derrière les nuages</t>
  </si>
  <si>
    <t>⛅</t>
  </si>
  <si>
    <t>26C5</t>
  </si>
  <si>
    <t>boîte à emporter</t>
  </si>
  <si>
    <t>🥡</t>
  </si>
  <si>
    <t>1F961</t>
  </si>
  <si>
    <t>trou</t>
  </si>
  <si>
    <t>🕳</t>
  </si>
  <si>
    <t>1F573</t>
  </si>
  <si>
    <t>pieuvre</t>
  </si>
  <si>
    <t>🐙</t>
  </si>
  <si>
    <t>1F419</t>
  </si>
  <si>
    <t>bonhomme de neige sans neige</t>
  </si>
  <si>
    <t>⛄</t>
  </si>
  <si>
    <t>26C4</t>
  </si>
  <si>
    <t>Biscuit</t>
  </si>
  <si>
    <t>🥠</t>
  </si>
  <si>
    <t>1F960</t>
  </si>
  <si>
    <t>horloge de cheminée</t>
  </si>
  <si>
    <t>🕰</t>
  </si>
  <si>
    <t>1F570</t>
  </si>
  <si>
    <t>éléphant</t>
  </si>
  <si>
    <t>🐘</t>
  </si>
  <si>
    <t>1F418</t>
  </si>
  <si>
    <t>urne funéraire</t>
  </si>
  <si>
    <t>⚱</t>
  </si>
  <si>
    <t>26B1</t>
  </si>
  <si>
    <t>boulette</t>
  </si>
  <si>
    <t>🥟</t>
  </si>
  <si>
    <t>1F95F</t>
  </si>
  <si>
    <t>bougie</t>
  </si>
  <si>
    <t>🕯</t>
  </si>
  <si>
    <t>1F56F</t>
  </si>
  <si>
    <t>verrat</t>
  </si>
  <si>
    <t>🐗</t>
  </si>
  <si>
    <t>1F417</t>
  </si>
  <si>
    <t>cercueil</t>
  </si>
  <si>
    <t>⚰</t>
  </si>
  <si>
    <t>26B0</t>
  </si>
  <si>
    <t>Crêpes</t>
  </si>
  <si>
    <t>🥞</t>
  </si>
  <si>
    <t>1F95E</t>
  </si>
  <si>
    <t>douze-trente</t>
  </si>
  <si>
    <t>🕧</t>
  </si>
  <si>
    <t>1F567</t>
  </si>
  <si>
    <t>cochon</t>
  </si>
  <si>
    <t>🐖</t>
  </si>
  <si>
    <t>1F416</t>
  </si>
  <si>
    <t>cercle noir</t>
  </si>
  <si>
    <t>⚫</t>
  </si>
  <si>
    <t>26AB</t>
  </si>
  <si>
    <t>kiwi</t>
  </si>
  <si>
    <t>🥝</t>
  </si>
  <si>
    <t>1F95D</t>
  </si>
  <si>
    <t>onze-trente</t>
  </si>
  <si>
    <t>🕦</t>
  </si>
  <si>
    <t>1F566</t>
  </si>
  <si>
    <t>chien</t>
  </si>
  <si>
    <t>🐕</t>
  </si>
  <si>
    <t>1F415</t>
  </si>
  <si>
    <t>cercle blanc</t>
  </si>
  <si>
    <t>⚪</t>
  </si>
  <si>
    <t>26AA</t>
  </si>
  <si>
    <t>cacahuètes</t>
  </si>
  <si>
    <t>🥜</t>
  </si>
  <si>
    <t>1F95C</t>
  </si>
  <si>
    <t>dix-trente</t>
  </si>
  <si>
    <t>🕥</t>
  </si>
  <si>
    <t>1F565</t>
  </si>
  <si>
    <t>poulet</t>
  </si>
  <si>
    <t>🐔</t>
  </si>
  <si>
    <t>1F414</t>
  </si>
  <si>
    <t>symbole transgenre</t>
  </si>
  <si>
    <t>⚧</t>
  </si>
  <si>
    <t>26A7</t>
  </si>
  <si>
    <t>verre de lait</t>
  </si>
  <si>
    <t>🥛</t>
  </si>
  <si>
    <t>1F95B</t>
  </si>
  <si>
    <t>neuf-trente</t>
  </si>
  <si>
    <t>🕤</t>
  </si>
  <si>
    <t>1F564</t>
  </si>
  <si>
    <t>coq</t>
  </si>
  <si>
    <t>🐓</t>
  </si>
  <si>
    <t>1F413</t>
  </si>
  <si>
    <t>fleur-de-lis</t>
  </si>
  <si>
    <t>⚜</t>
  </si>
  <si>
    <t>269C</t>
  </si>
  <si>
    <t>oeuf</t>
  </si>
  <si>
    <t>🥚</t>
  </si>
  <si>
    <t>1F95A</t>
  </si>
  <si>
    <t>huit-trente</t>
  </si>
  <si>
    <t>🕣</t>
  </si>
  <si>
    <t>1F563</t>
  </si>
  <si>
    <t>singe</t>
  </si>
  <si>
    <t>🐒</t>
  </si>
  <si>
    <t>1F412</t>
  </si>
  <si>
    <t>symbole d’atome</t>
  </si>
  <si>
    <t>⚛</t>
  </si>
  <si>
    <t>269B</t>
  </si>
  <si>
    <t>pain plat farci</t>
  </si>
  <si>
    <t>🥙</t>
  </si>
  <si>
    <t>1F959</t>
  </si>
  <si>
    <t>sept-trente</t>
  </si>
  <si>
    <t>🕢</t>
  </si>
  <si>
    <t>1F562</t>
  </si>
  <si>
    <t>brebis</t>
  </si>
  <si>
    <t>🐑</t>
  </si>
  <si>
    <t>1F411</t>
  </si>
  <si>
    <t>engrenage</t>
  </si>
  <si>
    <t>⚙</t>
  </si>
  <si>
    <t>casserole peu profonde de nourriture</t>
  </si>
  <si>
    <t>🥘</t>
  </si>
  <si>
    <t>1F958</t>
  </si>
  <si>
    <t>six-trente</t>
  </si>
  <si>
    <t>🕡</t>
  </si>
  <si>
    <t>1F561</t>
  </si>
  <si>
    <t>chèvre</t>
  </si>
  <si>
    <t>🐐</t>
  </si>
  <si>
    <t>1F410</t>
  </si>
  <si>
    <t>⚗</t>
  </si>
  <si>
    <t>salade verte</t>
  </si>
  <si>
    <t>🥗</t>
  </si>
  <si>
    <t>1F957</t>
  </si>
  <si>
    <t>cinq-trente</t>
  </si>
  <si>
    <t>🕠</t>
  </si>
  <si>
    <t>1F560</t>
  </si>
  <si>
    <t>bélier</t>
  </si>
  <si>
    <t>🐏</t>
  </si>
  <si>
    <t>1F40F</t>
  </si>
  <si>
    <t>⚖</t>
  </si>
  <si>
    <t>pain baguette</t>
  </si>
  <si>
    <t>🥖</t>
  </si>
  <si>
    <t>1F956</t>
  </si>
  <si>
    <t>quatre-trente</t>
  </si>
  <si>
    <t>🕟</t>
  </si>
  <si>
    <t>1F55F</t>
  </si>
  <si>
    <t>cheval</t>
  </si>
  <si>
    <t>🐎</t>
  </si>
  <si>
    <t>1F40E</t>
  </si>
  <si>
    <t>⚕</t>
  </si>
  <si>
    <t>carotte</t>
  </si>
  <si>
    <t>🥕</t>
  </si>
  <si>
    <t>1F955</t>
  </si>
  <si>
    <t>trois-trente</t>
  </si>
  <si>
    <t>🕞</t>
  </si>
  <si>
    <t>1F55E</t>
  </si>
  <si>
    <t>serpent</t>
  </si>
  <si>
    <t>🐍</t>
  </si>
  <si>
    <t>1F40D</t>
  </si>
  <si>
    <t>⚔</t>
  </si>
  <si>
    <t>pomme de terre</t>
  </si>
  <si>
    <t>🥔</t>
  </si>
  <si>
    <t>1F954</t>
  </si>
  <si>
    <t>deux-trente</t>
  </si>
  <si>
    <t>🕝</t>
  </si>
  <si>
    <t>1F55D</t>
  </si>
  <si>
    <t>escargot</t>
  </si>
  <si>
    <t>🐌</t>
  </si>
  <si>
    <t>1F40C</t>
  </si>
  <si>
    <t>ancre</t>
  </si>
  <si>
    <t>⚓</t>
  </si>
  <si>
    <t>lard</t>
  </si>
  <si>
    <t>🥓</t>
  </si>
  <si>
    <t>1F953</t>
  </si>
  <si>
    <t>un-trente</t>
  </si>
  <si>
    <t>🕜</t>
  </si>
  <si>
    <t>1F55C</t>
  </si>
  <si>
    <t>baleine</t>
  </si>
  <si>
    <t>🐋</t>
  </si>
  <si>
    <t>1F40B</t>
  </si>
  <si>
    <t>marteau et pic</t>
  </si>
  <si>
    <t>⚒</t>
  </si>
  <si>
    <t>concombre</t>
  </si>
  <si>
    <t>🥒</t>
  </si>
  <si>
    <t>1F952</t>
  </si>
  <si>
    <t>Midi</t>
  </si>
  <si>
    <t>🕛</t>
  </si>
  <si>
    <t>1F55B</t>
  </si>
  <si>
    <t>crocodile</t>
  </si>
  <si>
    <t>🐊</t>
  </si>
  <si>
    <t>1F40A</t>
  </si>
  <si>
    <t>symbole de fauteuil roulant</t>
  </si>
  <si>
    <t>♿</t>
  </si>
  <si>
    <t>267F</t>
  </si>
  <si>
    <t>avocat</t>
  </si>
  <si>
    <t>🥑</t>
  </si>
  <si>
    <t>1F951</t>
  </si>
  <si>
    <t>onze heures</t>
  </si>
  <si>
    <t>🕚</t>
  </si>
  <si>
    <t>1F55A</t>
  </si>
  <si>
    <t>dragon</t>
  </si>
  <si>
    <t>🐉</t>
  </si>
  <si>
    <t>1F409</t>
  </si>
  <si>
    <t>Infini</t>
  </si>
  <si>
    <t>♾</t>
  </si>
  <si>
    <t>267E</t>
  </si>
  <si>
    <t>🥐</t>
  </si>
  <si>
    <t>1F950</t>
  </si>
  <si>
    <t>dix heures</t>
  </si>
  <si>
    <t>🕙</t>
  </si>
  <si>
    <t>1F559</t>
  </si>
  <si>
    <t>chat</t>
  </si>
  <si>
    <t>🐈</t>
  </si>
  <si>
    <t>1F408</t>
  </si>
  <si>
    <t>trèfle</t>
  </si>
  <si>
    <t>☘</t>
  </si>
  <si>
    <t>disque volant</t>
  </si>
  <si>
    <t>🥏</t>
  </si>
  <si>
    <t>1F94F</t>
  </si>
  <si>
    <t>neuf heures</t>
  </si>
  <si>
    <t>🕘</t>
  </si>
  <si>
    <t>1F558</t>
  </si>
  <si>
    <t>lapin</t>
  </si>
  <si>
    <t>🐇</t>
  </si>
  <si>
    <t>1F407</t>
  </si>
  <si>
    <t>haute tension</t>
  </si>
  <si>
    <t>⚡</t>
  </si>
  <si>
    <t>26A1</t>
  </si>
  <si>
    <t>softball</t>
  </si>
  <si>
    <t>🥎</t>
  </si>
  <si>
    <t>1F94E</t>
  </si>
  <si>
    <t>huit heures</t>
  </si>
  <si>
    <t>🕗</t>
  </si>
  <si>
    <t>1F557</t>
  </si>
  <si>
    <t>léopard</t>
  </si>
  <si>
    <t>🐆</t>
  </si>
  <si>
    <t>1F406</t>
  </si>
  <si>
    <t>avertissement</t>
  </si>
  <si>
    <t>⚠</t>
  </si>
  <si>
    <t>26A0</t>
  </si>
  <si>
    <t>lacrosse</t>
  </si>
  <si>
    <t>🥍</t>
  </si>
  <si>
    <t>1F94D</t>
  </si>
  <si>
    <t>sept heures</t>
  </si>
  <si>
    <t>🕖</t>
  </si>
  <si>
    <t>1F556</t>
  </si>
  <si>
    <t>tigre</t>
  </si>
  <si>
    <t>🐅</t>
  </si>
  <si>
    <t>1F405</t>
  </si>
  <si>
    <t>noir moyen-petit carré</t>
  </si>
  <si>
    <t>◾</t>
  </si>
  <si>
    <t>25FE</t>
  </si>
  <si>
    <t>pierre de curling</t>
  </si>
  <si>
    <t>🥌</t>
  </si>
  <si>
    <t>1F94C</t>
  </si>
  <si>
    <t>six heures</t>
  </si>
  <si>
    <t>🕕</t>
  </si>
  <si>
    <t>1F555</t>
  </si>
  <si>
    <t>vache</t>
  </si>
  <si>
    <t>🐄</t>
  </si>
  <si>
    <t>1F404</t>
  </si>
  <si>
    <t>carré blanc moyen-petit</t>
  </si>
  <si>
    <t>◽</t>
  </si>
  <si>
    <t>25FD</t>
  </si>
  <si>
    <t>uniforme d’arts martiaux</t>
  </si>
  <si>
    <t>🥋</t>
  </si>
  <si>
    <t>1F94B</t>
  </si>
  <si>
    <t>cinq heures</t>
  </si>
  <si>
    <t>🕔</t>
  </si>
  <si>
    <t>1F554</t>
  </si>
  <si>
    <t>buffle d'Asie</t>
  </si>
  <si>
    <t>🐃</t>
  </si>
  <si>
    <t>1F403</t>
  </si>
  <si>
    <t>carré moyen noir</t>
  </si>
  <si>
    <t>◼</t>
  </si>
  <si>
    <t>25FC</t>
  </si>
  <si>
    <t>gant de boxe</t>
  </si>
  <si>
    <t>🥊</t>
  </si>
  <si>
    <t>1F94A</t>
  </si>
  <si>
    <t>quatre heures</t>
  </si>
  <si>
    <t>🕓</t>
  </si>
  <si>
    <t>1F553</t>
  </si>
  <si>
    <t>bœuf</t>
  </si>
  <si>
    <t>🐂</t>
  </si>
  <si>
    <t>1F402</t>
  </si>
  <si>
    <t>carré moyen blanc</t>
  </si>
  <si>
    <t>◻</t>
  </si>
  <si>
    <t>25FB</t>
  </si>
  <si>
    <t>Médaille de 3ème place</t>
  </si>
  <si>
    <t>🥉</t>
  </si>
  <si>
    <t>1F949</t>
  </si>
  <si>
    <t>trois heures</t>
  </si>
  <si>
    <t>🕒</t>
  </si>
  <si>
    <t>1F552</t>
  </si>
  <si>
    <t>🐁</t>
  </si>
  <si>
    <t>1F401</t>
  </si>
  <si>
    <t>bouton d’éjection</t>
  </si>
  <si>
    <t>⏏</t>
  </si>
  <si>
    <t>23CF</t>
  </si>
  <si>
    <t>Médaille de 2e place</t>
  </si>
  <si>
    <t>🥈</t>
  </si>
  <si>
    <t>1F948</t>
  </si>
  <si>
    <t>deux heures</t>
  </si>
  <si>
    <t>🕑</t>
  </si>
  <si>
    <t>1F551</t>
  </si>
  <si>
    <t>rat</t>
  </si>
  <si>
    <t>🐀</t>
  </si>
  <si>
    <t>1F400</t>
  </si>
  <si>
    <t>symbole de recyclage</t>
  </si>
  <si>
    <t>♻</t>
  </si>
  <si>
    <t>267B</t>
  </si>
  <si>
    <t>Médaille de 1ère place</t>
  </si>
  <si>
    <t>🥇</t>
  </si>
  <si>
    <t>1F947</t>
  </si>
  <si>
    <t>une heure</t>
  </si>
  <si>
    <t>🕐</t>
  </si>
  <si>
    <t>1F550</t>
  </si>
  <si>
    <t>amphore</t>
  </si>
  <si>
    <t>🏺</t>
  </si>
  <si>
    <t>1F3FA</t>
  </si>
  <si>
    <t>boisson chaude</t>
  </si>
  <si>
    <t>☕</t>
  </si>
  <si>
    <t>but net</t>
  </si>
  <si>
    <t>🥅</t>
  </si>
  <si>
    <t>1F945</t>
  </si>
  <si>
    <t>ménorah</t>
  </si>
  <si>
    <t>🕎</t>
  </si>
  <si>
    <t>1F54E</t>
  </si>
  <si>
    <t>arc et flèche</t>
  </si>
  <si>
    <t>🏹</t>
  </si>
  <si>
    <t>1F3F9</t>
  </si>
  <si>
    <t>parapluie avec gouttes de pluie</t>
  </si>
  <si>
    <t>☔</t>
  </si>
  <si>
    <t>cuiller</t>
  </si>
  <si>
    <t>🥄</t>
  </si>
  <si>
    <t>1F944</t>
  </si>
  <si>
    <t>synagogue</t>
  </si>
  <si>
    <t>🕍</t>
  </si>
  <si>
    <t>1F54D</t>
  </si>
  <si>
    <t>badminton</t>
  </si>
  <si>
    <t>🏸</t>
  </si>
  <si>
    <t>1F3F8</t>
  </si>
  <si>
    <t>marque croisée</t>
  </si>
  <si>
    <t>❌</t>
  </si>
  <si>
    <t>274C</t>
  </si>
  <si>
    <t>verre tumbler</t>
  </si>
  <si>
    <t>🥃</t>
  </si>
  <si>
    <t>1F943</t>
  </si>
  <si>
    <t>mosquée</t>
  </si>
  <si>
    <t>🕌</t>
  </si>
  <si>
    <t>1F54C</t>
  </si>
  <si>
    <t>étiquette</t>
  </si>
  <si>
    <t>🏷</t>
  </si>
  <si>
    <t>1F3F7</t>
  </si>
  <si>
    <t>Étincelles</t>
  </si>
  <si>
    <t>✨</t>
  </si>
  <si>
    <t>lunettes qui clignotent</t>
  </si>
  <si>
    <t>🥂</t>
  </si>
  <si>
    <t>1F942</t>
  </si>
  <si>
    <t>Kaaba</t>
  </si>
  <si>
    <t>🕋</t>
  </si>
  <si>
    <t>1F54B</t>
  </si>
  <si>
    <t>rosette</t>
  </si>
  <si>
    <t>🏵</t>
  </si>
  <si>
    <t>1F3F5</t>
  </si>
  <si>
    <t>main levée</t>
  </si>
  <si>
    <t>✋</t>
  </si>
  <si>
    <t>270B</t>
  </si>
  <si>
    <t>tambour</t>
  </si>
  <si>
    <t>🥁</t>
  </si>
  <si>
    <t>1F941</t>
  </si>
  <si>
    <t>où</t>
  </si>
  <si>
    <t>🕊</t>
  </si>
  <si>
    <t>1F54A</t>
  </si>
  <si>
    <t>drapeau noir</t>
  </si>
  <si>
    <t>🏴</t>
  </si>
  <si>
    <t>1F3F4</t>
  </si>
  <si>
    <t>poing levé</t>
  </si>
  <si>
    <t>✊</t>
  </si>
  <si>
    <t>270A</t>
  </si>
  <si>
    <t>fleur fanée</t>
  </si>
  <si>
    <t>🥀</t>
  </si>
  <si>
    <t>1F940</t>
  </si>
  <si>
    <t>🕉</t>
  </si>
  <si>
    <t>1F549</t>
  </si>
  <si>
    <t>drapeau blanc</t>
  </si>
  <si>
    <t>🏳</t>
  </si>
  <si>
    <t>1F3F3</t>
  </si>
  <si>
    <t>bouton de coche</t>
  </si>
  <si>
    <t>✅</t>
  </si>
  <si>
    <t>masque de plongée</t>
  </si>
  <si>
    <t>🤿</t>
  </si>
  <si>
    <t>1F93F</t>
  </si>
  <si>
    <t>bouton vers le bas</t>
  </si>
  <si>
    <t>🔽</t>
  </si>
  <si>
    <t>1F53D</t>
  </si>
  <si>
    <t>château</t>
  </si>
  <si>
    <t>🏰</t>
  </si>
  <si>
    <t>1F3F0</t>
  </si>
  <si>
    <t>cœur rouge</t>
  </si>
  <si>
    <t>❤</t>
  </si>
  <si>
    <t>personne jouant au handball</t>
  </si>
  <si>
    <t>🤾</t>
  </si>
  <si>
    <t>1F93E</t>
  </si>
  <si>
    <t>bouton vers le haut</t>
  </si>
  <si>
    <t>🔼</t>
  </si>
  <si>
    <t>1F53C</t>
  </si>
  <si>
    <t>Château japonais</t>
  </si>
  <si>
    <t>🏯</t>
  </si>
  <si>
    <t>1F3EF</t>
  </si>
  <si>
    <t>exclamation du cœur</t>
  </si>
  <si>
    <t>❣</t>
  </si>
  <si>
    <t>personne jouant au water-polo</t>
  </si>
  <si>
    <t>🤽</t>
  </si>
  <si>
    <t>1F93D</t>
  </si>
  <si>
    <t>triangle rouge pointé vers le bas</t>
  </si>
  <si>
    <t>🔻</t>
  </si>
  <si>
    <t>1F53B</t>
  </si>
  <si>
    <t>lanterne en papier rouge</t>
  </si>
  <si>
    <t>🏮</t>
  </si>
  <si>
    <t>1F3EE</t>
  </si>
  <si>
    <t>point d’exclamation rouge</t>
  </si>
  <si>
    <t>❗</t>
  </si>
  <si>
    <t>les gens luttent</t>
  </si>
  <si>
    <t>🤼</t>
  </si>
  <si>
    <t>1F93C</t>
  </si>
  <si>
    <t>triangle rouge pointé vers le haut</t>
  </si>
  <si>
    <t>🔺</t>
  </si>
  <si>
    <t>1F53A</t>
  </si>
  <si>
    <t>usine</t>
  </si>
  <si>
    <t>🏭</t>
  </si>
  <si>
    <t>1F3ED</t>
  </si>
  <si>
    <t>point d’exclamation blanc</t>
  </si>
  <si>
    <t>❕</t>
  </si>
  <si>
    <t>personne escrime</t>
  </si>
  <si>
    <t>🤺</t>
  </si>
  <si>
    <t>1F93A</t>
  </si>
  <si>
    <t>petit diamant bleu</t>
  </si>
  <si>
    <t>🔹</t>
  </si>
  <si>
    <t>1F539</t>
  </si>
  <si>
    <t>grand magasin</t>
  </si>
  <si>
    <t>🏬</t>
  </si>
  <si>
    <t>1F3EC</t>
  </si>
  <si>
    <t>point d’interrogation blanc</t>
  </si>
  <si>
    <t>❔</t>
  </si>
  <si>
    <t>personne jonglant</t>
  </si>
  <si>
    <t>🤹</t>
  </si>
  <si>
    <t>1F939</t>
  </si>
  <si>
    <t>petit diamant orange</t>
  </si>
  <si>
    <t>🔸</t>
  </si>
  <si>
    <t>1F538</t>
  </si>
  <si>
    <t>école</t>
  </si>
  <si>
    <t>🏫</t>
  </si>
  <si>
    <t>1F3EB</t>
  </si>
  <si>
    <t>point d’interrogation rouge</t>
  </si>
  <si>
    <t>❓</t>
  </si>
  <si>
    <t>chariot de personne</t>
  </si>
  <si>
    <t>🤸</t>
  </si>
  <si>
    <t>1F938</t>
  </si>
  <si>
    <t>grand diamant bleu</t>
  </si>
  <si>
    <t>🔷</t>
  </si>
  <si>
    <t>1F537</t>
  </si>
  <si>
    <t>dépanneur</t>
  </si>
  <si>
    <t>🏪</t>
  </si>
  <si>
    <t>1F3EA</t>
  </si>
  <si>
    <t>bouton de marque croisée</t>
  </si>
  <si>
    <t>❎</t>
  </si>
  <si>
    <t>274E</t>
  </si>
  <si>
    <t>personne haussant les épaules</t>
  </si>
  <si>
    <t>🤷</t>
  </si>
  <si>
    <t>1F937</t>
  </si>
  <si>
    <t>grand diamant orange</t>
  </si>
  <si>
    <t>🔶</t>
  </si>
  <si>
    <t>1F536</t>
  </si>
  <si>
    <t>love hôtel</t>
  </si>
  <si>
    <t>🏩</t>
  </si>
  <si>
    <t>1F3E9</t>
  </si>
  <si>
    <t>scintiller</t>
  </si>
  <si>
    <t>❇</t>
  </si>
  <si>
    <t>Mme Claus</t>
  </si>
  <si>
    <t>🤶</t>
  </si>
  <si>
    <t>1F936</t>
  </si>
  <si>
    <t>cercle bleu</t>
  </si>
  <si>
    <t>🔵</t>
  </si>
  <si>
    <t>1F535</t>
  </si>
  <si>
    <t>hôtel</t>
  </si>
  <si>
    <t>🏨</t>
  </si>
  <si>
    <t>1F3E8</t>
  </si>
  <si>
    <t>flocon de neige</t>
  </si>
  <si>
    <t>❄</t>
  </si>
  <si>
    <t>personne en smoking</t>
  </si>
  <si>
    <t>🤵</t>
  </si>
  <si>
    <t>1F935</t>
  </si>
  <si>
    <t>cercle rouge</t>
  </si>
  <si>
    <t>🔴</t>
  </si>
  <si>
    <t>1F534</t>
  </si>
  <si>
    <t>Panneau ATM</t>
  </si>
  <si>
    <t>🏧</t>
  </si>
  <si>
    <t>1F3E7</t>
  </si>
  <si>
    <t>étoile à huit branches</t>
  </si>
  <si>
    <t>✴</t>
  </si>
  <si>
    <t>prince</t>
  </si>
  <si>
    <t>🤴</t>
  </si>
  <si>
    <t>1F934</t>
  </si>
  <si>
    <t>bouton carré blanc</t>
  </si>
  <si>
    <t>🔳</t>
  </si>
  <si>
    <t>1F533</t>
  </si>
  <si>
    <t>banque</t>
  </si>
  <si>
    <t>🏦</t>
  </si>
  <si>
    <t>1F3E6</t>
  </si>
  <si>
    <t>astérisque à huit rayons</t>
  </si>
  <si>
    <t>✳</t>
  </si>
  <si>
    <t>selfie</t>
  </si>
  <si>
    <t>🤳</t>
  </si>
  <si>
    <t>1F933</t>
  </si>
  <si>
    <t>bouton carré noir</t>
  </si>
  <si>
    <t>🔲</t>
  </si>
  <si>
    <t>1F532</t>
  </si>
  <si>
    <t>hôpital</t>
  </si>
  <si>
    <t>🏥</t>
  </si>
  <si>
    <t>1F3E5</t>
  </si>
  <si>
    <t>étoile de David</t>
  </si>
  <si>
    <t>✡</t>
  </si>
  <si>
    <t>paumes ensemble</t>
  </si>
  <si>
    <t>🤲</t>
  </si>
  <si>
    <t>1F932</t>
  </si>
  <si>
    <t>emblème du trident</t>
  </si>
  <si>
    <t>🔱</t>
  </si>
  <si>
    <t>1F531</t>
  </si>
  <si>
    <t>bureau de poste</t>
  </si>
  <si>
    <t>🏤</t>
  </si>
  <si>
    <t>1F3E4</t>
  </si>
  <si>
    <t>croix latine</t>
  </si>
  <si>
    <t>✝</t>
  </si>
  <si>
    <t>271D</t>
  </si>
  <si>
    <t>l’allaitement</t>
  </si>
  <si>
    <t>🤱</t>
  </si>
  <si>
    <t>1F931</t>
  </si>
  <si>
    <t>Symbole japonais pour débutant</t>
  </si>
  <si>
    <t>🔰</t>
  </si>
  <si>
    <t>1F530</t>
  </si>
  <si>
    <t>Bureau de poste japonais</t>
  </si>
  <si>
    <t>🏣</t>
  </si>
  <si>
    <t>1F3E3</t>
  </si>
  <si>
    <t>multiplier</t>
  </si>
  <si>
    <t>✖</t>
  </si>
  <si>
    <t>femme enceinte</t>
  </si>
  <si>
    <t>🤰</t>
  </si>
  <si>
    <t>1F930</t>
  </si>
  <si>
    <t>étoile pointillée à six branches</t>
  </si>
  <si>
    <t>🔯</t>
  </si>
  <si>
    <t>1F52F</t>
  </si>
  <si>
    <t xml:space="preserve"> de bureaux</t>
  </si>
  <si>
    <t>🏢</t>
  </si>
  <si>
    <t>1F3E2</t>
  </si>
  <si>
    <t>coche</t>
  </si>
  <si>
    <t>✔</t>
  </si>
  <si>
    <t>tête qui explose</t>
  </si>
  <si>
    <t>🤯</t>
  </si>
  <si>
    <t>1F92F</t>
  </si>
  <si>
    <t>boule de cristal</t>
  </si>
  <si>
    <t>🔮</t>
  </si>
  <si>
    <t>1F52E</t>
  </si>
  <si>
    <t>maison avec jardin</t>
  </si>
  <si>
    <t>🏡</t>
  </si>
  <si>
    <t>1F3E1</t>
  </si>
  <si>
    <t>plume noire</t>
  </si>
  <si>
    <t>✒</t>
  </si>
  <si>
    <t>vomissements au visage</t>
  </si>
  <si>
    <t>🤮</t>
  </si>
  <si>
    <t>1F92E</t>
  </si>
  <si>
    <t>télescope</t>
  </si>
  <si>
    <t>🔭</t>
  </si>
  <si>
    <t>1F52D</t>
  </si>
  <si>
    <t>maison</t>
  </si>
  <si>
    <t>🏠</t>
  </si>
  <si>
    <t>1F3E0</t>
  </si>
  <si>
    <t>✏</t>
  </si>
  <si>
    <t>270F</t>
  </si>
  <si>
    <t>visage avec la main sur la bouche</t>
  </si>
  <si>
    <t>🤭</t>
  </si>
  <si>
    <t>1F92D</t>
  </si>
  <si>
    <t>microscope</t>
  </si>
  <si>
    <t>🔬</t>
  </si>
  <si>
    <t>1F52C</t>
  </si>
  <si>
    <t>stade</t>
  </si>
  <si>
    <t>🏟</t>
  </si>
  <si>
    <t>1F3DF</t>
  </si>
  <si>
    <t>écrire la main</t>
  </si>
  <si>
    <t>✍</t>
  </si>
  <si>
    <t>270D</t>
  </si>
  <si>
    <t>visage avec des symboles sur la bouche</t>
  </si>
  <si>
    <t>🤬</t>
  </si>
  <si>
    <t>1F92C</t>
  </si>
  <si>
    <t>pistolet à eau</t>
  </si>
  <si>
    <t>🔫</t>
  </si>
  <si>
    <t>1F52B</t>
  </si>
  <si>
    <t>parc national</t>
  </si>
  <si>
    <t>🏞</t>
  </si>
  <si>
    <t>1F3DE</t>
  </si>
  <si>
    <t>main de la victoire</t>
  </si>
  <si>
    <t>✌</t>
  </si>
  <si>
    <t>270C</t>
  </si>
  <si>
    <t>visage qui s’était</t>
  </si>
  <si>
    <t>🤫</t>
  </si>
  <si>
    <t>1F92B</t>
  </si>
  <si>
    <t>couteau de cuisine</t>
  </si>
  <si>
    <t>🔪</t>
  </si>
  <si>
    <t>1F52A</t>
  </si>
  <si>
    <t>île déserte</t>
  </si>
  <si>
    <t>🏝</t>
  </si>
  <si>
    <t>1F3DD</t>
  </si>
  <si>
    <t>enveloppe</t>
  </si>
  <si>
    <t>✉</t>
  </si>
  <si>
    <t>visage loufoque</t>
  </si>
  <si>
    <t>🤪</t>
  </si>
  <si>
    <t>1F92A</t>
  </si>
  <si>
    <t>écrou et boulon</t>
  </si>
  <si>
    <t>🔩</t>
  </si>
  <si>
    <t>1F529</t>
  </si>
  <si>
    <t>désert</t>
  </si>
  <si>
    <t>🏜</t>
  </si>
  <si>
    <t>1F3DC</t>
  </si>
  <si>
    <t>avion</t>
  </si>
  <si>
    <t>✈</t>
  </si>
  <si>
    <t>frappé par une étoile</t>
  </si>
  <si>
    <t>🤩</t>
  </si>
  <si>
    <t>1F929</t>
  </si>
  <si>
    <t>marteau</t>
  </si>
  <si>
    <t>🔨</t>
  </si>
  <si>
    <t>1F528</t>
  </si>
  <si>
    <t>bâtiment classique</t>
  </si>
  <si>
    <t>🏛</t>
  </si>
  <si>
    <t>1F3DB</t>
  </si>
  <si>
    <t>ciseaux</t>
  </si>
  <si>
    <t>✂</t>
  </si>
  <si>
    <t>visage avec sourcil levé</t>
  </si>
  <si>
    <t>🤨</t>
  </si>
  <si>
    <t>1F928</t>
  </si>
  <si>
    <t>clé</t>
  </si>
  <si>
    <t>🔧</t>
  </si>
  <si>
    <t>1F527</t>
  </si>
  <si>
    <t>maison abandonnée</t>
  </si>
  <si>
    <t>🏚</t>
  </si>
  <si>
    <t>1F3DA</t>
  </si>
  <si>
    <t>sources chaudes</t>
  </si>
  <si>
    <t>♨</t>
  </si>
  <si>
    <t>éternuements du visage</t>
  </si>
  <si>
    <t>🤧</t>
  </si>
  <si>
    <t>1F927</t>
  </si>
  <si>
    <t>torche</t>
  </si>
  <si>
    <t>🔦</t>
  </si>
  <si>
    <t>1F526</t>
  </si>
  <si>
    <t>Cityscape</t>
  </si>
  <si>
    <t>🏙</t>
  </si>
  <si>
    <t>1F3D9</t>
  </si>
  <si>
    <t>costume diamant</t>
  </si>
  <si>
    <t>♦</t>
  </si>
  <si>
    <t>personne facepalming</t>
  </si>
  <si>
    <t>🤦</t>
  </si>
  <si>
    <t>1F926</t>
  </si>
  <si>
    <t>Feu</t>
  </si>
  <si>
    <t>🔥</t>
  </si>
  <si>
    <t>1F525</t>
  </si>
  <si>
    <t>Maisons</t>
  </si>
  <si>
    <t>🏘</t>
  </si>
  <si>
    <t>1F3D8</t>
  </si>
  <si>
    <t>costume de cœur</t>
  </si>
  <si>
    <t>♥</t>
  </si>
  <si>
    <t>visage couché</t>
  </si>
  <si>
    <t>🤥</t>
  </si>
  <si>
    <t>1F925</t>
  </si>
  <si>
    <t>saisir des lettres latines</t>
  </si>
  <si>
    <t>🔤</t>
  </si>
  <si>
    <t>1F524</t>
  </si>
  <si>
    <t>construction de bâtiments</t>
  </si>
  <si>
    <t>🏗</t>
  </si>
  <si>
    <t>1F3D7</t>
  </si>
  <si>
    <t>costume club</t>
  </si>
  <si>
    <t>♣</t>
  </si>
  <si>
    <t>visage bave</t>
  </si>
  <si>
    <t>🤤</t>
  </si>
  <si>
    <t>1F924</t>
  </si>
  <si>
    <t>symboles d’entrée</t>
  </si>
  <si>
    <t>🔣</t>
  </si>
  <si>
    <t>1F523</t>
  </si>
  <si>
    <t>plage avec parasol</t>
  </si>
  <si>
    <t>🏖</t>
  </si>
  <si>
    <t>1F3D6</t>
  </si>
  <si>
    <t>costume de bêche</t>
  </si>
  <si>
    <t>se rouler sur le sol en riant</t>
  </si>
  <si>
    <t>🤣</t>
  </si>
  <si>
    <t>1F923</t>
  </si>
  <si>
    <t>numéros d’entrée</t>
  </si>
  <si>
    <t>🔢</t>
  </si>
  <si>
    <t>1F522</t>
  </si>
  <si>
    <t>camping</t>
  </si>
  <si>
    <t>🏕</t>
  </si>
  <si>
    <t>1F3D5</t>
  </si>
  <si>
    <t>pion d’échecs</t>
  </si>
  <si>
    <t>♟</t>
  </si>
  <si>
    <t>265F</t>
  </si>
  <si>
    <t>visage nauséeux</t>
  </si>
  <si>
    <t>🤢</t>
  </si>
  <si>
    <t>1F922</t>
  </si>
  <si>
    <t>entrée latin minuscule</t>
  </si>
  <si>
    <t>🔡</t>
  </si>
  <si>
    <t>1F521</t>
  </si>
  <si>
    <t>montagne enneigée</t>
  </si>
  <si>
    <t>🏔</t>
  </si>
  <si>
    <t>1F3D4</t>
  </si>
  <si>
    <t>Poissons</t>
  </si>
  <si>
    <t>♓</t>
  </si>
  <si>
    <t>visage de clown</t>
  </si>
  <si>
    <t>🤡</t>
  </si>
  <si>
    <t>1F921</t>
  </si>
  <si>
    <t>entrée latin majuscule</t>
  </si>
  <si>
    <t>🔠</t>
  </si>
  <si>
    <t>1F520</t>
  </si>
  <si>
    <t>ping-pong</t>
  </si>
  <si>
    <t>🏓</t>
  </si>
  <si>
    <t>1F3D3</t>
  </si>
  <si>
    <t>Verseau</t>
  </si>
  <si>
    <t>♒</t>
  </si>
  <si>
    <t>visage de chapeau de cow-boy</t>
  </si>
  <si>
    <t>🤠</t>
  </si>
  <si>
    <t>1F920</t>
  </si>
  <si>
    <t>keycap: 10</t>
  </si>
  <si>
    <t>🔟</t>
  </si>
  <si>
    <t>1F51F</t>
  </si>
  <si>
    <t>hockey sur glace</t>
  </si>
  <si>
    <t>🏒</t>
  </si>
  <si>
    <t>1F3D2</t>
  </si>
  <si>
    <t>Capricorne</t>
  </si>
  <si>
    <t>♑</t>
  </si>
  <si>
    <t>geste d’amour-toi</t>
  </si>
  <si>
    <t>🤟</t>
  </si>
  <si>
    <t>1F91F</t>
  </si>
  <si>
    <t>personne de moins de dix-huit ans</t>
  </si>
  <si>
    <t>🔞</t>
  </si>
  <si>
    <t>1F51E</t>
  </si>
  <si>
    <t>hockey sur gazon</t>
  </si>
  <si>
    <t>🏑</t>
  </si>
  <si>
    <t>1F3D1</t>
  </si>
  <si>
    <t>Sagittaire</t>
  </si>
  <si>
    <t>♐</t>
  </si>
  <si>
    <t>croisons les doigts</t>
  </si>
  <si>
    <t>🤞</t>
  </si>
  <si>
    <t>1F91E</t>
  </si>
  <si>
    <t>Flèche HAUT</t>
  </si>
  <si>
    <t>🔝</t>
  </si>
  <si>
    <t>1F51D</t>
  </si>
  <si>
    <t>volley-ball</t>
  </si>
  <si>
    <t>🏐</t>
  </si>
  <si>
    <t>1F3D0</t>
  </si>
  <si>
    <t>Scorpion</t>
  </si>
  <si>
    <t>♏</t>
  </si>
  <si>
    <t>264F</t>
  </si>
  <si>
    <t>poignée de main</t>
  </si>
  <si>
    <t>🤝</t>
  </si>
  <si>
    <t>1F91D</t>
  </si>
  <si>
    <t>Flèche SOON</t>
  </si>
  <si>
    <t>🔜</t>
  </si>
  <si>
    <t>1F51C</t>
  </si>
  <si>
    <t>jeu de cricket</t>
  </si>
  <si>
    <t>🏏</t>
  </si>
  <si>
    <t>1F3CF</t>
  </si>
  <si>
    <t>♎</t>
  </si>
  <si>
    <t>264E</t>
  </si>
  <si>
    <t>poing droit</t>
  </si>
  <si>
    <t>🤜</t>
  </si>
  <si>
    <t>1F91C</t>
  </si>
  <si>
    <t>SUR! flèche</t>
  </si>
  <si>
    <t>🔛</t>
  </si>
  <si>
    <t>1F51B</t>
  </si>
  <si>
    <t>voiture de course</t>
  </si>
  <si>
    <t>🏎</t>
  </si>
  <si>
    <t>1F3CE</t>
  </si>
  <si>
    <t>Vierge</t>
  </si>
  <si>
    <t>♍</t>
  </si>
  <si>
    <t>264D</t>
  </si>
  <si>
    <t>poing tourné vers la gauche</t>
  </si>
  <si>
    <t>🤛</t>
  </si>
  <si>
    <t>1F91B</t>
  </si>
  <si>
    <t>Flèche END</t>
  </si>
  <si>
    <t>🔚</t>
  </si>
  <si>
    <t>1F51A</t>
  </si>
  <si>
    <t>motocyclette</t>
  </si>
  <si>
    <t>🏍</t>
  </si>
  <si>
    <t>1F3CD</t>
  </si>
  <si>
    <t>Lion</t>
  </si>
  <si>
    <t>♌</t>
  </si>
  <si>
    <t>264C</t>
  </si>
  <si>
    <t>le dos levé de la main</t>
  </si>
  <si>
    <t>🤚</t>
  </si>
  <si>
    <t>1F91A</t>
  </si>
  <si>
    <t>Flèche RETOUR</t>
  </si>
  <si>
    <t>🔙</t>
  </si>
  <si>
    <t>1F519</t>
  </si>
  <si>
    <t>personne golfeur</t>
  </si>
  <si>
    <t>🏌</t>
  </si>
  <si>
    <t>1F3CC</t>
  </si>
  <si>
    <t>Cancer</t>
  </si>
  <si>
    <t>♋</t>
  </si>
  <si>
    <t>264B</t>
  </si>
  <si>
    <t>appelez-moi la main</t>
  </si>
  <si>
    <t>🤙</t>
  </si>
  <si>
    <t>1F919</t>
  </si>
  <si>
    <t>bouton radio</t>
  </si>
  <si>
    <t>🔘</t>
  </si>
  <si>
    <t>1F518</t>
  </si>
  <si>
    <t>personne soulevant des poids</t>
  </si>
  <si>
    <t>🏋</t>
  </si>
  <si>
    <t>1F3CB</t>
  </si>
  <si>
    <t>Gémeaux</t>
  </si>
  <si>
    <t>♊</t>
  </si>
  <si>
    <t>264A</t>
  </si>
  <si>
    <t>signe des cornes</t>
  </si>
  <si>
    <t>🤘</t>
  </si>
  <si>
    <t>1F918</t>
  </si>
  <si>
    <t>lien</t>
  </si>
  <si>
    <t>🔗</t>
  </si>
  <si>
    <t>1F517</t>
  </si>
  <si>
    <t>personne nageant</t>
  </si>
  <si>
    <t>🏊</t>
  </si>
  <si>
    <t>1F3CA</t>
  </si>
  <si>
    <t>Taureau</t>
  </si>
  <si>
    <t>♉</t>
  </si>
  <si>
    <t>visage souriant avec les mains ouvertes</t>
  </si>
  <si>
    <t>🤗</t>
  </si>
  <si>
    <t>1F917</t>
  </si>
  <si>
    <t>Signet</t>
  </si>
  <si>
    <t>🔖</t>
  </si>
  <si>
    <t>1F516</t>
  </si>
  <si>
    <t>rugby à XV</t>
  </si>
  <si>
    <t>🏉</t>
  </si>
  <si>
    <t>1F3C9</t>
  </si>
  <si>
    <t>Bélier</t>
  </si>
  <si>
    <t>♈</t>
  </si>
  <si>
    <t>robot</t>
  </si>
  <si>
    <t>🤖</t>
  </si>
  <si>
    <t>1F916</t>
  </si>
  <si>
    <t>cloche avec barre oblique</t>
  </si>
  <si>
    <t>🔕</t>
  </si>
  <si>
    <t>1F515</t>
  </si>
  <si>
    <t>football américain</t>
  </si>
  <si>
    <t>🏈</t>
  </si>
  <si>
    <t>1F3C8</t>
  </si>
  <si>
    <t>signe masculin</t>
  </si>
  <si>
    <t>visage avec bandage de tête</t>
  </si>
  <si>
    <t>🤕</t>
  </si>
  <si>
    <t>1F915</t>
  </si>
  <si>
    <t>cloche</t>
  </si>
  <si>
    <t>🔔</t>
  </si>
  <si>
    <t>1F514</t>
  </si>
  <si>
    <t>courses de chevaux</t>
  </si>
  <si>
    <t>🏇</t>
  </si>
  <si>
    <t>1F3C7</t>
  </si>
  <si>
    <t>signe féminin</t>
  </si>
  <si>
    <t>visage pensant</t>
  </si>
  <si>
    <t>🤔</t>
  </si>
  <si>
    <t>1F914</t>
  </si>
  <si>
    <t>déverrouillé</t>
  </si>
  <si>
    <t>🔓</t>
  </si>
  <si>
    <t>1F513</t>
  </si>
  <si>
    <t>trophée</t>
  </si>
  <si>
    <t>🏆</t>
  </si>
  <si>
    <t>1F3C6</t>
  </si>
  <si>
    <t>☺</t>
  </si>
  <si>
    <t>263A</t>
  </si>
  <si>
    <t>visage de nerd</t>
  </si>
  <si>
    <t>🤓</t>
  </si>
  <si>
    <t>1F913</t>
  </si>
  <si>
    <t>verrouillé</t>
  </si>
  <si>
    <t>🔒</t>
  </si>
  <si>
    <t>1F512</t>
  </si>
  <si>
    <t>médaille sportive</t>
  </si>
  <si>
    <t>🏅</t>
  </si>
  <si>
    <t>1F3C5</t>
  </si>
  <si>
    <t>visage fronçant les sourcils</t>
  </si>
  <si>
    <t>☹</t>
  </si>
  <si>
    <t>visage avec thermomètre</t>
  </si>
  <si>
    <t>🤒</t>
  </si>
  <si>
    <t>1F912</t>
  </si>
  <si>
    <t>🔑</t>
  </si>
  <si>
    <t>1F511</t>
  </si>
  <si>
    <t>personne surfant</t>
  </si>
  <si>
    <t>🏄</t>
  </si>
  <si>
    <t>1F3C4</t>
  </si>
  <si>
    <t>roue du dharma</t>
  </si>
  <si>
    <t>☸</t>
  </si>
  <si>
    <t>visage de bouche d’argent</t>
  </si>
  <si>
    <t>🤑</t>
  </si>
  <si>
    <t>1F911</t>
  </si>
  <si>
    <t>verrouillé avec clé</t>
  </si>
  <si>
    <t>🔐</t>
  </si>
  <si>
    <t>1F510</t>
  </si>
  <si>
    <t>personne qui court</t>
  </si>
  <si>
    <t>🏃</t>
  </si>
  <si>
    <t>1F3C3</t>
  </si>
  <si>
    <t>Yin Yang</t>
  </si>
  <si>
    <t>☯</t>
  </si>
  <si>
    <t>262F</t>
  </si>
  <si>
    <t>zipper-bouche visage</t>
  </si>
  <si>
    <t>🤐</t>
  </si>
  <si>
    <t>1F910</t>
  </si>
  <si>
    <t>verrouillé avec un stylo</t>
  </si>
  <si>
    <t>🔏</t>
  </si>
  <si>
    <t>1F50F</t>
  </si>
  <si>
    <t>snowboarder</t>
  </si>
  <si>
    <t>🏂</t>
  </si>
  <si>
    <t>1F3C2</t>
  </si>
  <si>
    <t xml:space="preserve"> de paix</t>
  </si>
  <si>
    <t>☮</t>
  </si>
  <si>
    <t>262E</t>
  </si>
  <si>
    <t>pincement de la main</t>
  </si>
  <si>
    <t>🤏</t>
  </si>
  <si>
    <t>1F90F</t>
  </si>
  <si>
    <t>loupe inclinée vers la droite</t>
  </si>
  <si>
    <t>🔎</t>
  </si>
  <si>
    <t>1F50E</t>
  </si>
  <si>
    <t>drapeau à damier</t>
  </si>
  <si>
    <t>🏁</t>
  </si>
  <si>
    <t>1F3C1</t>
  </si>
  <si>
    <t>étoile et croissant</t>
  </si>
  <si>
    <t>☪</t>
  </si>
  <si>
    <t>262A</t>
  </si>
  <si>
    <t>cœur brun</t>
  </si>
  <si>
    <t>🤎</t>
  </si>
  <si>
    <t>1F90E</t>
  </si>
  <si>
    <t>loupe inclinée vers la gauche</t>
  </si>
  <si>
    <t>🔍</t>
  </si>
  <si>
    <t>1F50D</t>
  </si>
  <si>
    <t>basket-ball</t>
  </si>
  <si>
    <t>🏀</t>
  </si>
  <si>
    <t>1F3C0</t>
  </si>
  <si>
    <t>croix orthodoxe</t>
  </si>
  <si>
    <t>☦</t>
  </si>
  <si>
    <t>cœur blanc</t>
  </si>
  <si>
    <t>🤍</t>
  </si>
  <si>
    <t>1F90D</t>
  </si>
  <si>
    <t>prise électrique</t>
  </si>
  <si>
    <t>🔌</t>
  </si>
  <si>
    <t>1F50C</t>
  </si>
  <si>
    <t>Skis</t>
  </si>
  <si>
    <t>🎿</t>
  </si>
  <si>
    <t>1F3BF</t>
  </si>
  <si>
    <t>Biohazard</t>
  </si>
  <si>
    <t>☣</t>
  </si>
  <si>
    <t>doigts pincés</t>
  </si>
  <si>
    <t>🤌</t>
  </si>
  <si>
    <t>1F90C</t>
  </si>
  <si>
    <t>pile</t>
  </si>
  <si>
    <t>🔋</t>
  </si>
  <si>
    <t>1F50B</t>
  </si>
  <si>
    <t>tennis</t>
  </si>
  <si>
    <t>🎾</t>
  </si>
  <si>
    <t>1F3BE</t>
  </si>
  <si>
    <t>radioactif</t>
  </si>
  <si>
    <t>☢</t>
  </si>
  <si>
    <t>🟰</t>
  </si>
  <si>
    <t>1F7F0</t>
  </si>
  <si>
    <t>haut-parleur volume élevé</t>
  </si>
  <si>
    <t>🔊</t>
  </si>
  <si>
    <t>1F50A</t>
  </si>
  <si>
    <t>chemise de course</t>
  </si>
  <si>
    <t>🎽</t>
  </si>
  <si>
    <t>1F3BD</t>
  </si>
  <si>
    <t>crâne et os croisés</t>
  </si>
  <si>
    <t>☠</t>
  </si>
  <si>
    <t>carré brun</t>
  </si>
  <si>
    <t>🟫</t>
  </si>
  <si>
    <t>1F7EB</t>
  </si>
  <si>
    <t>haut-parleur volume moyen</t>
  </si>
  <si>
    <t>🔉</t>
  </si>
  <si>
    <t>1F509</t>
  </si>
  <si>
    <t>partition musicale</t>
  </si>
  <si>
    <t>🎼</t>
  </si>
  <si>
    <t>1F3BC</t>
  </si>
  <si>
    <t>case à cocher avec coche</t>
  </si>
  <si>
    <t>☑</t>
  </si>
  <si>
    <t>carré violet</t>
  </si>
  <si>
    <t>🟪</t>
  </si>
  <si>
    <t>1F7EA</t>
  </si>
  <si>
    <t xml:space="preserve"> à faible volume</t>
  </si>
  <si>
    <t>🔈</t>
  </si>
  <si>
    <t>1F508</t>
  </si>
  <si>
    <t>violon</t>
  </si>
  <si>
    <t>🎻</t>
  </si>
  <si>
    <t>1F3BB</t>
  </si>
  <si>
    <t>téléphone</t>
  </si>
  <si>
    <t>☎</t>
  </si>
  <si>
    <t>260E</t>
  </si>
  <si>
    <t>carré vert</t>
  </si>
  <si>
    <t>🟩</t>
  </si>
  <si>
    <t>1F7E9</t>
  </si>
  <si>
    <t>haut-parleur muet</t>
  </si>
  <si>
    <t>🔇</t>
  </si>
  <si>
    <t>1F507</t>
  </si>
  <si>
    <t>trompette</t>
  </si>
  <si>
    <t>🎺</t>
  </si>
  <si>
    <t>1F3BA</t>
  </si>
  <si>
    <t>comète</t>
  </si>
  <si>
    <t>☄</t>
  </si>
  <si>
    <t>carré jaune</t>
  </si>
  <si>
    <t>🟨</t>
  </si>
  <si>
    <t>1F7E8</t>
  </si>
  <si>
    <t>bouton lumineux</t>
  </si>
  <si>
    <t>🔆</t>
  </si>
  <si>
    <t>1F506</t>
  </si>
  <si>
    <t>clavier musical</t>
  </si>
  <si>
    <t>🎹</t>
  </si>
  <si>
    <t>1F3B9</t>
  </si>
  <si>
    <t>bonhomme de neige</t>
  </si>
  <si>
    <t>☃</t>
  </si>
  <si>
    <t>carré orange</t>
  </si>
  <si>
    <t>🟧</t>
  </si>
  <si>
    <t>1F7E7</t>
  </si>
  <si>
    <t>bouton dim</t>
  </si>
  <si>
    <t>🔅</t>
  </si>
  <si>
    <t>1F505</t>
  </si>
  <si>
    <t>guitare</t>
  </si>
  <si>
    <t>🎸</t>
  </si>
  <si>
    <t>1F3B8</t>
  </si>
  <si>
    <t>parapluie</t>
  </si>
  <si>
    <t>☂</t>
  </si>
  <si>
    <t>carré bleu</t>
  </si>
  <si>
    <t>🟦</t>
  </si>
  <si>
    <t>1F7E6</t>
  </si>
  <si>
    <t>bouton flèches dans le sens inverse des aiguilles d’une montre</t>
  </si>
  <si>
    <t>🔄</t>
  </si>
  <si>
    <t>1F504</t>
  </si>
  <si>
    <t>saxophone</t>
  </si>
  <si>
    <t>🎷</t>
  </si>
  <si>
    <t>1F3B7</t>
  </si>
  <si>
    <t>nuage</t>
  </si>
  <si>
    <t>☁</t>
  </si>
  <si>
    <t>carré rouge</t>
  </si>
  <si>
    <t>🟥</t>
  </si>
  <si>
    <t>1F7E5</t>
  </si>
  <si>
    <t>flèches verticales dans le sens des aiguilles d’une montre</t>
  </si>
  <si>
    <t>🔃</t>
  </si>
  <si>
    <t>1F503</t>
  </si>
  <si>
    <t>notes de musique</t>
  </si>
  <si>
    <t>🎶</t>
  </si>
  <si>
    <t>1F3B6</t>
  </si>
  <si>
    <t>soleil</t>
  </si>
  <si>
    <t>☀</t>
  </si>
  <si>
    <t>cercle brun</t>
  </si>
  <si>
    <t>🟤</t>
  </si>
  <si>
    <t>1F7E4</t>
  </si>
  <si>
    <t>répéter un seul bouton</t>
  </si>
  <si>
    <t>🔂</t>
  </si>
  <si>
    <t>1F502</t>
  </si>
  <si>
    <t>note de musique</t>
  </si>
  <si>
    <t>🎵</t>
  </si>
  <si>
    <t>1F3B5</t>
  </si>
  <si>
    <t>recommandé</t>
  </si>
  <si>
    <t>00AE</t>
  </si>
  <si>
    <t>cercle violet</t>
  </si>
  <si>
    <t>🟣</t>
  </si>
  <si>
    <t>1F7E3</t>
  </si>
  <si>
    <t>bouton répéter</t>
  </si>
  <si>
    <t>🔁</t>
  </si>
  <si>
    <t>1F501</t>
  </si>
  <si>
    <t>cartes à jouer de fleurs</t>
  </si>
  <si>
    <t>🎴</t>
  </si>
  <si>
    <t>1F3B4</t>
  </si>
  <si>
    <t>copyright</t>
  </si>
  <si>
    <t>00A9</t>
  </si>
  <si>
    <t>cercle vert</t>
  </si>
  <si>
    <t>🟢</t>
  </si>
  <si>
    <t>1F7E2</t>
  </si>
  <si>
    <t>bouton de lecture aléatoire des pistes</t>
  </si>
  <si>
    <t>🔀</t>
  </si>
  <si>
    <t>1F500</t>
  </si>
  <si>
    <t>bowling</t>
  </si>
  <si>
    <t>🎳</t>
  </si>
  <si>
    <t>1F3B3</t>
  </si>
  <si>
    <t>flèche haut-bas</t>
  </si>
  <si>
    <t>↕</t>
  </si>
  <si>
    <t>cercle jaune</t>
  </si>
  <si>
    <t>🟡</t>
  </si>
  <si>
    <t>1F7E1</t>
  </si>
  <si>
    <t>chapelet</t>
  </si>
  <si>
    <t>📿</t>
  </si>
  <si>
    <t>1F4FF</t>
  </si>
  <si>
    <t>dé de jeu</t>
  </si>
  <si>
    <t>🎲</t>
  </si>
  <si>
    <t>1F3B2</t>
  </si>
  <si>
    <t>flèche gauche-droite</t>
  </si>
  <si>
    <t>↔</t>
  </si>
  <si>
    <t>cercle orange</t>
  </si>
  <si>
    <t>🟠</t>
  </si>
  <si>
    <t>1F7E0</t>
  </si>
  <si>
    <t>projecteur de film</t>
  </si>
  <si>
    <t>📽</t>
  </si>
  <si>
    <t>1F4FD</t>
  </si>
  <si>
    <t>piscine 8 boule</t>
  </si>
  <si>
    <t>🎱</t>
  </si>
  <si>
    <t>1F3B1</t>
  </si>
  <si>
    <t>flèche haut-gauche</t>
  </si>
  <si>
    <t>↖</t>
  </si>
  <si>
    <t>patin à roulettes</t>
  </si>
  <si>
    <t>🛼</t>
  </si>
  <si>
    <t>1F6FC</t>
  </si>
  <si>
    <t>Vidéos</t>
  </si>
  <si>
    <t>📼</t>
  </si>
  <si>
    <t>1F4FC</t>
  </si>
  <si>
    <t>Machine</t>
  </si>
  <si>
    <t>🎰</t>
  </si>
  <si>
    <t>1F3B0</t>
  </si>
  <si>
    <t>flèche droite courbée vers la gauche</t>
  </si>
  <si>
    <t>↩</t>
  </si>
  <si>
    <t>21A9</t>
  </si>
  <si>
    <t>pick-up</t>
  </si>
  <si>
    <t>🛻</t>
  </si>
  <si>
    <t>1F6FB</t>
  </si>
  <si>
    <t>radio</t>
  </si>
  <si>
    <t>📻</t>
  </si>
  <si>
    <t>1F4FB</t>
  </si>
  <si>
    <t>Bulle</t>
  </si>
  <si>
    <t>🎯</t>
  </si>
  <si>
    <t>1F3AF</t>
  </si>
  <si>
    <t xml:space="preserve"> vers le bas à gauche</t>
  </si>
  <si>
    <t>↙</t>
  </si>
  <si>
    <t>pousse-pousse automobile</t>
  </si>
  <si>
    <t>🛺</t>
  </si>
  <si>
    <t>1F6FA</t>
  </si>
  <si>
    <t>télévision</t>
  </si>
  <si>
    <t>📺</t>
  </si>
  <si>
    <t>1F4FA</t>
  </si>
  <si>
    <t>jeu vidéo</t>
  </si>
  <si>
    <t>🎮</t>
  </si>
  <si>
    <t>1F3AE</t>
  </si>
  <si>
    <t>flèche vers le bas à droite</t>
  </si>
  <si>
    <t>↘</t>
  </si>
  <si>
    <t>skateboard</t>
  </si>
  <si>
    <t>🛹</t>
  </si>
  <si>
    <t>1F6F9</t>
  </si>
  <si>
    <t>caméra vidéo</t>
  </si>
  <si>
    <t>📹</t>
  </si>
  <si>
    <t>1F4F9</t>
  </si>
  <si>
    <t>arts du spectacle</t>
  </si>
  <si>
    <t>🎭</t>
  </si>
  <si>
    <t>1F3AD</t>
  </si>
  <si>
    <t>flèche droite</t>
  </si>
  <si>
    <t>➡</t>
  </si>
  <si>
    <t>27A1</t>
  </si>
  <si>
    <t>soucoupe volante</t>
  </si>
  <si>
    <t>🛸</t>
  </si>
  <si>
    <t>1F6F8</t>
  </si>
  <si>
    <t>appareil photo avec flash</t>
  </si>
  <si>
    <t>📸</t>
  </si>
  <si>
    <t>1F4F8</t>
  </si>
  <si>
    <t>clapper board</t>
  </si>
  <si>
    <t>🎬</t>
  </si>
  <si>
    <t>1F3AC</t>
  </si>
  <si>
    <t>flèche gauche courbée vers la droite</t>
  </si>
  <si>
    <t>↪</t>
  </si>
  <si>
    <t>21AA</t>
  </si>
  <si>
    <t>traîneau</t>
  </si>
  <si>
    <t>🛷</t>
  </si>
  <si>
    <t>1F6F7</t>
  </si>
  <si>
    <t>caméra</t>
  </si>
  <si>
    <t>📷</t>
  </si>
  <si>
    <t>1F4F7</t>
  </si>
  <si>
    <t>billet</t>
  </si>
  <si>
    <t>🎫</t>
  </si>
  <si>
    <t>1F3AB</t>
  </si>
  <si>
    <t>flèche haut-droite</t>
  </si>
  <si>
    <t>↗</t>
  </si>
  <si>
    <t>canoë</t>
  </si>
  <si>
    <t>🛶</t>
  </si>
  <si>
    <t>1F6F6</t>
  </si>
  <si>
    <t>barres d’antenne</t>
  </si>
  <si>
    <t>📶</t>
  </si>
  <si>
    <t>1F4F6</t>
  </si>
  <si>
    <t>tente de cirque</t>
  </si>
  <si>
    <t>🎪</t>
  </si>
  <si>
    <t>1F3AA</t>
  </si>
  <si>
    <t>index pointant vers le haut</t>
  </si>
  <si>
    <t>☝</t>
  </si>
  <si>
    <t>261D</t>
  </si>
  <si>
    <t>scooter</t>
  </si>
  <si>
    <t>🛵</t>
  </si>
  <si>
    <t>1F6F5</t>
  </si>
  <si>
    <t>pas de téléphones portables</t>
  </si>
  <si>
    <t>📵</t>
  </si>
  <si>
    <t>1F4F5</t>
  </si>
  <si>
    <t>top a</t>
  </si>
  <si>
    <t>🎩</t>
  </si>
  <si>
    <t>1F3A9</t>
  </si>
  <si>
    <t>bouton d’inversion</t>
  </si>
  <si>
    <t>◀</t>
  </si>
  <si>
    <t>25C0</t>
  </si>
  <si>
    <t>trottinette</t>
  </si>
  <si>
    <t>🛴</t>
  </si>
  <si>
    <t>1F6F4</t>
  </si>
  <si>
    <t>téléphone portable éteint</t>
  </si>
  <si>
    <t>📴</t>
  </si>
  <si>
    <t>1F4F4</t>
  </si>
  <si>
    <t>palette d’artistes</t>
  </si>
  <si>
    <t>🎨</t>
  </si>
  <si>
    <t>1F3A8</t>
  </si>
  <si>
    <t>bouton de lecture</t>
  </si>
  <si>
    <t>▶</t>
  </si>
  <si>
    <t>25B6</t>
  </si>
  <si>
    <t>Paquebot</t>
  </si>
  <si>
    <t>🛳</t>
  </si>
  <si>
    <t>1F6F3</t>
  </si>
  <si>
    <t>mode de vibration</t>
  </si>
  <si>
    <t>📳</t>
  </si>
  <si>
    <t>1F4F3</t>
  </si>
  <si>
    <t>écouteur</t>
  </si>
  <si>
    <t>🎧</t>
  </si>
  <si>
    <t>1F3A7</t>
  </si>
  <si>
    <t>petit carré noir</t>
  </si>
  <si>
    <t>▫</t>
  </si>
  <si>
    <t>25AB</t>
  </si>
  <si>
    <t>satellite</t>
  </si>
  <si>
    <t>🛰</t>
  </si>
  <si>
    <t>1F6F0</t>
  </si>
  <si>
    <t>téléphone mobile avec flèche</t>
  </si>
  <si>
    <t>📲</t>
  </si>
  <si>
    <t>1F4F2</t>
  </si>
  <si>
    <t>cinéma</t>
  </si>
  <si>
    <t>🎦</t>
  </si>
  <si>
    <t>1F3A6</t>
  </si>
  <si>
    <t>flèche vers le bas</t>
  </si>
  <si>
    <t>▪</t>
  </si>
  <si>
    <t>25AA</t>
  </si>
  <si>
    <t>arrivée en avion</t>
  </si>
  <si>
    <t>🛬</t>
  </si>
  <si>
    <t>1F6EC</t>
  </si>
  <si>
    <t>téléphone mobile</t>
  </si>
  <si>
    <t>📱</t>
  </si>
  <si>
    <t>1F4F1</t>
  </si>
  <si>
    <t>🎥</t>
  </si>
  <si>
    <t>1F3A5</t>
  </si>
  <si>
    <t>flèche vers le haut</t>
  </si>
  <si>
    <t>⬇</t>
  </si>
  <si>
    <t>2B07</t>
  </si>
  <si>
    <t>départ de l’avion</t>
  </si>
  <si>
    <t>🛫</t>
  </si>
  <si>
    <t>1F6EB</t>
  </si>
  <si>
    <t>journal</t>
  </si>
  <si>
    <t>📰</t>
  </si>
  <si>
    <t>1F4F0</t>
  </si>
  <si>
    <t>microphone</t>
  </si>
  <si>
    <t>🎤</t>
  </si>
  <si>
    <t>1F3A4</t>
  </si>
  <si>
    <t>flèche gauche</t>
  </si>
  <si>
    <t>⬆</t>
  </si>
  <si>
    <t>2B06</t>
  </si>
  <si>
    <t>petit avion</t>
  </si>
  <si>
    <t>🛩</t>
  </si>
  <si>
    <t>1F6E9</t>
  </si>
  <si>
    <t>corne postale</t>
  </si>
  <si>
    <t>📯</t>
  </si>
  <si>
    <t>1F4EF</t>
  </si>
  <si>
    <t>canne à pêche</t>
  </si>
  <si>
    <t>🎣</t>
  </si>
  <si>
    <t>1F3A3</t>
  </si>
  <si>
    <t>flèche droite courbée vers le haut</t>
  </si>
  <si>
    <t>⬅</t>
  </si>
  <si>
    <t>2B05</t>
  </si>
  <si>
    <t>bateau à moteur</t>
  </si>
  <si>
    <t>🛥</t>
  </si>
  <si>
    <t>1F6E5</t>
  </si>
  <si>
    <t>Postbox</t>
  </si>
  <si>
    <t>📮</t>
  </si>
  <si>
    <t>1F4EE</t>
  </si>
  <si>
    <t>montagnes russes</t>
  </si>
  <si>
    <t>🎢</t>
  </si>
  <si>
    <t>1F3A2</t>
  </si>
  <si>
    <t>flèche droite courbée vers le bas</t>
  </si>
  <si>
    <t>⤴</t>
  </si>
  <si>
    <t>voie ferrée</t>
  </si>
  <si>
    <t>🛤</t>
  </si>
  <si>
    <t>1F6E4</t>
  </si>
  <si>
    <t>ouvrir une boîte aux lettres avec un indicateur abaissé</t>
  </si>
  <si>
    <t>📭</t>
  </si>
  <si>
    <t>1F4ED</t>
  </si>
  <si>
    <t>grande roue</t>
  </si>
  <si>
    <t>🎡</t>
  </si>
  <si>
    <t>1F3A1</t>
  </si>
  <si>
    <t>clavier</t>
  </si>
  <si>
    <t>⤵</t>
  </si>
  <si>
    <t>autoroute</t>
  </si>
  <si>
    <t>🛣</t>
  </si>
  <si>
    <t>1F6E3</t>
  </si>
  <si>
    <t>ouvrir une boîte aux lettres avec un indicateur en relief</t>
  </si>
  <si>
    <t>📬</t>
  </si>
  <si>
    <t>1F4EC</t>
  </si>
  <si>
    <t>cheval de carrousel</t>
  </si>
  <si>
    <t>🎠</t>
  </si>
  <si>
    <t>1F3A0</t>
  </si>
  <si>
    <t>sablier fait</t>
  </si>
  <si>
    <t>⌨</t>
  </si>
  <si>
    <t>tambour d’huile</t>
  </si>
  <si>
    <t>🛢</t>
  </si>
  <si>
    <t>1F6E2</t>
  </si>
  <si>
    <t>boîte aux lettres fermée avec indicateur levé</t>
  </si>
  <si>
    <t>📫</t>
  </si>
  <si>
    <t>1F4EB</t>
  </si>
  <si>
    <t>billets d’entrée</t>
  </si>
  <si>
    <t>🎟</t>
  </si>
  <si>
    <t>1F39F</t>
  </si>
  <si>
    <t>montre</t>
  </si>
  <si>
    <t>⌛</t>
  </si>
  <si>
    <t>231B</t>
  </si>
  <si>
    <t>bouclier</t>
  </si>
  <si>
    <t>🛡</t>
  </si>
  <si>
    <t>1F6E1</t>
  </si>
  <si>
    <t>boîte aux lettres fermée avec indicateur abaissé</t>
  </si>
  <si>
    <t>📪</t>
  </si>
  <si>
    <t>1F4EA</t>
  </si>
  <si>
    <t>cadres de film</t>
  </si>
  <si>
    <t>🎞</t>
  </si>
  <si>
    <t>1F39E</t>
  </si>
  <si>
    <t>sablier pas fait</t>
  </si>
  <si>
    <t>⌚</t>
  </si>
  <si>
    <t>231A</t>
  </si>
  <si>
    <t>marteau et clé</t>
  </si>
  <si>
    <t>🛠</t>
  </si>
  <si>
    <t>1F6E0</t>
  </si>
  <si>
    <t>enveloppe avec flèche</t>
  </si>
  <si>
    <t>📩</t>
  </si>
  <si>
    <t>1F4E9</t>
  </si>
  <si>
    <t>boutons de commande</t>
  </si>
  <si>
    <t>🎛</t>
  </si>
  <si>
    <t>1F39B</t>
  </si>
  <si>
    <t>horloge de minuterie</t>
  </si>
  <si>
    <t>⏳</t>
  </si>
  <si>
    <t>23F3</t>
  </si>
  <si>
    <t>🛟</t>
  </si>
  <si>
    <t>1F6DF</t>
  </si>
  <si>
    <t>enveloppe entrante</t>
  </si>
  <si>
    <t>📨</t>
  </si>
  <si>
    <t>1F4E8</t>
  </si>
  <si>
    <t>curseur de niveau</t>
  </si>
  <si>
    <t>🎚</t>
  </si>
  <si>
    <t>1F39A</t>
  </si>
  <si>
    <t>chronomètre</t>
  </si>
  <si>
    <t>⏲</t>
  </si>
  <si>
    <t>23F2</t>
  </si>
  <si>
    <t>🛞</t>
  </si>
  <si>
    <t>1F6DE</t>
  </si>
  <si>
    <t>Messagerie électronique</t>
  </si>
  <si>
    <t>📧</t>
  </si>
  <si>
    <t>1F4E7</t>
  </si>
  <si>
    <t>microphone de studio</t>
  </si>
  <si>
    <t>🎙</t>
  </si>
  <si>
    <t>1F399</t>
  </si>
  <si>
    <t>⏱</t>
  </si>
  <si>
    <t>23F1</t>
  </si>
  <si>
    <t>🛝</t>
  </si>
  <si>
    <t>1F6DD</t>
  </si>
  <si>
    <t>colis</t>
  </si>
  <si>
    <t>📦</t>
  </si>
  <si>
    <t>1F4E6</t>
  </si>
  <si>
    <t>ruban de rappel</t>
  </si>
  <si>
    <t>🎗</t>
  </si>
  <si>
    <t>1F397</t>
  </si>
  <si>
    <t>réveille-matin</t>
  </si>
  <si>
    <t>⏰</t>
  </si>
  <si>
    <t>23F0</t>
  </si>
  <si>
    <t>ascenseur</t>
  </si>
  <si>
    <t>🛗</t>
  </si>
  <si>
    <t>1F6D7</t>
  </si>
  <si>
    <t>bac de la boîte de réception</t>
  </si>
  <si>
    <t>📥</t>
  </si>
  <si>
    <t>1F4E5</t>
  </si>
  <si>
    <t>médaille militaire</t>
  </si>
  <si>
    <t>🎖</t>
  </si>
  <si>
    <t>1F396</t>
  </si>
  <si>
    <t>⏯</t>
  </si>
  <si>
    <t>23EF</t>
  </si>
  <si>
    <t>hutte</t>
  </si>
  <si>
    <t>🛖</t>
  </si>
  <si>
    <t>1F6D6</t>
  </si>
  <si>
    <t>bac d’envoi</t>
  </si>
  <si>
    <t>📤</t>
  </si>
  <si>
    <t>1F4E4</t>
  </si>
  <si>
    <t>casquette de graduation</t>
  </si>
  <si>
    <t>🎓</t>
  </si>
  <si>
    <t>1F393</t>
  </si>
  <si>
    <t>⏮</t>
  </si>
  <si>
    <t>23EE</t>
  </si>
  <si>
    <t>temple hindou</t>
  </si>
  <si>
    <t>🛕</t>
  </si>
  <si>
    <t>1F6D5</t>
  </si>
  <si>
    <t>mégaphone</t>
  </si>
  <si>
    <t>📣</t>
  </si>
  <si>
    <t>1F4E3</t>
  </si>
  <si>
    <t>sac à dos</t>
  </si>
  <si>
    <t>🎒</t>
  </si>
  <si>
    <t>1F392</t>
  </si>
  <si>
    <t>⏭</t>
  </si>
  <si>
    <t>23ED</t>
  </si>
  <si>
    <t>caddie</t>
  </si>
  <si>
    <t>🛒</t>
  </si>
  <si>
    <t>1F6D2</t>
  </si>
  <si>
    <t>haut-parleur</t>
  </si>
  <si>
    <t>📢</t>
  </si>
  <si>
    <t>1F4E2</t>
  </si>
  <si>
    <t>cérémonie d’observation de la lune</t>
  </si>
  <si>
    <t>🎑</t>
  </si>
  <si>
    <t>1F391</t>
  </si>
  <si>
    <t>⏬</t>
  </si>
  <si>
    <t>23EC</t>
  </si>
  <si>
    <t>Panneau stop</t>
  </si>
  <si>
    <t>🛑</t>
  </si>
  <si>
    <t>1F6D1</t>
  </si>
  <si>
    <t>antenne satellite</t>
  </si>
  <si>
    <t>📡</t>
  </si>
  <si>
    <t>1F4E1</t>
  </si>
  <si>
    <t>carillon éolien</t>
  </si>
  <si>
    <t>🎐</t>
  </si>
  <si>
    <t>1F390</t>
  </si>
  <si>
    <t>⏫</t>
  </si>
  <si>
    <t>23EB</t>
  </si>
  <si>
    <t>lieu de culte</t>
  </si>
  <si>
    <t>🛐</t>
  </si>
  <si>
    <t>1F6D0</t>
  </si>
  <si>
    <t>télécopieur</t>
  </si>
  <si>
    <t>📠</t>
  </si>
  <si>
    <t>1F4E0</t>
  </si>
  <si>
    <t>streamer de carpes</t>
  </si>
  <si>
    <t>🎏</t>
  </si>
  <si>
    <t>1F38F</t>
  </si>
  <si>
    <t>⏪</t>
  </si>
  <si>
    <t>23EA</t>
  </si>
  <si>
    <t>lit</t>
  </si>
  <si>
    <t>🛏</t>
  </si>
  <si>
    <t>1F6CF</t>
  </si>
  <si>
    <t>téléavertisseur</t>
  </si>
  <si>
    <t>📟</t>
  </si>
  <si>
    <t>1F4DF</t>
  </si>
  <si>
    <t>Poupées japonaises</t>
  </si>
  <si>
    <t>🎎</t>
  </si>
  <si>
    <t>1F38E</t>
  </si>
  <si>
    <t>⬜</t>
  </si>
  <si>
    <t>2B1C</t>
  </si>
  <si>
    <t>🛎</t>
  </si>
  <si>
    <t>1F6CE</t>
  </si>
  <si>
    <t>récepteur téléphonique</t>
  </si>
  <si>
    <t>📞</t>
  </si>
  <si>
    <t>1F4DE</t>
  </si>
  <si>
    <t>décoration en pin</t>
  </si>
  <si>
    <t>🎍</t>
  </si>
  <si>
    <t>1F38D</t>
  </si>
  <si>
    <t>⬛</t>
  </si>
  <si>
    <t>2B1B</t>
  </si>
  <si>
    <t>sacs à provisions</t>
  </si>
  <si>
    <t>🛍</t>
  </si>
  <si>
    <t>1F6CD</t>
  </si>
  <si>
    <t>mémo</t>
  </si>
  <si>
    <t>📝</t>
  </si>
  <si>
    <t>1F4DD</t>
  </si>
  <si>
    <t>drapeaux croisés</t>
  </si>
  <si>
    <t>🎌</t>
  </si>
  <si>
    <t>1F38C</t>
  </si>
  <si>
    <t>⁉</t>
  </si>
  <si>
    <t>personne au lit</t>
  </si>
  <si>
    <t>🛌</t>
  </si>
  <si>
    <t>1F6CC</t>
  </si>
  <si>
    <t>faire défiler</t>
  </si>
  <si>
    <t>📜</t>
  </si>
  <si>
    <t>1F4DC</t>
  </si>
  <si>
    <t>arbre tanabata</t>
  </si>
  <si>
    <t>🎋</t>
  </si>
  <si>
    <t>1F38B</t>
  </si>
  <si>
    <t>‼</t>
  </si>
  <si>
    <t>203C</t>
  </si>
  <si>
    <t>canapé et lampe</t>
  </si>
  <si>
    <t>🛋</t>
  </si>
  <si>
    <t>1F6CB</t>
  </si>
  <si>
    <t>badge nominatif</t>
  </si>
  <si>
    <t>📛</t>
  </si>
  <si>
    <t>1F4DB</t>
  </si>
  <si>
    <t>boule de confettis</t>
  </si>
  <si>
    <t>🎊</t>
  </si>
  <si>
    <t>1F38A</t>
  </si>
  <si>
    <t>〽</t>
  </si>
  <si>
    <t>303D</t>
  </si>
  <si>
    <t>consigne à bagages</t>
  </si>
  <si>
    <t>🛅</t>
  </si>
  <si>
    <t>1F6C5</t>
  </si>
  <si>
    <t>Livres</t>
  </si>
  <si>
    <t>📚</t>
  </si>
  <si>
    <t>1F4DA</t>
  </si>
  <si>
    <t>popper de fête</t>
  </si>
  <si>
    <t>🎉</t>
  </si>
  <si>
    <t>1F389</t>
  </si>
  <si>
    <t>〰</t>
  </si>
  <si>
    <t>ou Touche Windows et touche point-virgule ( ; )</t>
  </si>
  <si>
    <t>Bagages</t>
  </si>
  <si>
    <t>🛄</t>
  </si>
  <si>
    <t>1F6C4</t>
  </si>
  <si>
    <t>livre orange</t>
  </si>
  <si>
    <t>📙</t>
  </si>
  <si>
    <t>1F4D9</t>
  </si>
  <si>
    <t>ballon</t>
  </si>
  <si>
    <t>🎈</t>
  </si>
  <si>
    <t>1F388</t>
  </si>
  <si>
    <t>️</t>
  </si>
  <si>
    <t>FE0F</t>
  </si>
  <si>
    <t>Touche Windows et point/touche d'arrêt ( . )</t>
  </si>
  <si>
    <t>douane</t>
  </si>
  <si>
    <t>🛃</t>
  </si>
  <si>
    <t>1F6C3</t>
  </si>
  <si>
    <t>livre bleu</t>
  </si>
  <si>
    <t>📘</t>
  </si>
  <si>
    <t>1F4D8</t>
  </si>
  <si>
    <t>Cierge</t>
  </si>
  <si>
    <t>🎇</t>
  </si>
  <si>
    <t>1F387</t>
  </si>
  <si>
    <t>➿</t>
  </si>
  <si>
    <t>27BF</t>
  </si>
  <si>
    <t>. Appuyez sur l'un de ces raccourcis clavier :</t>
  </si>
  <si>
    <t>contrôle des passeports</t>
  </si>
  <si>
    <t>🛂</t>
  </si>
  <si>
    <t>1F6C2</t>
  </si>
  <si>
    <t>livre vert</t>
  </si>
  <si>
    <t>📗</t>
  </si>
  <si>
    <t>1F4D7</t>
  </si>
  <si>
    <t>feu d’artifice</t>
  </si>
  <si>
    <t>🎆</t>
  </si>
  <si>
    <t>1F386</t>
  </si>
  <si>
    <t>boucle bouclée</t>
  </si>
  <si>
    <t>➰</t>
  </si>
  <si>
    <t>27B0</t>
  </si>
  <si>
    <t>Comment utiliser les émoticônes sur Windows 10</t>
  </si>
  <si>
    <t>baignoire</t>
  </si>
  <si>
    <t>🛁</t>
  </si>
  <si>
    <t>1F6C1</t>
  </si>
  <si>
    <t>livre ouvert</t>
  </si>
  <si>
    <t>📖</t>
  </si>
  <si>
    <t>1F4D6</t>
  </si>
  <si>
    <t>Père Noël</t>
  </si>
  <si>
    <t>🎅</t>
  </si>
  <si>
    <t>1F385</t>
  </si>
  <si>
    <t>diviser</t>
  </si>
  <si>
    <t>➗</t>
  </si>
  <si>
    <t>personne prenant un bain</t>
  </si>
  <si>
    <t>🛀</t>
  </si>
  <si>
    <t>1F6C0</t>
  </si>
  <si>
    <t>livre fermé</t>
  </si>
  <si>
    <t>📕</t>
  </si>
  <si>
    <t>1F4D5</t>
  </si>
  <si>
    <t>Arbre de Noël</t>
  </si>
  <si>
    <t>🎄</t>
  </si>
  <si>
    <t>1F384</t>
  </si>
  <si>
    <t>moins</t>
  </si>
  <si>
    <t>➖</t>
  </si>
  <si>
    <t>douche</t>
  </si>
  <si>
    <t>🚿</t>
  </si>
  <si>
    <t>1F6BF</t>
  </si>
  <si>
    <t>carnet avec couverture décorative</t>
  </si>
  <si>
    <t>📔</t>
  </si>
  <si>
    <t>1F4D4</t>
  </si>
  <si>
    <t>jack-o-lantern</t>
  </si>
  <si>
    <t>🎃</t>
  </si>
  <si>
    <t>1F383</t>
  </si>
  <si>
    <t>➕</t>
  </si>
  <si>
    <t>Le plus simple c'est d'utiliser le clavier virtuel ou visuel de Windows 10.</t>
  </si>
  <si>
    <t>WC</t>
  </si>
  <si>
    <t>🚾</t>
  </si>
  <si>
    <t>1F6BE</t>
  </si>
  <si>
    <t>carnet de notes</t>
  </si>
  <si>
    <t>📓</t>
  </si>
  <si>
    <t>1F4D3</t>
  </si>
  <si>
    <t>gâteau d'anniversaire</t>
  </si>
  <si>
    <t>🎂</t>
  </si>
  <si>
    <t>1F382</t>
  </si>
  <si>
    <t>bouton d’enregistrement</t>
  </si>
  <si>
    <t>⏺</t>
  </si>
  <si>
    <t>23FA</t>
  </si>
  <si>
    <t>https://www.excel-exercice.com/ajouter-des-emojis-emoticones-dans-vos-formules-feuilles-graphiques/</t>
  </si>
  <si>
    <t>Lien&gt;</t>
  </si>
  <si>
    <t>toilette</t>
  </si>
  <si>
    <t>🚽</t>
  </si>
  <si>
    <t>1F6BD</t>
  </si>
  <si>
    <t>grand livre</t>
  </si>
  <si>
    <t>📒</t>
  </si>
  <si>
    <t>1F4D2</t>
  </si>
  <si>
    <t>cadeau emballé</t>
  </si>
  <si>
    <t>🎁</t>
  </si>
  <si>
    <t>1F381</t>
  </si>
  <si>
    <t>bouton d’arrêt</t>
  </si>
  <si>
    <t>⏹</t>
  </si>
  <si>
    <t>23F9</t>
  </si>
  <si>
    <t>Insérer des émojis dans Excel</t>
  </si>
  <si>
    <t>symbole bébé</t>
  </si>
  <si>
    <t>🚼</t>
  </si>
  <si>
    <t>1F6BC</t>
  </si>
  <si>
    <t>onglets de signets</t>
  </si>
  <si>
    <t>📑</t>
  </si>
  <si>
    <t>1F4D1</t>
  </si>
  <si>
    <t>ruban</t>
  </si>
  <si>
    <t>🎀</t>
  </si>
  <si>
    <t>1F380</t>
  </si>
  <si>
    <t>bouton pause</t>
  </si>
  <si>
    <t>⏸</t>
  </si>
  <si>
    <t>23F8</t>
  </si>
  <si>
    <t>https://www.youtube.com/watch?v=6YvO8zQjX6Y</t>
  </si>
  <si>
    <t>toilettes</t>
  </si>
  <si>
    <t>🚻</t>
  </si>
  <si>
    <t>1F6BB</t>
  </si>
  <si>
    <t>règle triangulaire</t>
  </si>
  <si>
    <t>📐</t>
  </si>
  <si>
    <t>1F4D0</t>
  </si>
  <si>
    <t>pop-corn</t>
  </si>
  <si>
    <t>🍿</t>
  </si>
  <si>
    <t>1F37F</t>
  </si>
  <si>
    <t>base-ball</t>
  </si>
  <si>
    <t>⚾</t>
  </si>
  <si>
    <t>26BE</t>
  </si>
  <si>
    <t>Comment insérer des émojis avec la formule UNICAR() d’Excel</t>
  </si>
  <si>
    <t>chambre des femmes</t>
  </si>
  <si>
    <t>🚺</t>
  </si>
  <si>
    <t>1F6BA</t>
  </si>
  <si>
    <t>règle droite</t>
  </si>
  <si>
    <t>📏</t>
  </si>
  <si>
    <t>1F4CF</t>
  </si>
  <si>
    <t>bouteille avec bouchon éclatant</t>
  </si>
  <si>
    <t>🍾</t>
  </si>
  <si>
    <t>1F37E</t>
  </si>
  <si>
    <t>ballon de football</t>
  </si>
  <si>
    <t>⚽</t>
  </si>
  <si>
    <t>26BD</t>
  </si>
  <si>
    <t>&lt; images</t>
  </si>
  <si>
    <t>👨‍🍳</t>
  </si>
  <si>
    <t>🚾 ♿️ 🅿️ 🛗 🈳 🈂️ 🛂 🛃 🛄 🛅 🚹 🚺 🚼 ⚧ 🚻 🚮 🎦 📶 🈁 🔣 ℹ️ 🔤 🔡 🔠 🆖 🆗 🆙 🆒 🆕 🆓 0️⃣ 1️⃣ 2️⃣ 3️⃣ 4️⃣ 5️⃣ 6️⃣ 7️⃣ 8️⃣ 9️⃣ 🔟 🔢 #️⃣ *️⃣ ⏏️ ▶️ ⏸ ⏯ ⏹ ⏺ ⏭ ⏮ ⏩ ⏪ ⏫ ⏬ ◀️ 🔼 🔽 ➡️ ⬅️ ⬆️ ⬇️ ↗️ ↘️ ↙️ ↖️ ↕️ ↔️ ↪️ ↩️ ⤴️ ⤵️ 🔀 🔁 🔂 🔄 🔃 🎵 🎶 ➕ ➖ ➗ ✖️ </t>
  </si>
  <si>
    <t>Police &gt; Segoe UI Emoji</t>
  </si>
  <si>
    <t>🍏 🍎 🍐 🍊 🍋 🍌 🍉 🍇 🍓 🫐 🍈 🍒 🍑 🥭 🍍 🥥 🥝 🍅 🍆 🥑 🥦 🥬 🥒 🌶 🫑 🌽 🥕 🫒 🧄 🧅 🥔 🍠 🥐 🥯 🍞 🥖 🥨 🧀 🥚 🍳 🧈 🥞 🧇 🥓 🥩 🍗 🍖 🦴 🌭 🍔 🍟 🍕 🫓 🥪 🥙 🧆 🌮 🌯 🫔 🥗 🥘 🫕 🥫 🍝 🍜 🍲 🍛 🍣 🍱 🥟 🦪 🍤 🍙 🍚 🍘 🍥 🥠 🥮 🍢 🍡 🍧 🍨 🍦 🥧 🧁 🍰 🎂 🍮 🍭 🍬 🍫 🍿 🍩 🍪 🌰 🥜 🍯 🥛 🍼 🫖 ☕️ 🍵 🧃 🥤 🧋 🍶 🍺 🍻 🥂 🍷 🥃 🍸 🍹 🧉 🍾 🧊 🥄 🍴 🍽 🥣 🥡 🥢 🧂</t>
  </si>
  <si>
    <t>https://emojipedia.org/food-drink/</t>
  </si>
  <si>
    <t>https://emojipedia.org/</t>
  </si>
  <si>
    <t>https://www.caracteres-speciaux.org/</t>
  </si>
  <si>
    <t>https://wprock.fr/t/emoji/</t>
  </si>
  <si>
    <t>http://www.get-emoji.com/</t>
  </si>
  <si>
    <t>https://emojiguide.org/fr/</t>
  </si>
  <si>
    <t>https://www.emojiall.com/fr/all-emojis</t>
  </si>
  <si>
    <t>https://emojiterra.com/fr/liste-fr/</t>
  </si>
  <si>
    <t>https://www.facebook.com/GetEmoji/</t>
  </si>
  <si>
    <t>https://fr.emojiguide.com/nourriture-boissons/</t>
  </si>
  <si>
    <t>https://emojis.wiki/fr/</t>
  </si>
  <si>
    <t>Copiez/Collez des émoticones dans vos documents</t>
  </si>
  <si>
    <t>https://www.clubic.com/telecharger-fiche189780-greenshot.html</t>
  </si>
  <si>
    <t>&lt; = imprim écran avec Greenshot</t>
  </si>
  <si>
    <t>Format pesonnalisé coller : +[bleu]Standard;-[rouge]Standard;"" ;Standard</t>
  </si>
  <si>
    <t>Vous pouvez donc régler : pour 50 mm =&gt; 25,29 ; pour 30 mm =&gt; 15,14 ; pour 10 mm =&gt; 5.</t>
  </si>
  <si>
    <t>La largeur de colonne est mesurée en caractères standards. Valeur d'exemple par défaut, de 10,71 correspondant à 60 points.</t>
  </si>
  <si>
    <t>Pour une hauteur de 15 mm,vous pouvez donc régler sur 42,5.</t>
  </si>
  <si>
    <t>collez les cellules vertes dans votre tableau</t>
  </si>
  <si>
    <t>autre solution</t>
  </si>
  <si>
    <t>Lignes</t>
  </si>
  <si>
    <t>1;4=mercredi</t>
  </si>
  <si>
    <t>1;7=dimanche</t>
  </si>
  <si>
    <t>1;3=jeudi</t>
  </si>
  <si>
    <t>1;6=lundi</t>
  </si>
  <si>
    <t>1;2= vendredi</t>
  </si>
  <si>
    <t>1;5=mardi</t>
  </si>
  <si>
    <t>1;1=samedi</t>
  </si>
  <si>
    <t>afficher ler dernier vendredi du mois, pour une date saisie dans une autre cellule</t>
  </si>
  <si>
    <t>Format de cellule &gt; Personnalisée &gt; Semaine N °0</t>
  </si>
  <si>
    <t>N° de semaine - collez les cellules vertes dans votre tableau</t>
  </si>
  <si>
    <t>Format de cellule &gt; Nombre &gt; Date</t>
  </si>
  <si>
    <t>Format de cellule &gt; Nombre &gt; Heure</t>
  </si>
  <si>
    <t>jjjj mm mmm aaaa - hh"H"mm</t>
  </si>
  <si>
    <t>Format de cellule &gt;</t>
  </si>
  <si>
    <t>Dates - heures</t>
  </si>
  <si>
    <t>Collez l'ensemble de ces cellules dans votre document et ajoutez des lignes. N'oubliez pas de figer par  votre plage</t>
  </si>
  <si>
    <t>Ligne</t>
  </si>
  <si>
    <t>si par exemple la série de nombre en colonne C</t>
  </si>
  <si>
    <t>mais vous pouvez aussi y associer les fonctions REPT et CAR afin de donner un aspect visuel au résultat</t>
  </si>
  <si>
    <t>la fonction Rang permet de déterminer la position d'un nombre dans une liste d'arguments</t>
  </si>
  <si>
    <t>indiquer de façon visuelle le rang d'un nombre dans une série</t>
  </si>
  <si>
    <t>remplacer 1 par 0 pour avoir un ordre croissant</t>
  </si>
  <si>
    <t>afficher le classement de toutes les cellules de la plage</t>
  </si>
  <si>
    <t xml:space="preserve">Copiez les 4 cellules encadrées puis collage dans votre feuille. Changez Nom et prénon dans la cellule fond noir </t>
  </si>
  <si>
    <t xml:space="preserve">legendre paul </t>
  </si>
  <si>
    <t>il ne doit y avoir qu'un espace dans la chaine de caractères pour que cela fonctionne</t>
  </si>
  <si>
    <t>Inverser la position du nom et du prénom</t>
  </si>
  <si>
    <t>Copiez la cellule jaune puis collez la dans votre cellule ne changez pas le N° de cellule</t>
  </si>
  <si>
    <t>pour marquer vos documents</t>
  </si>
  <si>
    <t>Copiez la cellule jaune puis collage spécial Valeurs 1 2 3 dans votre cellule et conservez "A1"</t>
  </si>
  <si>
    <t>Si vous souhaitez retirer les crochets:</t>
  </si>
  <si>
    <t>Si vous avez besoin de retirer les crochets vous pouvez utiliser la fonction SUBSTITUE():</t>
  </si>
  <si>
    <t>Copiez la cellule verte puis collez la directement dans votre document</t>
  </si>
  <si>
    <r>
      <t>[</t>
    </r>
    <r>
      <rPr>
        <sz val="16"/>
        <color theme="1"/>
        <rFont val="Calibri"/>
        <family val="2"/>
        <scheme val="minor"/>
      </rPr>
      <t>ff-97-formats-formules-pourcentages.xlsx]sites";"";"ff-97-formats-formules-pourcentages COPIE"</t>
    </r>
  </si>
  <si>
    <t xml:space="preserve">pour marquer vos copies remplacez dans la formule les références en vert par les votres </t>
  </si>
  <si>
    <t>Copiez la cellule jaune puis collez la directement dans votre document</t>
  </si>
  <si>
    <t xml:space="preserve">pour s'assurer que le fichier est bien l'original, utiliser cette formule qui récupère le nom complet du fichier.  </t>
  </si>
  <si>
    <t>Copiez la cellule jaune puis collage spécial Valeurs 1 2 3 dans votre cellule et modifiez le N°de cellule</t>
  </si>
  <si>
    <t>FORMULETEXTE(B2)</t>
  </si>
  <si>
    <t>Afficher les formules avec une fonction</t>
  </si>
  <si>
    <t>Pour avoir le nom du répertoire et du fichier:</t>
  </si>
  <si>
    <t>Pour avoir le nom du répertoire:</t>
  </si>
  <si>
    <t>Pour avoir le nom de l'onglet et du fichier</t>
  </si>
  <si>
    <t>Pour avoir le nom du fichier</t>
  </si>
  <si>
    <t>Pour avoir le nom de l'onglet</t>
  </si>
  <si>
    <t xml:space="preserve">Récupérer le nom du dossier (sans le chemin complet) </t>
  </si>
  <si>
    <t>http://www.mdf-xlpages.com/modules/publisher/item.php?itemid=91</t>
  </si>
  <si>
    <t>Adresses</t>
  </si>
  <si>
    <t>ce qui vous permettra de modifier en toute sécurité  - sans ce signe = Excel considère que c'est du texte</t>
  </si>
  <si>
    <t>pour copier ou modifier une formule supprimez le signe = puis ajoutez le lorsque vous aurez terminé</t>
  </si>
  <si>
    <t>Pour récupérer des formules : 2 choix OU vous collez les 2 ou 3  lignes correspondantes dans votre feuille . OU vous cliquez dans la cellule de couleur , Copiez ...puis dans votre feuille : Collage spécial 1.2.3.Valeurs supprimez =  Modifiez les Numéros de cellules dans la barre de formule PUIS CLIQUEZ A LA FIN DE LA FORMULE AVANT d'ajouter de nouveau = (ce qui modifie votre valeur en fonction)  OU ajouter tout de suite = puis modifier les N° de cellules</t>
  </si>
  <si>
    <t>Fonction</t>
  </si>
  <si>
    <t>Adresse classeur &gt;</t>
  </si>
  <si>
    <t>à copier</t>
  </si>
  <si>
    <t>Page &amp;FEUILLE()&amp;" sur "&amp;FEUILLES()</t>
  </si>
  <si>
    <t>Adresse colonne</t>
  </si>
  <si>
    <t>largeur colonne</t>
  </si>
  <si>
    <t>N° de ligne</t>
  </si>
  <si>
    <t>Adresse de cellule</t>
  </si>
  <si>
    <t>N° de colonne</t>
  </si>
  <si>
    <t>des fonctions</t>
  </si>
  <si>
    <t>pour vous aider dans la conception de vos documents</t>
  </si>
  <si>
    <t xml:space="preserve">Quelques format - formules et fonctions </t>
  </si>
  <si>
    <t>Fin</t>
  </si>
  <si>
    <t>Excel - fonctions date/heure</t>
  </si>
  <si>
    <t>https://www.youtube.com/watch?v=yk_ypXvUaHo</t>
  </si>
  <si>
    <t>https://support.office.com/fr-fr/article/combiner-le-texte-de-deux-cellules-ou-plus-en-une-cellule-81ba0946-ce78-42ed-b3c3-21340eb164a6</t>
  </si>
  <si>
    <t>Les 20 meilleurs Tricks Mathématiques</t>
  </si>
  <si>
    <t>Alternatives à Microsoft Excel : 5 programmes gratuits et convaincants</t>
  </si>
  <si>
    <t>Forum Bureautique</t>
  </si>
  <si>
    <t>https://www.youtube.com/watch?v=li4XNespLxg</t>
  </si>
  <si>
    <t>https://www.youtube.com/watch?v=YfGrccEQGKk</t>
  </si>
  <si>
    <t>liens &gt;</t>
  </si>
  <si>
    <t xml:space="preserve">prof couillon - </t>
  </si>
  <si>
    <t>https://www.youtube.com/channel/UCK4qfUuh9kpBByJFIMBPTtA/playlists</t>
  </si>
  <si>
    <t>Fonction SOMME.SI.ENS</t>
  </si>
  <si>
    <t>https://www.excel-exercice.com/somme-si-ens/</t>
  </si>
  <si>
    <t xml:space="preserve">Tuto De Rien - </t>
  </si>
  <si>
    <t>https://www.youtube.com/c/TutoDeRien/playlists</t>
  </si>
  <si>
    <t xml:space="preserve">Aide &amp; apprentissage d'Excel - </t>
  </si>
  <si>
    <t>https://support.microsoft.com/fr-fr/excel</t>
  </si>
  <si>
    <t xml:space="preserve">Kévin Brundu - </t>
  </si>
  <si>
    <t>https://www.youtube.com/c/K%C3%A9vinBrundu/videos</t>
  </si>
  <si>
    <t xml:space="preserve">Formation informatique avec Cedric - </t>
  </si>
  <si>
    <t>https://www.youtube.com/watch?v=e2kzRDcW5iI</t>
  </si>
  <si>
    <t>https://www.youtube.com/user/ExcelExercice/videos</t>
  </si>
  <si>
    <t xml:space="preserve">Frédéric LE GUEN -  </t>
  </si>
  <si>
    <t xml:space="preserve">https://www.excel-exercice.com/ </t>
  </si>
  <si>
    <t>http://excel.engalere.com/tags/</t>
  </si>
  <si>
    <t>Excel questions / Réponses</t>
  </si>
  <si>
    <t>https://www.excel-pratique.com/fr/fonctions-complementaires.php</t>
  </si>
  <si>
    <t>Fonctions complémentaires XLP</t>
  </si>
  <si>
    <t>Quelques sites Excel pour vous aider à créer vos documents</t>
  </si>
  <si>
    <t>https://www.youtube.com/channel/UCmkKGwRm5LYN6zpgTVvNpdA/videos</t>
  </si>
  <si>
    <t>5) Inséser la formule suivante dans l'environnement "Appliquer une mise en forme aux valeurs pour lesquellles cette formule est vraie :"</t>
  </si>
  <si>
    <t>4) puis choisissez Utiliser une formule pour déterminer pour quelles cellules le format sera appliqué</t>
  </si>
  <si>
    <t>3) sur Nouvelle Règle</t>
  </si>
  <si>
    <t xml:space="preserve">2) Gérer les règles </t>
  </si>
  <si>
    <t>1) Mise en forme conditionnelle</t>
  </si>
  <si>
    <t>https://www.excel-exercice.com/nouveaute/</t>
  </si>
  <si>
    <t>Dans un premier temps sélectionnez les lignes, ou une plage de cellules que vous souhaitez coloriser une ligne sur deux puis cliquez sur :</t>
  </si>
  <si>
    <t>https://www.youtube.com/c/ExcelFormation/videos</t>
  </si>
  <si>
    <t>Excel Formation &gt;</t>
  </si>
  <si>
    <t>https://www.youtube.com/watch?v=Xvb1pAnQrts</t>
  </si>
  <si>
    <t>Comment surligner la ligne de la cellule sélectionnée</t>
  </si>
  <si>
    <t>https://forum.excel-pratique.com/excel/colorisation-autorisation-saisie-sur-cellule-121141#p739320</t>
  </si>
  <si>
    <t>Colorisation &amp; autorisation saisie sur cellule</t>
  </si>
  <si>
    <t>https://www.youtube.com/watch?v=OQJzipM0rgU</t>
  </si>
  <si>
    <t>COMMENT SURLIGNER LA LIGNE DE LA CELLULE SÉLECTIONNÉE SUR EXCEL - TECHNIQUE AVANCÉE</t>
  </si>
  <si>
    <t>Bureautique Efficace &gt;</t>
  </si>
  <si>
    <t>https://www.youtube.com/watch?v=ZEL3mVdUCcg</t>
  </si>
  <si>
    <t>Colorer des lignes de façon conditionnelle dans un tableau Excel</t>
  </si>
  <si>
    <t>https://www.youtube.com/c/lecompagnoninfo/videos</t>
  </si>
  <si>
    <t>Lecompagnon &gt;</t>
  </si>
  <si>
    <t>https://www.youtube.com/watch?v=Cxs3l7_EI4I</t>
  </si>
  <si>
    <t>Excel - Mise en forme conditionnelle selon le contenu d'une autre cellule</t>
  </si>
  <si>
    <t>https://www.youtube.com/watch?v=PbUvODhmdxI</t>
  </si>
  <si>
    <t>Excel | Mise En Forme Conditionnelle sur toute une ligne</t>
  </si>
  <si>
    <t>https://www.excel-exercice.com/colorier-une-ligne-entiere/</t>
  </si>
  <si>
    <t>Colorier une ligne entière avec formule</t>
  </si>
  <si>
    <t>https://www.youtube.com/watch?v=xFOMtm4wRtE</t>
  </si>
  <si>
    <t>Mise en forme conditionnelle simple</t>
  </si>
  <si>
    <t>Vous pouvez même coloriser vos ligne et vos colonnes en appliquant les deux formules précédentes sur un ensemble de plage de cellules.</t>
  </si>
  <si>
    <t>Insérez la formule suivante =&gt; =EST.PAIR(COLONNE())</t>
  </si>
  <si>
    <t>Procédez de la même manière que précédemment mais en sélectionnant les colonnes ou une plage de cellules.</t>
  </si>
  <si>
    <t>----------------    COLORIER UNE COLONNE SUR DEUX    ----------------</t>
  </si>
  <si>
    <t>https://www.cours-gratuit.com/tutoriel-excel/tutoriel-excel-comment-compter-et-additionner-les-cellules-par-couleur</t>
  </si>
  <si>
    <t>Tutoriel Excel : compter et additionner les cellules par couleur ?</t>
  </si>
  <si>
    <t>https://fr.extendoffice.com/documents/excel/1155-excel-count-sum-cells-by-color.html</t>
  </si>
  <si>
    <t>Comment Compter Et Additionner Les Cellules En Fonction De La Couleur D'arrière-Plan Dans Excel?</t>
  </si>
  <si>
    <t>https://www.youtube.com/watch?v=7amIEwzFoF0</t>
  </si>
  <si>
    <t>Somme Si Couleur</t>
  </si>
  <si>
    <t>https://www.youtube.com/channel/UCoTqCeSunCB3-puwIicURbw</t>
  </si>
  <si>
    <t>Excelpourlesbulles &gt;</t>
  </si>
  <si>
    <t>https://www.youtube.com/watch?v=21oGa9Q92s4</t>
  </si>
  <si>
    <t>Mettre en couleur toute une ligne dés qu'une cellule de cette ligne est remplie (excel)</t>
  </si>
  <si>
    <t>https://cellulexcel.blogspot.com/p/somme.html</t>
  </si>
  <si>
    <t>la SOMME d'une plage de cellules en fonction de leur couleur de fond.</t>
  </si>
  <si>
    <t>https://www.youtube.com/watch?v=_JzUgEGWuk0</t>
  </si>
  <si>
    <t>Excel - Comment générer des QR Codes dans Excel ?</t>
  </si>
  <si>
    <t>https://mccascabel.fr/carnet-de-recettes-personnalise/</t>
  </si>
  <si>
    <t>CRÉER SON CARNET DE RECETTES PERSONNALISÉ : PAPIER OU DIGITAL ?</t>
  </si>
  <si>
    <t>https://cellulexcel.blogspot.com/p/blog-page_22.html</t>
  </si>
  <si>
    <t>gérer, consulter, modifier vos propres recettes de cuisine par l’intermédiaire d'Excel</t>
  </si>
  <si>
    <t>https://www.youtube.com/watch?v=KK9rJpuHmZA</t>
  </si>
  <si>
    <t>Mes recettes de cuisine sur Excel</t>
  </si>
  <si>
    <t>https://www.youtube.com/watch?v=_uhXSrAkHXc</t>
  </si>
  <si>
    <t>COMMENT CRÉER UNE LISTE DE COURSE AUTOMATIQUE AVEC UN TABLEAU CROISÉ DYNAMIQUE SUR EXCEL</t>
  </si>
  <si>
    <t>https://www.youtube.com/watch?v=jjhrpq-f-74&amp;t=102s</t>
  </si>
  <si>
    <t>Comment créer un mini comparateur de prix (récupérer les prix automatiquement ) sur Excel</t>
  </si>
  <si>
    <t>Categorie : Nouveautés</t>
  </si>
  <si>
    <t>https://www.excel-exercice.com/add-in/</t>
  </si>
  <si>
    <t>Categorie : Les Add-Ins</t>
  </si>
  <si>
    <t>https://www.excel-exercice.com/manipulation/</t>
  </si>
  <si>
    <t>Categorie : Manipulation</t>
  </si>
  <si>
    <t>https://www.youtube.com/watch?v=wXenlFqrWWY</t>
  </si>
  <si>
    <t>COMMENT TRADUIRE UN TEXTE DANS TOUTES LES LANGUES EN UTILISANT UNE FONCTION EXCEL</t>
  </si>
  <si>
    <t>https://www.youtube.com/watch?v=eML_TISUYpw&amp;t=31s</t>
  </si>
  <si>
    <t>6 ASTUCES POUR IMPRIMER DES TABLEAUX EXCEL QUI DECHIRENT</t>
  </si>
  <si>
    <t>https://www.youtube.com/watch?v=ign5pz_-R_I</t>
  </si>
  <si>
    <t>Comment afficher plusieurs feuilles d'un même classeur en même temps sur Excel</t>
  </si>
  <si>
    <t>https://www.excel-exercice.com/creer-la-table-des-matieres-dun-classeur/</t>
  </si>
  <si>
    <t>Créer la table des matières d’un classeur</t>
  </si>
  <si>
    <t>https://www.youtube.com/watch?v=S_rTf5wWhr8</t>
  </si>
  <si>
    <t>Comment créer un moteur de recherche… avec deux formules et sans VBA sur Excel</t>
  </si>
  <si>
    <t>https://www.youtube.com/watch?v=XB7PbjxQgiQ</t>
  </si>
  <si>
    <t>COMMENT CLASSER SIMPLEMENT DES DONNÉES AVEC LA FONCTION RANG (AVEC OU SANS EX ÆQUO) EXCEL ?</t>
  </si>
  <si>
    <t>https://www.youtube.com/watch?v=ljG0dl6aZOk</t>
  </si>
  <si>
    <t>COMMENT COMPTER LE NOMBRE DE FEUILLES, DE LIGNES OU DE COLONNES EXCEL ?</t>
  </si>
  <si>
    <t>https://www.youtube.com/watch?v=OZoAZHIP-kk&amp;t=630s</t>
  </si>
  <si>
    <t>LES 3 MÉTHODES POUR TRANSFORMER DES LIGNES EN COLONNES SUR EXCEL : AVANTAGES ET INCONVÉNIENTS</t>
  </si>
  <si>
    <t>https://www.youtube.com/watch?v=zFR8-vdbebo</t>
  </si>
  <si>
    <t>Comment synthétiser les informations sur Excel : le mode plan</t>
  </si>
  <si>
    <t xml:space="preserve">copier une feuille de calcul du classeur actuel </t>
  </si>
  <si>
    <t>Déplacer ou copier des feuilles de calcul ou des données de feuille de calcul</t>
  </si>
  <si>
    <t>FENÊTRE EXCEL</t>
  </si>
  <si>
    <t>Formation Excel 2016 Faire un tableau</t>
  </si>
  <si>
    <t>https://www.excel-exercice.com/bordures/</t>
  </si>
  <si>
    <t>Tracer facilement les bordures</t>
  </si>
  <si>
    <t>https://www.youtube.com/watch?v=xyjZP4GMmSc</t>
  </si>
  <si>
    <t>Comment devenir plus productif grâce aux raccourcis clavier Excel</t>
  </si>
  <si>
    <t>https://www.youtube.com/watch?v=t9BfPsVC5hk</t>
  </si>
  <si>
    <t>COMMENT CONVERTIR DES UNITÉS DE MESURE SUR EXCEL ? AVEC LA FONCTION CONVERT()</t>
  </si>
  <si>
    <t>Fonction INDIRECT - Exemples d'application</t>
  </si>
  <si>
    <t>Faire des SI imbriqués dans Excel avec si.condition</t>
  </si>
  <si>
    <t>Excel SI-ALORS: comment fonctionne la formule SI ?</t>
  </si>
  <si>
    <t>https://www.youtube.com/watch?v=EbpC3cs2aTA</t>
  </si>
  <si>
    <t>Les formules logiques ET(), OU() et OUX() d’Excel pour combiner des tests</t>
  </si>
  <si>
    <t>https://www.youtube.com/watch?v=ycuXhxLIeY8</t>
  </si>
  <si>
    <t>Comment arrondir un nombre sur Excel (mise en forme ou formule : la bonne méthode)</t>
  </si>
  <si>
    <t>https://www.youtube.com/watch?v=UnkKrv53fiA</t>
  </si>
  <si>
    <t>Comment utiliser la formule MOD() pour calculer le reste d'une division euclidienne sur Excel</t>
  </si>
  <si>
    <t>Trouver les liens externes d’un classeur</t>
  </si>
  <si>
    <t>https://www.excel-exercice.com/analyser-vos-formules-avec-f9/</t>
  </si>
  <si>
    <t>Analyser vos formules avec F9</t>
  </si>
  <si>
    <t xml:space="preserve"> Exemple : Total général ..................................   150,00 €</t>
  </si>
  <si>
    <t xml:space="preserve"> AJOUTER DE POINTS FIN DE MOT OU DE PHRASE POUR PLUS DE LISIBILITE    ----------------</t>
  </si>
  <si>
    <t>* Ensuite cliquez sur le bouton Format pour définir la mise en forme (Ex. Couleur de fond cliquez sur Remplissage)</t>
  </si>
  <si>
    <t>* Insérez la formule suivante =NB.SI(A:A;A1)&gt;1</t>
  </si>
  <si>
    <t>* Cliquez sur Utiliser une formule pour déterminer pour quelles cellules le format sera appliqué.</t>
  </si>
  <si>
    <t>* Cliquez sur Nouvelle Règle</t>
  </si>
  <si>
    <t>* Dans l'onglet Accueil sélectionnez Mise en forme conditionnelle</t>
  </si>
  <si>
    <t>* Sélectionnez la colonne A dans son intégralité.</t>
  </si>
  <si>
    <t xml:space="preserve">Exemple pour la colonne A </t>
  </si>
  <si>
    <t xml:space="preserve"> REPÉRER LES DOUBLONS DANS UNE COLONNE    ----------------</t>
  </si>
  <si>
    <t xml:space="preserve"> </t>
  </si>
  <si>
    <t xml:space="preserve">* Formule finalisée =&gt;  =A1+A2+N("Somme de la cellule A1 et A2") </t>
  </si>
  <si>
    <t>* Pour mémoriser une annotation ajouter +N("Votre annotation"). La fonction N transforme en zéro tout le texte placé en annotation et celle-ci reste visible</t>
  </si>
  <si>
    <t xml:space="preserve">* Taper la formule =A1+A2  </t>
  </si>
  <si>
    <t>Exemple en cellule C3</t>
  </si>
  <si>
    <t>COMMENT TAPER UNE ANNOTATION DANS UNE FORMULE    ----------------</t>
  </si>
  <si>
    <t>Taper un zéro, un espace et la fraction =&gt;  0 1/2</t>
  </si>
  <si>
    <t>COMMENT TAPER UNE FRACTION sans qu'Excel l'interpètre comme une date    ----------------</t>
  </si>
  <si>
    <t>Https://cellulexcel.blogspot.com/p/excel-trucs-astuces.html</t>
  </si>
  <si>
    <t>Dans la zone Nom de la macro, cliquez sur la macro à modifier. Cliquez sur Modifier.</t>
  </si>
  <si>
    <t xml:space="preserve">Sous l'onglet Développeur, dans le groupe Code, cliquez sur Macros. </t>
  </si>
  <si>
    <t>Comment compléter une macro Excel ?</t>
  </si>
  <si>
    <t>L'onglet Développeur est ajouté au ruban et vous permet d'accéder rapidement aux outils pour gérer vos macros et votre code Visual Basic.</t>
  </si>
  <si>
    <t xml:space="preserve">Cochez la case Développeur dans la liste Onglets principaux. Validez par OK. </t>
  </si>
  <si>
    <t xml:space="preserve">Cliquez avec le bouton droit de la souris sur le ruban et cliquez sur Personnaliser le ruban. </t>
  </si>
  <si>
    <t>Comment afficher code macro Excel ?</t>
  </si>
  <si>
    <t>1. Cliquez avec le bouton droit de la souris sur le ruban et cliquez sur Personnaliser le ruban.</t>
  </si>
  <si>
    <t xml:space="preserve"> Affichez l'onglet Développeur dans le ruban afin d'accéder rapidement aux outils pour gérer vos macros et votre code Visual Basic.</t>
  </si>
  <si>
    <t>Vous avez besoin de travailler avec des macros dans Excel ?</t>
  </si>
  <si>
    <t>https://www.pcastuces.com/pratique/astuces/5664.htm</t>
  </si>
  <si>
    <t>Afficher les outils pour les macros - Excel</t>
  </si>
  <si>
    <t>https://www.youtube.com/watch?v=um737ZwwwoU</t>
  </si>
  <si>
    <t>MACRO: SÉLECTIONNER TOUTE LA LIGNE ET LA COLONNE ACTIVE DANS UN TABLEAU EN VBA - DOCTEUR EXCEL</t>
  </si>
  <si>
    <t>https://support.microsoft.com/fr-fr/office/enregistrer-une-macro-24a026ef-3145-4bf8-a5f2-2fc7889ff74a</t>
  </si>
  <si>
    <t>Enregistrer une macro</t>
  </si>
  <si>
    <t>https://support.microsoft.com/fr-fr/office/modifier-une-macro-ed9e8c3d-58fd-47a1-83eb-bdee680376bb</t>
  </si>
  <si>
    <t>Modifier une macro</t>
  </si>
  <si>
    <t xml:space="preserve"> Avec le fichier ouvert là-bas, allez à Déposez le &gt; Télécharger pour le télécharger sous forme de fichier XLSX, ODS, PDF, HTML, CSV ou TSV.</t>
  </si>
  <si>
    <t>Vous pouvez même utiliser Google Sheets pour convertir un fichier XLSM dans un format différent.</t>
  </si>
  <si>
    <t>Comment convertir un fichier XLSM en xlsx ?</t>
  </si>
  <si>
    <t>3. Cliquez sur Enregistrer.</t>
  </si>
  <si>
    <t>sélectionnez Classeur Excel prenant en charge les macros (*. xlsm).</t>
  </si>
  <si>
    <t xml:space="preserve">2. Dans la boîte de dialogue Enregistrer sous, dans la zone de liste Enregistrer en tant que type, </t>
  </si>
  <si>
    <t>1. cliquer sur Non.</t>
  </si>
  <si>
    <t>Pour enregistrer sous forme de classeur prenant en charge les macros :</t>
  </si>
  <si>
    <t>Comment créer un fichier XLSM ?</t>
  </si>
  <si>
    <t>Une macro est une fonctionnalité utile qui fonctionne comme un script, ce qui permet aux utilisateurs d'automatiser des tâches répétitives.</t>
  </si>
  <si>
    <t xml:space="preserve">Les fichiers XLSM sont des fichiers . XLSX , mais avec les macros activées. </t>
  </si>
  <si>
    <r>
      <t>Les fichiers </t>
    </r>
    <r>
      <rPr>
        <b/>
        <sz val="12"/>
        <color rgb="FF202124"/>
        <rFont val="Calibri"/>
        <family val="2"/>
        <scheme val="minor"/>
      </rPr>
      <t>XLSM</t>
    </r>
    <r>
      <rPr>
        <sz val="12"/>
        <color rgb="FF202124"/>
        <rFont val="Calibri"/>
        <family val="2"/>
        <scheme val="minor"/>
      </rPr>
      <t xml:space="preserve"> sont enregistrés au format Open XML introduit dans Microsoft Office 2007. </t>
    </r>
  </si>
  <si>
    <t>https://commentouvrir.com/extension/xlsm</t>
  </si>
  <si>
    <t>https://www.excel-exercice.com/fichier-xls-ou-xlsx/</t>
  </si>
  <si>
    <t>Fichier XLS ou XLSX ?</t>
  </si>
  <si>
    <t>https://www.excelformation.fr/formats-fichiers-excel.html</t>
  </si>
  <si>
    <t xml:space="preserve"> Excel principaux formats, actuels, ou obsolètes que nous allons pouvoir être amené à utiliser.</t>
  </si>
  <si>
    <t>Ciquez sur les liens dans la colonne C</t>
  </si>
  <si>
    <t>Il arrive que vous ayez 2 tutos pour la même fonction, c'est voliontaire parce que le plus important c'est de cliquer sur le nom de l'auteur sous la vidéo pour découvrir sa liste</t>
  </si>
  <si>
    <t>TUTOS YOUTUBE</t>
  </si>
  <si>
    <t>11 &amp; 25, 5 &amp; 32, 14 &amp; 31, 8 et 28, 9 &amp; 30, 13 &amp; 29, 18 &amp; 54, 20 &amp; 34, 7 &amp; 26, et 6 et 27.</t>
  </si>
  <si>
    <t>Les paires de couleurs suivantes sont de la même couleur </t>
  </si>
  <si>
    <t>Parmi les 56 couleurs seulement 40 couleurs apparaissent sur la palette.Les 40 noms de couleurs indiquées sur la palette de couleurs Excel sont à des fins descriptives seulement.</t>
  </si>
  <si>
    <t>Excel reconnaît uniquement les noms de couleur de 1 à 8 (Noir, Blanc, Rouge, Vert, Bleu, Jaune, Magenta et Cyan). Les couleurs 1-16 sont largement compris les noms de couleur dans la palette de couleur VGA. </t>
  </si>
  <si>
    <t>[Couleur 56]</t>
  </si>
  <si>
    <t># 333333</t>
  </si>
  <si>
    <t>[Couleur 55]</t>
  </si>
  <si>
    <t># 333399</t>
  </si>
  <si>
    <t>[Couleur 54]</t>
  </si>
  <si>
    <t># 993366</t>
  </si>
  <si>
    <t>[Couleur 53]</t>
  </si>
  <si>
    <t># 993300</t>
  </si>
  <si>
    <t>[Couleur 52]</t>
  </si>
  <si>
    <t># 333300</t>
  </si>
  <si>
    <t>[Couleur 51]</t>
  </si>
  <si>
    <t># 003300</t>
  </si>
  <si>
    <t>[Couleur 50]</t>
  </si>
  <si>
    <t># 339966</t>
  </si>
  <si>
    <t>[Couleur 49]</t>
  </si>
  <si>
    <t># 003366</t>
  </si>
  <si>
    <t>[Couleur 48]</t>
  </si>
  <si>
    <t># 969696</t>
  </si>
  <si>
    <t>[Couleur 47]</t>
  </si>
  <si>
    <t># 666699</t>
  </si>
  <si>
    <t>[Couleur 46]</t>
  </si>
  <si>
    <t># FF6600</t>
  </si>
  <si>
    <t>[Couleur 45]</t>
  </si>
  <si>
    <t># FF9900</t>
  </si>
  <si>
    <t>[Couleur 44]</t>
  </si>
  <si>
    <t># FFCC00</t>
  </si>
  <si>
    <t>[Couleur 43]</t>
  </si>
  <si>
    <t># 99CC00</t>
  </si>
  <si>
    <t>[Couleur 42]</t>
  </si>
  <si>
    <t># 33CCCC</t>
  </si>
  <si>
    <t>[Couleur 41]</t>
  </si>
  <si>
    <t># 3366FF</t>
  </si>
  <si>
    <t>[Couleur 40]</t>
  </si>
  <si>
    <t># FFCC99</t>
  </si>
  <si>
    <t>[Couleur 39]</t>
  </si>
  <si>
    <t># CC99FF</t>
  </si>
  <si>
    <t>[Couleur 38]</t>
  </si>
  <si>
    <t># FF99CC</t>
  </si>
  <si>
    <t>[Couleur 37]</t>
  </si>
  <si>
    <t># 99CCFF</t>
  </si>
  <si>
    <t>[Couleur 36]</t>
  </si>
  <si>
    <t># FFFF99</t>
  </si>
  <si>
    <t>[Couleur 35]</t>
  </si>
  <si>
    <t># CCFFCC</t>
  </si>
  <si>
    <t>[Couleur 34]</t>
  </si>
  <si>
    <t># CCFFFF</t>
  </si>
  <si>
    <t>[Couleur 33]</t>
  </si>
  <si>
    <t># 00CCFF</t>
  </si>
  <si>
    <t>[Couleur 32]</t>
  </si>
  <si>
    <t># 0000FF</t>
  </si>
  <si>
    <t>[Couleur 31]</t>
  </si>
  <si>
    <t># 008080</t>
  </si>
  <si>
    <t>[Couleur 30]</t>
  </si>
  <si>
    <t># 800000</t>
  </si>
  <si>
    <t>[Couleur 29]</t>
  </si>
  <si>
    <t># 800080</t>
  </si>
  <si>
    <t>[Couleur 28]</t>
  </si>
  <si>
    <t># 00FFFF</t>
  </si>
  <si>
    <t>[Couleur 27]</t>
  </si>
  <si>
    <t># FFFF00</t>
  </si>
  <si>
    <t>[Couleur 26]</t>
  </si>
  <si>
    <t># FF00FF</t>
  </si>
  <si>
    <t>[Couleur 25]</t>
  </si>
  <si>
    <t># 000080</t>
  </si>
  <si>
    <t>[Couleur 24]</t>
  </si>
  <si>
    <t># CCCCFF</t>
  </si>
  <si>
    <t>[Couleur 23]</t>
  </si>
  <si>
    <t># 0066CC</t>
  </si>
  <si>
    <t>[Couleur 22]</t>
  </si>
  <si>
    <t># FF8080</t>
  </si>
  <si>
    <t>[Couleur 21]</t>
  </si>
  <si>
    <t># 660066</t>
  </si>
  <si>
    <t>[Couleur 20]</t>
  </si>
  <si>
    <t>[Couleur 18]</t>
  </si>
  <si>
    <t>[Couleur 17]</t>
  </si>
  <si>
    <t># 9999FF</t>
  </si>
  <si>
    <t>[Couleur 16]</t>
  </si>
  <si>
    <t># 808080</t>
  </si>
  <si>
    <t>[Couleur 15]</t>
  </si>
  <si>
    <t># C0C0C0</t>
  </si>
  <si>
    <t>[Couleur 14]</t>
  </si>
  <si>
    <t>[Couleur 13]</t>
  </si>
  <si>
    <t>[Couleur 12]</t>
  </si>
  <si>
    <t># 808000</t>
  </si>
  <si>
    <t>[Couleur 11]</t>
  </si>
  <si>
    <t>R204-V153 B255</t>
  </si>
  <si>
    <t>[Couleur 10]</t>
  </si>
  <si>
    <t># 008000</t>
  </si>
  <si>
    <t>R0-V102 B204</t>
  </si>
  <si>
    <t>[Couleur 9]</t>
  </si>
  <si>
    <t>R153-V204 B255</t>
  </si>
  <si>
    <t>[Cyan]</t>
  </si>
  <si>
    <t>[Couleur 8]</t>
  </si>
  <si>
    <t>Cyan</t>
  </si>
  <si>
    <t>R0-V0 B255</t>
  </si>
  <si>
    <t>[Magenta]</t>
  </si>
  <si>
    <t>[Couleur 7]</t>
  </si>
  <si>
    <t>Magenta</t>
  </si>
  <si>
    <t>R0-V255 B0</t>
  </si>
  <si>
    <t>[Jaune]</t>
  </si>
  <si>
    <t>[Couleur 6]</t>
  </si>
  <si>
    <t>Jaune</t>
  </si>
  <si>
    <t>R153-V51 B0</t>
  </si>
  <si>
    <t>[Bleu]</t>
  </si>
  <si>
    <t>[Couleur 5]</t>
  </si>
  <si>
    <t>Bleu</t>
  </si>
  <si>
    <t>R153-V204 B0</t>
  </si>
  <si>
    <t>[Vert]</t>
  </si>
  <si>
    <t># 00FF00</t>
  </si>
  <si>
    <t>[Couleur 4]</t>
  </si>
  <si>
    <t>Vert</t>
  </si>
  <si>
    <t>R0-V128 B0</t>
  </si>
  <si>
    <t>[Rouge]</t>
  </si>
  <si>
    <t># FF0000</t>
  </si>
  <si>
    <t>[Couleur 3]</t>
  </si>
  <si>
    <t>Rouge</t>
  </si>
  <si>
    <t>R255-V0 B255</t>
  </si>
  <si>
    <t>[Blanc]</t>
  </si>
  <si>
    <t># FFFFFF</t>
  </si>
  <si>
    <t>[Couleur 2]</t>
  </si>
  <si>
    <t>Blanc</t>
  </si>
  <si>
    <t>R255-V153 B204</t>
  </si>
  <si>
    <t>[Noir]</t>
  </si>
  <si>
    <t># 000000</t>
  </si>
  <si>
    <t>[Couleur 1]</t>
  </si>
  <si>
    <t>Noire</t>
  </si>
  <si>
    <t>R255-V204 B153</t>
  </si>
  <si>
    <t>Couleur</t>
  </si>
  <si>
    <t xml:space="preserve">Rouge </t>
  </si>
  <si>
    <t>bgcolor =</t>
  </si>
  <si>
    <t>HTML</t>
  </si>
  <si>
    <t>police</t>
  </si>
  <si>
    <t>Intérieur</t>
  </si>
  <si>
    <t>R255-V102 B0</t>
  </si>
  <si>
    <t>R255-V0 B0</t>
  </si>
  <si>
    <t>R255-V204 B0</t>
  </si>
  <si>
    <t>R50-V204 B255</t>
  </si>
  <si>
    <t>R51-V153 B102</t>
  </si>
  <si>
    <t>Code couleur Rouge Vert Bleu RVB</t>
  </si>
  <si>
    <t>LAITAGES FROMAGES</t>
  </si>
  <si>
    <t>[Couleur 19]</t>
  </si>
  <si>
    <t>Protéines</t>
  </si>
  <si>
    <t>[Couleur 0]</t>
  </si>
  <si>
    <t>Couleur 0]</t>
  </si>
  <si>
    <t xml:space="preserve">Cuidité </t>
  </si>
  <si>
    <t>Palette de couleurs, Excel</t>
  </si>
  <si>
    <t>https://encycolorpedia.com/paints</t>
  </si>
  <si>
    <t>Correspondance des couleurs de peinture et convertisseur</t>
  </si>
  <si>
    <t>http://translate.google.fr/translate?hl=fr&amp;langpair=en|fr&amp;u=http://dmcritchie.mvps.org/excel/colors.htm</t>
  </si>
  <si>
    <t xml:space="preserve">LEGUMES  </t>
  </si>
  <si>
    <t>https://encycolorpedia.com/named</t>
  </si>
  <si>
    <t>Codes de couleurs nommés / Tableau de référence</t>
  </si>
  <si>
    <t>Crudité</t>
  </si>
  <si>
    <t>https://encycolorpedia.com/html</t>
  </si>
  <si>
    <t>ENTRÉES</t>
  </si>
  <si>
    <t>Codes de couleurs HTML / Tableau de référence</t>
  </si>
  <si>
    <t>H.ŒUVRES</t>
  </si>
  <si>
    <t>https://encycolorpedia.com/websafe</t>
  </si>
  <si>
    <t>Codes de couleur HTML sécurisés pour le Web / Tableau de référence</t>
  </si>
  <si>
    <t>CLASSEMENT SIMPLIFIÉ</t>
  </si>
  <si>
    <t>Petit suisse</t>
  </si>
  <si>
    <t>Fromage</t>
  </si>
  <si>
    <t>Fromage blanc</t>
  </si>
  <si>
    <t>Yaourt</t>
  </si>
  <si>
    <t>Lait 1/2 écrémé (en Litre)</t>
  </si>
  <si>
    <t>Fruit cuit</t>
  </si>
  <si>
    <t>Fruit cru</t>
  </si>
  <si>
    <t>Confiture, chocolat, miel</t>
  </si>
  <si>
    <t>Pâtisseries sèches emballées</t>
  </si>
  <si>
    <t>Céréales (enfants et adolescents uniquement)</t>
  </si>
  <si>
    <t>Biscuits secs</t>
  </si>
  <si>
    <t>Pain</t>
  </si>
  <si>
    <t>GOUTER, COLLATION (enfants, adolescents et personnes âgées en institution)</t>
  </si>
  <si>
    <r>
      <t>Biscuits d</t>
    </r>
    <r>
      <rPr>
        <vertAlign val="superscript"/>
        <sz val="9"/>
        <rFont val="Arial"/>
        <family val="2"/>
      </rPr>
      <t>'</t>
    </r>
    <r>
      <rPr>
        <sz val="9"/>
        <rFont val="Arial"/>
        <family val="2"/>
      </rPr>
      <t>accompagnement</t>
    </r>
  </si>
  <si>
    <t>Pâtisserie sèche emballée</t>
  </si>
  <si>
    <t>Pâtisseries fraiches ou surgelées à portionner</t>
  </si>
  <si>
    <t>Pâtisseries fraiches ou surgelées en portions</t>
  </si>
  <si>
    <t>Fruits cuits</t>
  </si>
  <si>
    <t>Fruits crus</t>
  </si>
  <si>
    <t>Mousse (en Litre)</t>
  </si>
  <si>
    <t>Desserts lactés</t>
  </si>
  <si>
    <t>*- DESSERTS</t>
  </si>
  <si>
    <t>Lait demi-écrémé en ml des menus 4 composantes</t>
  </si>
  <si>
    <t>Fromage blanc, fromages frais</t>
  </si>
  <si>
    <t>*- PRODUITS LAITIERS FRAIS</t>
  </si>
  <si>
    <t>FROMAGES</t>
  </si>
  <si>
    <r>
      <t xml:space="preserve">SAUCES POUR PLATS </t>
    </r>
    <r>
      <rPr>
        <sz val="9"/>
        <rFont val="Arial"/>
        <family val="2"/>
      </rPr>
      <t>(beurre blanc, sauce crème,sauce forestière)</t>
    </r>
  </si>
  <si>
    <r>
      <t xml:space="preserve">SAUCES POUR PLATS </t>
    </r>
    <r>
      <rPr>
        <sz val="9"/>
        <rFont val="Arial"/>
        <family val="2"/>
      </rPr>
      <t>(jus de viande)</t>
    </r>
  </si>
  <si>
    <r>
      <t xml:space="preserve">SAUCES POUR PLATS </t>
    </r>
    <r>
      <rPr>
        <sz val="9"/>
        <rFont val="Arial"/>
        <family val="2"/>
      </rPr>
      <t>(sauce tomate, béchamel)</t>
    </r>
  </si>
  <si>
    <r>
      <t>SAUCES POUR PLATS (</t>
    </r>
    <r>
      <rPr>
        <sz val="9"/>
        <rFont val="Arial"/>
        <family val="2"/>
      </rPr>
      <t>mayonnaise, ketchup, etc.) Poids de la matière grasse</t>
    </r>
  </si>
  <si>
    <t xml:space="preserve">SAUCES POUR PLATS </t>
  </si>
  <si>
    <t>Légumes secs</t>
  </si>
  <si>
    <t>Frites</t>
  </si>
  <si>
    <t>Purée de pomme de terre, fraiche ou reconstituée</t>
  </si>
  <si>
    <t>Riz – Pâtes – Pommes de terre</t>
  </si>
  <si>
    <t>*- FÉCULENTS CUITS</t>
  </si>
  <si>
    <t>LEGUMES CUITS</t>
  </si>
  <si>
    <t>Quenelle</t>
  </si>
  <si>
    <t>Préparations pâtissières (crêpes, pizzas, croque-
monsieur, friands, quiches)</t>
  </si>
  <si>
    <t>Raviolis, Cannellonis, Lasagnes ... (poids ration
avec sauce)</t>
  </si>
  <si>
    <r>
      <t>Hachis Parmentier, Brandade, Légumes farcis (poids minimum d</t>
    </r>
    <r>
      <rPr>
        <vertAlign val="superscript"/>
        <sz val="8"/>
        <rFont val="Arial"/>
        <family val="2"/>
      </rPr>
      <t>’</t>
    </r>
    <r>
      <rPr>
        <sz val="8"/>
        <rFont val="Arial"/>
        <family val="2"/>
      </rPr>
      <t>aliment protidique)</t>
    </r>
  </si>
  <si>
    <r>
      <t>Plat composé, choucroute, paëlla, etc. (poids minimum d</t>
    </r>
    <r>
      <rPr>
        <vertAlign val="superscript"/>
        <sz val="9"/>
        <rFont val="Arial"/>
        <family val="2"/>
      </rPr>
      <t>’</t>
    </r>
    <r>
      <rPr>
        <sz val="9"/>
        <rFont val="Arial"/>
        <family val="2"/>
      </rPr>
      <t>aliment protidique)</t>
    </r>
  </si>
  <si>
    <t>*- PLATS COMPOSES (denrée protidique et garniture)</t>
  </si>
  <si>
    <t>Poissons entiers</t>
  </si>
  <si>
    <t>Beignets, poissons panés ou enrobés (croquettes,
paupiettes,…)</t>
  </si>
  <si>
    <t>Darne</t>
  </si>
  <si>
    <t>Brochettes de poisson</t>
  </si>
  <si>
    <t>Poissons non enrobés sans arêtes (filets, rôtis,
steaks, brochettes, cubes)</t>
  </si>
  <si>
    <t>POISSONS (Sans sauce)</t>
  </si>
  <si>
    <t>Omelette</t>
  </si>
  <si>
    <r>
      <t>Œufs durs (à l</t>
    </r>
    <r>
      <rPr>
        <b/>
        <vertAlign val="superscript"/>
        <sz val="8"/>
        <rFont val="Arial"/>
        <family val="2"/>
      </rPr>
      <t>'</t>
    </r>
    <r>
      <rPr>
        <b/>
        <sz val="8"/>
        <rFont val="Arial"/>
        <family val="2"/>
      </rPr>
      <t>unité)</t>
    </r>
  </si>
  <si>
    <t>OEUFS (plat principal)</t>
  </si>
  <si>
    <t>Tripes avec sauce</t>
  </si>
  <si>
    <t>Foie, langue, rognons, boudin</t>
  </si>
  <si>
    <t>ABATS</t>
  </si>
  <si>
    <t>Saucisse de volaille de 50g pièce crue (Kg)</t>
  </si>
  <si>
    <r>
      <t>Saucisse de volaille de 50g pièce crue (à l</t>
    </r>
    <r>
      <rPr>
        <vertAlign val="superscript"/>
        <sz val="9"/>
        <rFont val="Arial"/>
        <family val="2"/>
      </rPr>
      <t>’</t>
    </r>
    <r>
      <rPr>
        <sz val="9"/>
        <rFont val="Arial"/>
        <family val="2"/>
      </rPr>
      <t>unité)</t>
    </r>
  </si>
  <si>
    <t>Paupiette de lapin</t>
  </si>
  <si>
    <t>Lapin sauté</t>
  </si>
  <si>
    <t>Cuisse de lapin</t>
  </si>
  <si>
    <t>Escalope panée</t>
  </si>
  <si>
    <t>Fingers, beignets, nuggets de 20 g (Kg) crus</t>
  </si>
  <si>
    <t>Fingers, beignets, nuggets de 20 g pièce crus</t>
  </si>
  <si>
    <t>Paupiette de volaille</t>
  </si>
  <si>
    <t>Brochette</t>
  </si>
  <si>
    <t>Cuisse de poulet, de pintade, de canard</t>
  </si>
  <si>
    <t>Cordon bleu</t>
  </si>
  <si>
    <t>Jambon de volaille</t>
  </si>
  <si>
    <t>Sauté</t>
  </si>
  <si>
    <t>Rôti de volaille, escalope de volaille, blanc de
poulet</t>
  </si>
  <si>
    <t>VOLAILLE-LAPIN</t>
  </si>
  <si>
    <t>Saucisse Toulouse, Montbéliard, Morteau</t>
  </si>
  <si>
    <r>
      <t>Saucisse de Francfort Strasbourg de 50 g pièce crue (à l</t>
    </r>
    <r>
      <rPr>
        <vertAlign val="superscript"/>
        <sz val="9"/>
        <rFont val="Arial"/>
        <family val="2"/>
      </rPr>
      <t>'</t>
    </r>
    <r>
      <rPr>
        <sz val="9"/>
        <rFont val="Arial"/>
        <family val="2"/>
      </rPr>
      <t>unité)</t>
    </r>
  </si>
  <si>
    <r>
      <t>Saucisse chipolatas de 50 g pièce crue ( au Kg</t>
    </r>
    <r>
      <rPr>
        <sz val="9"/>
        <rFont val="Arial"/>
        <family val="2"/>
      </rPr>
      <t>)</t>
    </r>
  </si>
  <si>
    <r>
      <t>Saucisse chipolatas de 50 g pièce crue ( à l</t>
    </r>
    <r>
      <rPr>
        <vertAlign val="superscript"/>
        <sz val="9"/>
        <rFont val="Arial"/>
        <family val="2"/>
      </rPr>
      <t>'</t>
    </r>
    <r>
      <rPr>
        <sz val="9"/>
        <rFont val="Arial"/>
        <family val="2"/>
      </rPr>
      <t>unité)</t>
    </r>
  </si>
  <si>
    <t>Andouillettes</t>
  </si>
  <si>
    <t>Jambon DD, palette de porc</t>
  </si>
  <si>
    <t>Côte de porc</t>
  </si>
  <si>
    <t>Sauté (sans os)</t>
  </si>
  <si>
    <t>Rôti de porc, grillade (sans os)</t>
  </si>
  <si>
    <t>PORC</t>
  </si>
  <si>
    <r>
      <t>Merguez de 50 g pièce crues (au Kg</t>
    </r>
    <r>
      <rPr>
        <sz val="9"/>
        <rFont val="Arial"/>
        <family val="2"/>
      </rPr>
      <t>)</t>
    </r>
  </si>
  <si>
    <r>
      <t>Merguez de 50 g pièce crues (à l</t>
    </r>
    <r>
      <rPr>
        <vertAlign val="superscript"/>
        <sz val="9"/>
        <rFont val="Arial"/>
        <family val="2"/>
      </rPr>
      <t>'</t>
    </r>
    <r>
      <rPr>
        <sz val="9"/>
        <rFont val="Arial"/>
        <family val="2"/>
      </rPr>
      <t>unité)</t>
    </r>
  </si>
  <si>
    <r>
      <t>Boulettes d</t>
    </r>
    <r>
      <rPr>
        <vertAlign val="superscript"/>
        <sz val="9"/>
        <rFont val="Arial"/>
        <family val="2"/>
      </rPr>
      <t>'</t>
    </r>
    <r>
      <rPr>
        <sz val="9"/>
        <rFont val="Arial"/>
        <family val="2"/>
      </rPr>
      <t>agneau-mouton de 30g pièce crues (au Kg )</t>
    </r>
  </si>
  <si>
    <r>
      <t>Boulettes d</t>
    </r>
    <r>
      <rPr>
        <vertAlign val="superscript"/>
        <sz val="9"/>
        <rFont val="Arial"/>
        <family val="2"/>
      </rPr>
      <t>'</t>
    </r>
    <r>
      <rPr>
        <sz val="9"/>
        <rFont val="Arial"/>
        <family val="2"/>
      </rPr>
      <t>agneau-mouton de 30g pièce crues (à l</t>
    </r>
    <r>
      <rPr>
        <vertAlign val="superscript"/>
        <sz val="9"/>
        <rFont val="Arial"/>
        <family val="2"/>
      </rPr>
      <t>'</t>
    </r>
    <r>
      <rPr>
        <sz val="9"/>
        <rFont val="Arial"/>
        <family val="2"/>
      </rPr>
      <t>unité )</t>
    </r>
  </si>
  <si>
    <r>
      <t>Côte d</t>
    </r>
    <r>
      <rPr>
        <vertAlign val="superscript"/>
        <sz val="9"/>
        <rFont val="Arial"/>
        <family val="2"/>
      </rPr>
      <t>'</t>
    </r>
    <r>
      <rPr>
        <sz val="9"/>
        <rFont val="Arial"/>
        <family val="2"/>
      </rPr>
      <t>agneau avec os</t>
    </r>
  </si>
  <si>
    <t>Gigot</t>
  </si>
  <si>
    <t>AGNEAU-MOUTON</t>
  </si>
  <si>
    <t>Paupiette de veau</t>
  </si>
  <si>
    <t>Hamburger veau, Rissolette veau</t>
  </si>
  <si>
    <t>Steak haché de veau</t>
  </si>
  <si>
    <t>Escalope de veau, rôti de veau</t>
  </si>
  <si>
    <t>Sauté de veau ou blanquette (sans os)</t>
  </si>
  <si>
    <t>VEAU</t>
  </si>
  <si>
    <t>Bolognaise viande</t>
  </si>
  <si>
    <r>
      <t>Boulettes de bœuf de 30g pièce crues (au poids</t>
    </r>
    <r>
      <rPr>
        <sz val="9"/>
        <rFont val="Arial"/>
        <family val="2"/>
      </rPr>
      <t>)</t>
    </r>
  </si>
  <si>
    <r>
      <t>Boulettes de bœuf de 30g pièce crues (à l</t>
    </r>
    <r>
      <rPr>
        <vertAlign val="superscript"/>
        <sz val="8"/>
        <rFont val="Arial"/>
        <family val="2"/>
      </rPr>
      <t>'</t>
    </r>
    <r>
      <rPr>
        <sz val="8"/>
        <rFont val="Arial"/>
        <family val="2"/>
      </rPr>
      <t>unité)</t>
    </r>
  </si>
  <si>
    <t>Hamburger</t>
  </si>
  <si>
    <t>Steak haché</t>
  </si>
  <si>
    <t>Rôti de bœuf, steak</t>
  </si>
  <si>
    <t>Bœuf braisé, bœuf sauté, bouilli de bœuf</t>
  </si>
  <si>
    <t>BŒUF</t>
  </si>
  <si>
    <t>*- VIANDES SANS SAUCE</t>
  </si>
  <si>
    <r>
      <t>ASSAISONNEMENT HORS D</t>
    </r>
    <r>
      <rPr>
        <b/>
        <vertAlign val="superscript"/>
        <sz val="9"/>
        <rFont val="Arial"/>
        <family val="2"/>
      </rPr>
      <t>'</t>
    </r>
    <r>
      <rPr>
        <b/>
        <sz val="9"/>
        <rFont val="Arial"/>
        <family val="2"/>
      </rPr>
      <t>OEUVRE(</t>
    </r>
    <r>
      <rPr>
        <sz val="9"/>
        <rFont val="Arial"/>
        <family val="2"/>
      </rPr>
      <t>poids</t>
    </r>
    <r>
      <rPr>
        <b/>
        <sz val="9"/>
        <rFont val="Arial"/>
        <family val="2"/>
      </rPr>
      <t xml:space="preserve"> </t>
    </r>
    <r>
      <rPr>
        <sz val="9"/>
        <rFont val="Arial"/>
        <family val="2"/>
      </rPr>
      <t>de la matière grasse)</t>
    </r>
  </si>
  <si>
    <t>Tarte salée</t>
  </si>
  <si>
    <t>Pizza</t>
  </si>
  <si>
    <t>Friand, feuilleté</t>
  </si>
  <si>
    <t>Nems</t>
  </si>
  <si>
    <t>*- PREPARATIONS PATISSIERES SALEES</t>
  </si>
  <si>
    <t>Salami – Saucisson – Mortadelle</t>
  </si>
  <si>
    <t>Rillettes</t>
  </si>
  <si>
    <t>Pâté en croûte</t>
  </si>
  <si>
    <t>Pâté, terrine , mousse</t>
  </si>
  <si>
    <t>Jambon blanc</t>
  </si>
  <si>
    <t>Jambon cru de pays</t>
  </si>
  <si>
    <t>Thon au naturel</t>
  </si>
  <si>
    <r>
      <t>Sardines (à l</t>
    </r>
    <r>
      <rPr>
        <b/>
        <vertAlign val="superscript"/>
        <sz val="8"/>
        <color indexed="17"/>
        <rFont val="Arial"/>
        <family val="2"/>
      </rPr>
      <t>'</t>
    </r>
    <r>
      <rPr>
        <b/>
        <sz val="8"/>
        <color indexed="17"/>
        <rFont val="Arial"/>
        <family val="2"/>
      </rPr>
      <t>unité) sauf exception mentionnée</t>
    </r>
  </si>
  <si>
    <t>Maquereau</t>
  </si>
  <si>
    <t>Hareng/garniture</t>
  </si>
  <si>
    <r>
      <t>Œuf dur (à l</t>
    </r>
    <r>
      <rPr>
        <sz val="10"/>
        <rFont val="Arial"/>
        <family val="2"/>
      </rPr>
      <t>'unité)</t>
    </r>
  </si>
  <si>
    <t>*- ENTREES PROTIDIQUES DIVERSES</t>
  </si>
  <si>
    <t>Salades composées à base de P. de T., blé, riz, semoule ou pâtes</t>
  </si>
  <si>
    <t xml:space="preserve">*- ENTRÉES DE FÉCULENT </t>
  </si>
  <si>
    <t>Terrine de légumes</t>
  </si>
  <si>
    <t>Soja (germes de haricots mungo)</t>
  </si>
  <si>
    <t>Salade composée à base de légumes cuits</t>
  </si>
  <si>
    <t>Poireaux (blancs de poireaux)</t>
  </si>
  <si>
    <t>Haricots verts</t>
  </si>
  <si>
    <t>Fenouil</t>
  </si>
  <si>
    <t>Cœurs de palmier</t>
  </si>
  <si>
    <t>Choux fleurs</t>
  </si>
  <si>
    <t>Champignons</t>
  </si>
  <si>
    <t>Céleri</t>
  </si>
  <si>
    <t>Betteraves</t>
  </si>
  <si>
    <t>Asperges</t>
  </si>
  <si>
    <r>
      <t>Fond d</t>
    </r>
    <r>
      <rPr>
        <vertAlign val="superscript"/>
        <sz val="11"/>
        <color indexed="12"/>
        <rFont val="Arial"/>
        <family val="2"/>
      </rPr>
      <t>'</t>
    </r>
    <r>
      <rPr>
        <sz val="11"/>
        <color indexed="12"/>
        <rFont val="Arial"/>
        <family val="2"/>
      </rPr>
      <t>artichaut</t>
    </r>
  </si>
  <si>
    <r>
      <t>Artichaut entier (à l</t>
    </r>
    <r>
      <rPr>
        <b/>
        <vertAlign val="superscript"/>
        <sz val="11"/>
        <color indexed="12"/>
        <rFont val="Arial"/>
        <family val="2"/>
      </rPr>
      <t>'</t>
    </r>
    <r>
      <rPr>
        <b/>
        <sz val="11"/>
        <color indexed="12"/>
        <rFont val="Arial"/>
        <family val="2"/>
      </rPr>
      <t>unité)</t>
    </r>
  </si>
  <si>
    <t>Potage à base de légumes (en litres/Kg)</t>
  </si>
  <si>
    <t>*- CUIDITES sans assaisonnement</t>
  </si>
  <si>
    <t>Champignons crus</t>
  </si>
  <si>
    <t>Salade composée à base de crudités</t>
  </si>
  <si>
    <t>Tomate</t>
  </si>
  <si>
    <t>Salade verte</t>
  </si>
  <si>
    <t>Radis</t>
  </si>
  <si>
    <r>
      <t>Pamplemousse (à l</t>
    </r>
    <r>
      <rPr>
        <b/>
        <vertAlign val="superscript"/>
        <sz val="11"/>
        <color indexed="17"/>
        <rFont val="Arial"/>
        <family val="2"/>
      </rPr>
      <t>'</t>
    </r>
    <r>
      <rPr>
        <b/>
        <sz val="11"/>
        <color indexed="17"/>
        <rFont val="Arial"/>
        <family val="2"/>
      </rPr>
      <t>unité)</t>
    </r>
  </si>
  <si>
    <t>Melon, Pastèque</t>
  </si>
  <si>
    <t>Endive</t>
  </si>
  <si>
    <t>Choux rouge et choux blanc émincé</t>
  </si>
  <si>
    <t>Carottes, céleri et autres racines râpées</t>
  </si>
  <si>
    <r>
      <t>Avocat (à l</t>
    </r>
    <r>
      <rPr>
        <b/>
        <vertAlign val="superscript"/>
        <sz val="11"/>
        <color indexed="17"/>
        <rFont val="Arial"/>
        <family val="2"/>
      </rPr>
      <t>'</t>
    </r>
    <r>
      <rPr>
        <b/>
        <sz val="11"/>
        <color indexed="17"/>
        <rFont val="Arial"/>
        <family val="2"/>
      </rPr>
      <t>unité)</t>
    </r>
  </si>
  <si>
    <t>*- CRUDITÉS sans assaisonnement</t>
  </si>
  <si>
    <t>PAIN</t>
  </si>
  <si>
    <t>Saisissez vos EFFECTIFS</t>
  </si>
  <si>
    <t>% A+</t>
  </si>
  <si>
    <t>RECOMMANDATIONS RELATIVES A LA NUTRTION (N°J5-07DU 4 MAI 2007) approuvé par décision n° 2007-17 du comité exécutif de l'OEAP</t>
  </si>
  <si>
    <t>TOTAL</t>
  </si>
  <si>
    <t>Adultes + = GEM/RCN grammages (Adolescents - Adultes) + %</t>
  </si>
  <si>
    <t>A .  Ado/Adult   Adolescents,adultes,personnes agées si portage à domicile</t>
  </si>
  <si>
    <t>P.   Primaire  Enfants en classe élémentaire</t>
  </si>
  <si>
    <t>M.  Maternelle    Enfants en maternelle</t>
  </si>
  <si>
    <t xml:space="preserve">PRODUITS  prêts à consommer  en Kg ou à la pièce </t>
  </si>
  <si>
    <t>Fonction N° de colonne Alpha =SUBSTITUE(ADRESSE(1;COLONNE();4);"1";"")</t>
  </si>
  <si>
    <t>ATTENTION ces tableaux n'ont pas le même nombre de colonnes que les fiches recettes . DONC évitez de coller les cellules  dans vos fiches</t>
  </si>
  <si>
    <t>A vous de modifier les grammages en fonction des modifications futures ou de votre établissement</t>
  </si>
  <si>
    <t>FICHE :</t>
  </si>
  <si>
    <t xml:space="preserve">GRAMMAGES GEM/RCN  </t>
  </si>
  <si>
    <t>du 13-02-2017- Annule et remplace les versions précédentes</t>
  </si>
  <si>
    <t xml:space="preserve">FICHE DE CONDITIONNEMENT </t>
  </si>
  <si>
    <t>Saisissez vos valeurs dans les cellules fond jaune ou ivoire</t>
  </si>
  <si>
    <t>P.  Enfants en classe élémentaire</t>
  </si>
  <si>
    <t>A .     Adolescents,adultes,personnes agées si portage à domicile</t>
  </si>
  <si>
    <t>M.  Enfants en maternelle</t>
  </si>
  <si>
    <t>kg</t>
  </si>
  <si>
    <t>TOTAUX</t>
  </si>
  <si>
    <t>Gastro 1/1</t>
  </si>
  <si>
    <t>PAS.</t>
  </si>
  <si>
    <t>Hauteur de ligne = 18</t>
  </si>
  <si>
    <t>Saisissez le type de contenant et le poids BRUT par contenant si vous avez saisi des % de perte (si vous faites de la cuisson) ou poids NETS</t>
  </si>
  <si>
    <t>Total contenants * service a la louche ou aux morceaux</t>
  </si>
  <si>
    <t>Total louches</t>
  </si>
  <si>
    <t>Nb louches/Mx dans 1 Cont</t>
  </si>
  <si>
    <t>Total contenants * service au poids</t>
  </si>
  <si>
    <t>Total NET à servir</t>
  </si>
  <si>
    <t>Poids Net dans 1 contenant *</t>
  </si>
  <si>
    <t>Poids Brut 1 cont.*</t>
  </si>
  <si>
    <t>Type de contenant</t>
  </si>
  <si>
    <t>GARNITURE DE FINITION - POIDS  - NOMBRE DE GASTRO ET DE LOUCHES POUR LE SERVICE</t>
  </si>
  <si>
    <t>Observations :</t>
  </si>
  <si>
    <t>Total Brut à commander/conditionner</t>
  </si>
  <si>
    <t>Poids NET Total à servir / conditionner</t>
  </si>
  <si>
    <t>Poids BRUT  1 portion</t>
  </si>
  <si>
    <t xml:space="preserve">% Perte </t>
  </si>
  <si>
    <t>Nb louche /Mx p.p</t>
  </si>
  <si>
    <t>Poids NET p.p.</t>
  </si>
  <si>
    <t>GARNITURE DE FINITION</t>
  </si>
  <si>
    <t>Total contenants * service a la louche</t>
  </si>
  <si>
    <t>Nb de louches dans 1 Cont</t>
  </si>
  <si>
    <t>SAUCE - POIDS  - NOMBRE DE GASTRO ET DE LOUCHES POUR LE SERVICE</t>
  </si>
  <si>
    <t>1 louche pour</t>
  </si>
  <si>
    <t>Poids de sauce dans une louche</t>
  </si>
  <si>
    <t>SAUCE</t>
  </si>
  <si>
    <t>TOTAL CONTENANTS A PRÉVOIR</t>
  </si>
  <si>
    <t>Total contenants * service a la pièce ou au morceaux</t>
  </si>
  <si>
    <t>Total Pce / Mx</t>
  </si>
  <si>
    <t>Nb Pce ou Mx dans 1 Cont</t>
  </si>
  <si>
    <t>Cuisson Poids. Brut 1 cont.*</t>
  </si>
  <si>
    <t>NB. DE CONTENANTS POUR LA VIANDE</t>
  </si>
  <si>
    <t>POIDS DE VIANDE A SERVIR ET A COMMANDER</t>
  </si>
  <si>
    <t>Quel % supplémentaire ajoutez vous a une portion Adulte sédentaire pour un Adulte +</t>
  </si>
  <si>
    <t>%  pour A+</t>
  </si>
  <si>
    <t>NET Total à servir / conditionner</t>
  </si>
  <si>
    <t>Nb Mx p.p..</t>
  </si>
  <si>
    <t>VIANDE NET A SERVIR ET BRUT A COMMANDER</t>
  </si>
  <si>
    <t>Elément principal : AGNEAU :  "Sauté d'agneau sans os- épaule - collier"  -   Choux Fleur- Pâte à choux etc….. OU Famille : Hors d'œuvre - Plat - Légume - Dessert</t>
  </si>
  <si>
    <t>PC</t>
  </si>
  <si>
    <t xml:space="preserve">NAVARIN D'AGNEAU PRINTANIER (JP.Domergues) </t>
  </si>
  <si>
    <t>FICHE DE CONDITIONNEMENT pour chaque élément d'un plat</t>
  </si>
  <si>
    <t>Total gastronormes au choix</t>
  </si>
  <si>
    <t>A conditionner</t>
  </si>
  <si>
    <t>Quantité ou Grammage p.p.</t>
  </si>
  <si>
    <t>Combien de portions dans un gastro</t>
  </si>
  <si>
    <t>Quoi?</t>
  </si>
  <si>
    <t>PRODUITS</t>
  </si>
  <si>
    <t>En fonction des informations saisies : nombre de gasto à utiliser</t>
  </si>
  <si>
    <t>Partie du document réservée à la saisie</t>
  </si>
  <si>
    <t>AU POIDS</t>
  </si>
  <si>
    <t>Conditionnement pour service ou cuisson</t>
  </si>
  <si>
    <t>Gastronormes tableau N° 3</t>
  </si>
  <si>
    <t xml:space="preserve">Poulet 4/4 Cuisses </t>
  </si>
  <si>
    <t>1 Gastro pour :</t>
  </si>
  <si>
    <t>A LA PORTION</t>
  </si>
  <si>
    <t xml:space="preserve">Conditionnement pour service ou cuisson </t>
  </si>
  <si>
    <t>Gastronormes tableau N° 2</t>
  </si>
  <si>
    <t>Hachis Parmentier</t>
  </si>
  <si>
    <t>Gastronormes tableau N° 1</t>
  </si>
  <si>
    <t>Combien de gastronormes devez vous utiliser pour la cuisson ou le service</t>
  </si>
  <si>
    <t xml:space="preserve">Les cellules réservées à la saisies de vos données sont à fond IVOIRE </t>
  </si>
  <si>
    <t>ou d'oie.</t>
  </si>
  <si>
    <t xml:space="preserve">Dans le cassoulet de Toulouse, on peut y ajouter du confit de canard </t>
  </si>
  <si>
    <t>était un ragoût de mouton aux fèves.</t>
  </si>
  <si>
    <t>Rectifier l'assaisonnement.</t>
  </si>
  <si>
    <t xml:space="preserve">Le halicot de mouton, dont on a fait à tort le haricot de mouton, </t>
  </si>
  <si>
    <t xml:space="preserve">Mélanger et lier l'ensemble. </t>
  </si>
  <si>
    <t>Historique</t>
  </si>
  <si>
    <t>Dans la sauteuse, ajouter les haricots à la fondue de tomates.</t>
  </si>
  <si>
    <t>la saucisse ou le saucisson.</t>
  </si>
  <si>
    <t>Laisser cuire et réduire à feu doux afin d'obtenir la consistance d'une fondue.</t>
  </si>
  <si>
    <t xml:space="preserve">Servir le cassoulet en prenant soin de mettre en évidence la viande du navarin, </t>
  </si>
  <si>
    <t>Éventuellement, ajouter un peu de fond de cuisson des haricots.</t>
  </si>
  <si>
    <t xml:space="preserve"> l'assaisonnement.</t>
  </si>
  <si>
    <t>de consommation.</t>
  </si>
  <si>
    <t>Ajouter les dés de tomates surgelés, la tomate concentrée, l'ail haché et</t>
  </si>
  <si>
    <t xml:space="preserve">Stocker en armoire chaude et maintenir à + 63 °C à coeur, en attente </t>
  </si>
  <si>
    <t>Dans la sauteuse, à l'huile, faire revenir les oignons hachés et les lardons.</t>
  </si>
  <si>
    <t>Enfourner. Gratiner. Respecter la procédure de fin de cuisson. Couvrir.</t>
  </si>
  <si>
    <t>Assaisonner les haricots</t>
  </si>
  <si>
    <t xml:space="preserve">Préchauffer le four en position chaleur sèche à la température de + 175 °C. </t>
  </si>
  <si>
    <t>Cuire doucement. Saler aux 3/4 de la cuisson. Vérifier la cuisson.</t>
  </si>
  <si>
    <t>Étager les bacs garnis en les espaçant sur l'échelle de cuisson.</t>
  </si>
  <si>
    <t>Écumer à nouveau</t>
  </si>
  <si>
    <t>Saupoudrer la surface des bacs de cassoulet avec la chapelure.</t>
  </si>
  <si>
    <t xml:space="preserve">Écumer à l'aide d'une écumoire. Ajouter la garniture aromatique. </t>
  </si>
  <si>
    <t xml:space="preserve">réserver en bacs GN, pour faciliter le tri lors du service). </t>
  </si>
  <si>
    <t>Couvrir largement d'eau froide les haricots. Porter à ébullition.</t>
  </si>
  <si>
    <t xml:space="preserve">(on peut aussi les chauffer et griller cette garniture à part et les </t>
  </si>
  <si>
    <t xml:space="preserve"> bonde du robinet.</t>
  </si>
  <si>
    <t xml:space="preserve">ou les saucisses de Toulouse préalablement grillées </t>
  </si>
  <si>
    <t>Avant la cuisson, rincer plusieurs fois les haricots, en éliminant l'eau par la</t>
  </si>
  <si>
    <t xml:space="preserve">Répartir dans les bacs de cassoulet, les rondelles de saucisson à l'ail </t>
  </si>
  <si>
    <t>nécessaire</t>
  </si>
  <si>
    <t>Terminer la préparation du cassoulet</t>
  </si>
  <si>
    <t xml:space="preserve">Prévoir de faire tremper les haricots dans la marmite de cuisson le temps </t>
  </si>
  <si>
    <t>Agiter les bacs GN d'un mouvement circulaire pour lier tous les éléments.</t>
  </si>
  <si>
    <t>Marquer la cuisson des haricots</t>
  </si>
  <si>
    <t>de cuisson.</t>
  </si>
  <si>
    <t xml:space="preserve">Marquer la cuisson du navarin </t>
  </si>
  <si>
    <t xml:space="preserve">ajouter directement les haricots au navarin cuit dans leurs bacs </t>
  </si>
  <si>
    <t>Trancher le saucisson à l'ail en rondelles. Réserver au froid.</t>
  </si>
  <si>
    <t xml:space="preserve">Pour la cuisson du navarin au four en bacs GN 1/1, </t>
  </si>
  <si>
    <t>Détailler en lardons la poitrine fraîche. Réserver au froid.</t>
  </si>
  <si>
    <t>les deux éléments à l'aide d'une écumoire.</t>
  </si>
  <si>
    <t>Hacher les 'oignons. Réserver.</t>
  </si>
  <si>
    <t>Mélanger délicatement</t>
  </si>
  <si>
    <t>confectionner un bouquet garni, Piquer un oignon avec les clous de girofle</t>
  </si>
  <si>
    <t xml:space="preserve">Dans la sauteuse, ajouter le navarin d'agneau aux haricots.  </t>
  </si>
  <si>
    <t xml:space="preserve"> Laver et désinfecter les végétaux, suivant la procédure. Réserver au froid.</t>
  </si>
  <si>
    <t>pas de numérotation colonne AC</t>
  </si>
  <si>
    <t xml:space="preserve">Déconditionner les dés de tomates surgelés suivant la procédure. Réserver. </t>
  </si>
  <si>
    <t>La veille : faire tremper les haricots.</t>
  </si>
  <si>
    <t>Mélanger le navarin aux haricots</t>
  </si>
  <si>
    <t>Chapelure</t>
  </si>
  <si>
    <t>Poivre    quantités suffisantes</t>
  </si>
  <si>
    <t>Sel  quantités suffisantes</t>
  </si>
  <si>
    <t xml:space="preserve">Herbes de Provence </t>
  </si>
  <si>
    <t>Ail haché surgelé</t>
  </si>
  <si>
    <t xml:space="preserve">Tomate concentrée </t>
  </si>
  <si>
    <t xml:space="preserve">Dés de tomates surgelés </t>
  </si>
  <si>
    <t xml:space="preserve">Oignons </t>
  </si>
  <si>
    <t xml:space="preserve">ou saucisse de Toulouse </t>
  </si>
  <si>
    <t>Saucisson à l'ail</t>
  </si>
  <si>
    <t>Poitrine fraîche</t>
  </si>
  <si>
    <t xml:space="preserve">Garniture du cassoulet </t>
  </si>
  <si>
    <t>Oignons</t>
  </si>
  <si>
    <t>haricots</t>
  </si>
  <si>
    <t xml:space="preserve">Garniture aromatique </t>
  </si>
  <si>
    <t>Haricots blancs (coco)</t>
  </si>
  <si>
    <t>Fond brun clair de veau</t>
  </si>
  <si>
    <t>Bouquet garni</t>
  </si>
  <si>
    <t xml:space="preserve">Farine  </t>
  </si>
  <si>
    <t xml:space="preserve">Ail haché surgelé </t>
  </si>
  <si>
    <t>Concentré de tomate</t>
  </si>
  <si>
    <t xml:space="preserve">Ccuisson du navarin </t>
  </si>
  <si>
    <t xml:space="preserve">Navarin d'agneau </t>
  </si>
  <si>
    <t>Grosmann et Le franc la cuisine de collectivité BPI 2007</t>
  </si>
  <si>
    <t>HARICOT DE MOUTON OU CASSOULET TOULOUSAIN</t>
  </si>
  <si>
    <t>servir froid</t>
  </si>
  <si>
    <t>arroser d'huile d'olive</t>
  </si>
  <si>
    <t>Dressage</t>
  </si>
  <si>
    <t>1 à l'endroit cordon de tomate</t>
  </si>
  <si>
    <t xml:space="preserve">alterner les quartiers."1 à l'envers, </t>
  </si>
  <si>
    <t>dans la longueur</t>
  </si>
  <si>
    <t xml:space="preserve">laver, parer les aubergines, les couper en quatre </t>
  </si>
  <si>
    <t xml:space="preserve"> avec oignon et ail</t>
  </si>
  <si>
    <t>faire une fondue de tomates à l'huile d'olive</t>
  </si>
  <si>
    <t>les frire à l'huile, les égoutter</t>
  </si>
  <si>
    <t>laver, parer les aubergines, les couper en quatre</t>
  </si>
  <si>
    <t>Huile</t>
  </si>
  <si>
    <t>Mise en place</t>
  </si>
  <si>
    <t>Cayenne</t>
  </si>
  <si>
    <t>Pm</t>
  </si>
  <si>
    <t>Sel</t>
  </si>
  <si>
    <t>Huile d'olive</t>
  </si>
  <si>
    <t>Ail</t>
  </si>
  <si>
    <t>Tomates</t>
  </si>
  <si>
    <t>Aubergines</t>
  </si>
  <si>
    <t>CUIDITÉ</t>
  </si>
  <si>
    <t>Annette et Jean Pierre Domergues Fiches techniques de cuisine  Imprimerie Nouvelle Orléans - 1981 (épuisé)</t>
  </si>
  <si>
    <t>AUBERGINES A L'EGYPTIENNE</t>
  </si>
  <si>
    <t xml:space="preserve">pommes de terre BF 15 </t>
  </si>
  <si>
    <t>navets frais</t>
  </si>
  <si>
    <t>carottes fraiches</t>
  </si>
  <si>
    <t>VERSION 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</si>
</sst>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4">
    <numFmt numFmtId="44" formatCode="_-* #,##0.00\ &quot;€&quot;_-;\-* #,##0.00\ &quot;€&quot;_-;_-* &quot;-&quot;??\ &quot;€&quot;_-;_-@_-"/>
    <numFmt numFmtId="164" formatCode="#,##0.00\ &quot;€&quot;"/>
    <numFmt numFmtId="165" formatCode="0.000"/>
    <numFmt numFmtId="166" formatCode="0.0&quot; Kg&quot;"/>
    <numFmt numFmtId="167" formatCode="0&quot; g&quot;"/>
    <numFmt numFmtId="168" formatCode="_-* #,##0.00\ &quot;€&quot;_-;\-* #,##0.00\ &quot;€&quot;_-;_-* &quot;-&quot;???\ &quot;€&quot;_-;_-@_-"/>
    <numFmt numFmtId="169" formatCode="0.000&quot; Kg&quot;"/>
    <numFmt numFmtId="170" formatCode="0.00&quot; Kg&quot;"/>
    <numFmt numFmtId="171" formatCode="0&quot; %&quot;"/>
    <numFmt numFmtId="172" formatCode="#,##0.000"/>
    <numFmt numFmtId="173" formatCode="0&quot;%&quot;"/>
    <numFmt numFmtId="174" formatCode="0.0"/>
    <numFmt numFmtId="175" formatCode="0&quot; Gastro&quot;"/>
    <numFmt numFmtId="176" formatCode="\+\ 0.0;\-\ 0.0"/>
    <numFmt numFmtId="177" formatCode="0.000&quot;Kg&quot;"/>
    <numFmt numFmtId="178" formatCode="[h]&quot;H&quot;mm"/>
    <numFmt numFmtId="179" formatCode="_-* #,##0.00\ &quot;€&quot;_-;\-* #,##0.00\ &quot;€&quot;_-;_-* &quot;-&quot;?\ &quot;€&quot;_-;_-@_-"/>
    <numFmt numFmtId="180" formatCode="#,##0.0\ &quot;€&quot;"/>
    <numFmt numFmtId="181" formatCode="0.0%"/>
    <numFmt numFmtId="182" formatCode="0.000&quot; g&quot;"/>
    <numFmt numFmtId="183" formatCode="0#&quot; &quot;##&quot; &quot;##&quot; &quot;##&quot; &quot;##"/>
    <numFmt numFmtId="184" formatCode="#,##0.000\ &quot;€&quot;"/>
    <numFmt numFmtId="185" formatCode="0.0&quot; g&quot;"/>
    <numFmt numFmtId="186" formatCode="[$-F800]dddd\,\ mmmm\ dd\,\ yyyy"/>
    <numFmt numFmtId="187" formatCode="0.00&quot;Kg&quot;"/>
    <numFmt numFmtId="188" formatCode="0.00\ &quot; cm³&quot;"/>
    <numFmt numFmtId="189" formatCode="0.0&quot; %&quot;"/>
    <numFmt numFmtId="190" formatCode="0&quot; cl&quot;"/>
    <numFmt numFmtId="191" formatCode="d\ mmmm\ yyyy"/>
    <numFmt numFmtId="192" formatCode="0&quot;Kg&quot;"/>
    <numFmt numFmtId="193" formatCode="0.000&quot; L&quot;"/>
    <numFmt numFmtId="194" formatCode="0&quot; Mx&quot;"/>
    <numFmt numFmtId="195" formatCode="0.00&quot; Mx&quot;"/>
    <numFmt numFmtId="196" formatCode="&quot;Poids portion&quot;\ 0.000&quot; Kg&quot;"/>
    <numFmt numFmtId="197" formatCode="0.0&quot;Kg&quot;"/>
    <numFmt numFmtId="198" formatCode="hh&quot;H&quot;:mm&quot; mn&quot;"/>
    <numFmt numFmtId="199" formatCode="dddd\ dd\ mmmm\ yyyy"/>
    <numFmt numFmtId="200" formatCode="h&quot; H &quot;mm;@"/>
    <numFmt numFmtId="201" formatCode="&quot;Semaine N °&quot;0"/>
    <numFmt numFmtId="202" formatCode="dddd\ mm\ mmm\ yyyy\ \-\ hh&quot;H&quot;mm"/>
    <numFmt numFmtId="203" formatCode="&quot;Col.&quot;0"/>
    <numFmt numFmtId="204" formatCode="_-* #,##0.00\ _€_-;\-* #,##0.00\ _€_-;_-* &quot;-&quot;??\ _€_-;_-@_-"/>
    <numFmt numFmtId="205" formatCode="0&quot; Cont.&quot;"/>
    <numFmt numFmtId="206" formatCode="0.00&quot; €&quot;"/>
  </numFmts>
  <fonts count="736">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4"/>
      <color theme="0"/>
      <name val="Calibri"/>
      <family val="2"/>
      <scheme val="minor"/>
    </font>
    <font>
      <sz val="7"/>
      <color theme="5"/>
      <name val="Calibri"/>
      <family val="2"/>
      <scheme val="minor"/>
    </font>
    <font>
      <b/>
      <sz val="11"/>
      <name val="Calibri"/>
      <family val="2"/>
      <scheme val="minor"/>
    </font>
    <font>
      <sz val="9"/>
      <color theme="1" tint="0.499984740745262"/>
      <name val="Calibri"/>
      <family val="2"/>
      <scheme val="minor"/>
    </font>
    <font>
      <b/>
      <sz val="10"/>
      <color theme="8" tint="-0.499984740745262"/>
      <name val="Calibri"/>
      <family val="2"/>
      <scheme val="minor"/>
    </font>
    <font>
      <sz val="10"/>
      <name val="Calibri"/>
      <family val="2"/>
      <scheme val="minor"/>
    </font>
    <font>
      <b/>
      <sz val="12"/>
      <color indexed="9"/>
      <name val="Calibri"/>
      <family val="2"/>
      <scheme val="minor"/>
    </font>
    <font>
      <b/>
      <sz val="14"/>
      <color rgb="FF7030A0"/>
      <name val="Calibri"/>
      <family val="2"/>
      <scheme val="minor"/>
    </font>
    <font>
      <b/>
      <sz val="24"/>
      <color rgb="FF0033CC"/>
      <name val="Calibri"/>
      <family val="2"/>
      <scheme val="minor"/>
    </font>
    <font>
      <b/>
      <sz val="24"/>
      <color rgb="FF7030A0"/>
      <name val="Calibri"/>
      <family val="2"/>
      <scheme val="minor"/>
    </font>
    <font>
      <sz val="8"/>
      <name val="Calibri"/>
      <family val="2"/>
      <scheme val="minor"/>
    </font>
    <font>
      <b/>
      <sz val="14"/>
      <name val="Calibri"/>
      <family val="2"/>
      <scheme val="minor"/>
    </font>
    <font>
      <b/>
      <sz val="36"/>
      <name val="Calibri"/>
      <family val="2"/>
      <scheme val="minor"/>
    </font>
    <font>
      <sz val="12"/>
      <color theme="1"/>
      <name val="Calibri"/>
      <family val="2"/>
      <scheme val="minor"/>
    </font>
    <font>
      <b/>
      <sz val="18"/>
      <name val="Calibri"/>
      <family val="2"/>
      <scheme val="minor"/>
    </font>
    <font>
      <b/>
      <sz val="14"/>
      <color rgb="FF0033CC"/>
      <name val="Calibri"/>
      <family val="2"/>
      <scheme val="minor"/>
    </font>
    <font>
      <sz val="10"/>
      <name val="MS Sans Serif"/>
      <family val="2"/>
    </font>
    <font>
      <b/>
      <sz val="16"/>
      <color rgb="FFFF0000"/>
      <name val="Calibri"/>
      <family val="2"/>
      <scheme val="minor"/>
    </font>
    <font>
      <b/>
      <sz val="8"/>
      <name val="Calibri"/>
      <family val="2"/>
      <scheme val="minor"/>
    </font>
    <font>
      <b/>
      <sz val="36"/>
      <color rgb="FFC00000"/>
      <name val="Calibri"/>
      <family val="2"/>
      <scheme val="minor"/>
    </font>
    <font>
      <b/>
      <sz val="12"/>
      <name val="Arial"/>
      <family val="2"/>
    </font>
    <font>
      <b/>
      <i/>
      <sz val="12"/>
      <color rgb="FFC00000"/>
      <name val="Calibri"/>
      <family val="2"/>
      <scheme val="minor"/>
    </font>
    <font>
      <b/>
      <sz val="12"/>
      <color rgb="FF0033CC"/>
      <name val="Calibri"/>
      <family val="2"/>
      <scheme val="minor"/>
    </font>
    <font>
      <sz val="12"/>
      <color rgb="FF0033CC"/>
      <name val="Calibri"/>
      <family val="2"/>
      <scheme val="minor"/>
    </font>
    <font>
      <sz val="10"/>
      <color rgb="FF0066FF"/>
      <name val="Calibri"/>
      <family val="2"/>
      <scheme val="minor"/>
    </font>
    <font>
      <b/>
      <sz val="11"/>
      <color rgb="FF0066FF"/>
      <name val="Calibri"/>
      <family val="2"/>
      <scheme val="minor"/>
    </font>
    <font>
      <b/>
      <sz val="12"/>
      <name val="Calibri"/>
      <family val="2"/>
      <scheme val="minor"/>
    </font>
    <font>
      <sz val="12"/>
      <name val="Calibri"/>
      <family val="2"/>
      <scheme val="minor"/>
    </font>
    <font>
      <sz val="9"/>
      <name val="Calibri"/>
      <family val="2"/>
      <scheme val="minor"/>
    </font>
    <font>
      <b/>
      <sz val="16"/>
      <name val="Calibri"/>
      <family val="2"/>
      <scheme val="minor"/>
    </font>
    <font>
      <b/>
      <sz val="20"/>
      <name val="Calibri"/>
      <family val="2"/>
      <scheme val="minor"/>
    </font>
    <font>
      <b/>
      <sz val="16"/>
      <color theme="0"/>
      <name val="Calibri"/>
      <family val="2"/>
      <scheme val="minor"/>
    </font>
    <font>
      <b/>
      <sz val="18"/>
      <color theme="0"/>
      <name val="Calibri"/>
      <family val="2"/>
      <scheme val="minor"/>
    </font>
    <font>
      <b/>
      <sz val="12"/>
      <color theme="0"/>
      <name val="Calibri"/>
      <family val="2"/>
      <scheme val="minor"/>
    </font>
    <font>
      <b/>
      <sz val="10"/>
      <name val="Calibri"/>
      <family val="2"/>
      <scheme val="minor"/>
    </font>
    <font>
      <b/>
      <sz val="12"/>
      <color rgb="FFFF0000"/>
      <name val="Calibri"/>
      <family val="2"/>
      <scheme val="minor"/>
    </font>
    <font>
      <sz val="9"/>
      <color theme="1"/>
      <name val="Calibri"/>
      <family val="2"/>
      <scheme val="minor"/>
    </font>
    <font>
      <sz val="10"/>
      <color theme="0"/>
      <name val="Calibri"/>
      <family val="2"/>
      <scheme val="minor"/>
    </font>
    <font>
      <b/>
      <sz val="11"/>
      <color rgb="FF339966"/>
      <name val="Calibri"/>
      <family val="2"/>
      <scheme val="minor"/>
    </font>
    <font>
      <b/>
      <sz val="12"/>
      <color theme="1"/>
      <name val="Calibri"/>
      <family val="2"/>
      <scheme val="minor"/>
    </font>
    <font>
      <sz val="11"/>
      <color rgb="FF339966"/>
      <name val="Calibri"/>
      <family val="2"/>
      <scheme val="minor"/>
    </font>
    <font>
      <sz val="11"/>
      <name val="Calibri"/>
      <family val="2"/>
      <scheme val="minor"/>
    </font>
    <font>
      <b/>
      <sz val="9"/>
      <color indexed="60"/>
      <name val="Calibri"/>
      <family val="2"/>
      <scheme val="minor"/>
    </font>
    <font>
      <b/>
      <sz val="12"/>
      <color rgb="FF3366FF"/>
      <name val="Calibri"/>
      <family val="2"/>
      <scheme val="minor"/>
    </font>
    <font>
      <b/>
      <sz val="12"/>
      <color indexed="48"/>
      <name val="Calibri"/>
      <family val="2"/>
      <scheme val="minor"/>
    </font>
    <font>
      <sz val="12"/>
      <color rgb="FF3366FF"/>
      <name val="Calibri"/>
      <family val="2"/>
      <scheme val="minor"/>
    </font>
    <font>
      <b/>
      <sz val="12"/>
      <color indexed="17"/>
      <name val="Calibri"/>
      <family val="2"/>
      <scheme val="minor"/>
    </font>
    <font>
      <b/>
      <sz val="10"/>
      <color rgb="FF339966"/>
      <name val="Calibri"/>
      <family val="2"/>
      <scheme val="minor"/>
    </font>
    <font>
      <b/>
      <sz val="12"/>
      <color rgb="FF008000"/>
      <name val="Calibri"/>
      <family val="2"/>
      <scheme val="minor"/>
    </font>
    <font>
      <b/>
      <sz val="9"/>
      <color rgb="FF339966"/>
      <name val="Calibri"/>
      <family val="2"/>
      <scheme val="minor"/>
    </font>
    <font>
      <b/>
      <sz val="12"/>
      <color indexed="57"/>
      <name val="Calibri"/>
      <family val="2"/>
      <scheme val="minor"/>
    </font>
    <font>
      <sz val="10"/>
      <color indexed="57"/>
      <name val="Calibri"/>
      <family val="2"/>
      <scheme val="minor"/>
    </font>
    <font>
      <b/>
      <sz val="14"/>
      <color theme="0"/>
      <name val="Calibri"/>
      <family val="2"/>
      <scheme val="minor"/>
    </font>
    <font>
      <sz val="12"/>
      <color rgb="FFC00000"/>
      <name val="Calibri"/>
      <family val="2"/>
      <scheme val="minor"/>
    </font>
    <font>
      <b/>
      <sz val="13"/>
      <color rgb="FFC00000"/>
      <name val="Calibri"/>
      <family val="2"/>
      <scheme val="minor"/>
    </font>
    <font>
      <sz val="12"/>
      <color rgb="FF0066FF"/>
      <name val="Calibri"/>
      <family val="2"/>
      <scheme val="minor"/>
    </font>
    <font>
      <b/>
      <sz val="11"/>
      <color indexed="10"/>
      <name val="Calibri"/>
      <family val="2"/>
      <scheme val="minor"/>
    </font>
    <font>
      <b/>
      <sz val="12"/>
      <color rgb="FFC00000"/>
      <name val="Calibri"/>
      <family val="2"/>
      <scheme val="minor"/>
    </font>
    <font>
      <sz val="10"/>
      <name val="MS Sans Serif"/>
    </font>
    <font>
      <sz val="12"/>
      <color indexed="12"/>
      <name val="Calibri"/>
      <family val="2"/>
      <scheme val="minor"/>
    </font>
    <font>
      <sz val="9"/>
      <color rgb="FF2F75B5"/>
      <name val="Calibri"/>
      <family val="2"/>
      <scheme val="minor"/>
    </font>
    <font>
      <sz val="9"/>
      <color theme="4" tint="-0.249977111117893"/>
      <name val="Calibri"/>
      <family val="2"/>
      <scheme val="minor"/>
    </font>
    <font>
      <sz val="9"/>
      <color rgb="FFC00000"/>
      <name val="Calibri"/>
      <family val="2"/>
      <scheme val="minor"/>
    </font>
    <font>
      <b/>
      <sz val="9"/>
      <color indexed="57"/>
      <name val="Calibri"/>
      <family val="2"/>
      <scheme val="minor"/>
    </font>
    <font>
      <sz val="9"/>
      <color indexed="57"/>
      <name val="Calibri"/>
      <family val="2"/>
      <scheme val="minor"/>
    </font>
    <font>
      <b/>
      <sz val="12"/>
      <color indexed="10"/>
      <name val="Calibri"/>
      <family val="2"/>
      <scheme val="minor"/>
    </font>
    <font>
      <sz val="8"/>
      <color theme="0" tint="-4.9989318521683403E-2"/>
      <name val="Calibri"/>
      <family val="2"/>
      <scheme val="minor"/>
    </font>
    <font>
      <b/>
      <sz val="10"/>
      <color rgb="FF0033CC"/>
      <name val="Calibri"/>
      <family val="2"/>
      <scheme val="minor"/>
    </font>
    <font>
      <b/>
      <sz val="12"/>
      <color rgb="FF0000FF"/>
      <name val="Calibri"/>
      <family val="2"/>
      <scheme val="minor"/>
    </font>
    <font>
      <b/>
      <sz val="11"/>
      <color rgb="FF517D33"/>
      <name val="Calibri"/>
      <family val="2"/>
      <scheme val="minor"/>
    </font>
    <font>
      <sz val="11"/>
      <color rgb="FF517D33"/>
      <name val="Calibri"/>
      <family val="2"/>
      <scheme val="minor"/>
    </font>
    <font>
      <b/>
      <sz val="11"/>
      <color rgb="FF3366FF"/>
      <name val="Calibri"/>
      <family val="2"/>
      <scheme val="minor"/>
    </font>
    <font>
      <b/>
      <sz val="11"/>
      <color rgb="FFC00000"/>
      <name val="Calibri"/>
      <family val="2"/>
      <scheme val="minor"/>
    </font>
    <font>
      <b/>
      <sz val="12"/>
      <color rgb="FF0066FF"/>
      <name val="Calibri"/>
      <family val="2"/>
      <scheme val="minor"/>
    </font>
    <font>
      <b/>
      <sz val="28"/>
      <name val="Calibri"/>
      <family val="2"/>
      <scheme val="minor"/>
    </font>
    <font>
      <b/>
      <sz val="14"/>
      <color rgb="FF0066FF"/>
      <name val="Calibri"/>
      <family val="2"/>
      <scheme val="minor"/>
    </font>
    <font>
      <u/>
      <sz val="10"/>
      <color indexed="12"/>
      <name val="Arial"/>
      <family val="2"/>
    </font>
    <font>
      <b/>
      <u/>
      <sz val="14"/>
      <color indexed="12"/>
      <name val="Calibri"/>
      <family val="2"/>
      <scheme val="minor"/>
    </font>
    <font>
      <sz val="14"/>
      <color rgb="FF0066FF"/>
      <name val="Calibri"/>
      <family val="2"/>
      <scheme val="minor"/>
    </font>
    <font>
      <u/>
      <sz val="11"/>
      <color theme="10"/>
      <name val="Calibri"/>
      <family val="2"/>
      <scheme val="minor"/>
    </font>
    <font>
      <b/>
      <u/>
      <sz val="14"/>
      <color theme="10"/>
      <name val="Calibri"/>
      <family val="2"/>
      <scheme val="minor"/>
    </font>
    <font>
      <sz val="8"/>
      <name val="Arial"/>
      <family val="2"/>
    </font>
    <font>
      <b/>
      <sz val="14"/>
      <color indexed="12"/>
      <name val="Calibri"/>
      <family val="2"/>
      <scheme val="minor"/>
    </font>
    <font>
      <sz val="10"/>
      <color theme="1"/>
      <name val="Calibri"/>
      <family val="2"/>
      <scheme val="minor"/>
    </font>
    <font>
      <i/>
      <sz val="10"/>
      <name val="Calibri"/>
      <family val="2"/>
      <scheme val="minor"/>
    </font>
    <font>
      <b/>
      <sz val="12"/>
      <color theme="9" tint="-0.499984740745262"/>
      <name val="Calibri"/>
      <family val="2"/>
      <scheme val="minor"/>
    </font>
    <font>
      <b/>
      <i/>
      <sz val="12"/>
      <name val="Calibri"/>
      <family val="2"/>
      <scheme val="minor"/>
    </font>
    <font>
      <b/>
      <i/>
      <sz val="14"/>
      <name val="Calibri"/>
      <family val="2"/>
      <scheme val="minor"/>
    </font>
    <font>
      <sz val="11"/>
      <color rgb="FFC00000"/>
      <name val="Calibri"/>
      <family val="2"/>
      <scheme val="minor"/>
    </font>
    <font>
      <b/>
      <sz val="11"/>
      <color theme="0" tint="-0.34998626667073579"/>
      <name val="Calibri"/>
      <family val="2"/>
      <scheme val="minor"/>
    </font>
    <font>
      <sz val="10"/>
      <color indexed="12"/>
      <name val="Calibri"/>
      <family val="2"/>
      <scheme val="minor"/>
    </font>
    <font>
      <b/>
      <sz val="10"/>
      <color rgb="FF3366FF"/>
      <name val="Calibri"/>
      <family val="2"/>
      <scheme val="minor"/>
    </font>
    <font>
      <b/>
      <sz val="10"/>
      <color rgb="FF0000FF"/>
      <name val="Calibri"/>
      <family val="2"/>
      <scheme val="minor"/>
    </font>
    <font>
      <b/>
      <i/>
      <sz val="12"/>
      <color rgb="FF0000FF"/>
      <name val="Calibri"/>
      <family val="2"/>
      <scheme val="minor"/>
    </font>
    <font>
      <b/>
      <sz val="11"/>
      <color rgb="FF548235"/>
      <name val="Calibri"/>
      <family val="2"/>
      <scheme val="minor"/>
    </font>
    <font>
      <sz val="11"/>
      <color indexed="10"/>
      <name val="Calibri"/>
      <family val="2"/>
      <scheme val="minor"/>
    </font>
    <font>
      <b/>
      <sz val="14"/>
      <color theme="1"/>
      <name val="Calibri"/>
      <family val="2"/>
      <scheme val="minor"/>
    </font>
    <font>
      <b/>
      <sz val="14"/>
      <color rgb="FF0000FF"/>
      <name val="Calibri"/>
      <family val="2"/>
      <scheme val="minor"/>
    </font>
    <font>
      <b/>
      <i/>
      <sz val="11"/>
      <name val="Calibri"/>
      <family val="2"/>
      <scheme val="minor"/>
    </font>
    <font>
      <b/>
      <sz val="10"/>
      <color theme="0" tint="-0.34998626667073579"/>
      <name val="Calibri"/>
      <family val="2"/>
      <scheme val="minor"/>
    </font>
    <font>
      <sz val="12"/>
      <name val="Arial"/>
      <family val="2"/>
    </font>
    <font>
      <sz val="12"/>
      <color rgb="FF0000FF"/>
      <name val="Calibri"/>
      <family val="2"/>
      <scheme val="minor"/>
    </font>
    <font>
      <b/>
      <sz val="10"/>
      <color theme="1"/>
      <name val="Calibri"/>
      <family val="2"/>
      <scheme val="minor"/>
    </font>
    <font>
      <b/>
      <sz val="11"/>
      <color theme="9" tint="-0.499984740745262"/>
      <name val="Calibri"/>
      <family val="2"/>
      <scheme val="minor"/>
    </font>
    <font>
      <b/>
      <sz val="14"/>
      <color rgb="FFC00000"/>
      <name val="Calibri"/>
      <family val="2"/>
      <scheme val="minor"/>
    </font>
    <font>
      <b/>
      <sz val="10"/>
      <color theme="0" tint="-0.499984740745262"/>
      <name val="Calibri"/>
      <family val="2"/>
      <scheme val="minor"/>
    </font>
    <font>
      <b/>
      <sz val="16"/>
      <color indexed="12"/>
      <name val="Calibri"/>
      <family val="2"/>
      <scheme val="minor"/>
    </font>
    <font>
      <b/>
      <sz val="12"/>
      <color rgb="FF339966"/>
      <name val="Calibri"/>
      <family val="2"/>
      <scheme val="minor"/>
    </font>
    <font>
      <sz val="14"/>
      <name val="Calibri"/>
      <family val="2"/>
      <scheme val="minor"/>
    </font>
    <font>
      <b/>
      <sz val="12"/>
      <color theme="1" tint="0.499984740745262"/>
      <name val="Calibri"/>
      <family val="2"/>
      <scheme val="minor"/>
    </font>
    <font>
      <b/>
      <sz val="11"/>
      <color theme="8" tint="-0.499984740745262"/>
      <name val="Calibri"/>
      <family val="2"/>
      <scheme val="minor"/>
    </font>
    <font>
      <b/>
      <sz val="28"/>
      <color rgb="FFFF00FF"/>
      <name val="Calibri"/>
      <family val="2"/>
      <scheme val="minor"/>
    </font>
    <font>
      <sz val="9"/>
      <color theme="9" tint="-0.249977111117893"/>
      <name val="Calibri"/>
      <family val="2"/>
      <scheme val="minor"/>
    </font>
    <font>
      <sz val="10"/>
      <color theme="9" tint="-0.249977111117893"/>
      <name val="Calibri"/>
      <family val="2"/>
      <scheme val="minor"/>
    </font>
    <font>
      <b/>
      <sz val="9"/>
      <color theme="9" tint="-0.249977111117893"/>
      <name val="Calibri"/>
      <family val="2"/>
      <scheme val="minor"/>
    </font>
    <font>
      <b/>
      <sz val="28"/>
      <color theme="1" tint="0.499984740745262"/>
      <name val="Calibri"/>
      <family val="2"/>
      <scheme val="minor"/>
    </font>
    <font>
      <sz val="10"/>
      <color theme="1" tint="0.499984740745262"/>
      <name val="Calibri"/>
      <family val="2"/>
      <scheme val="minor"/>
    </font>
    <font>
      <b/>
      <sz val="11"/>
      <color theme="1" tint="0.499984740745262"/>
      <name val="Calibri"/>
      <family val="2"/>
      <scheme val="minor"/>
    </font>
    <font>
      <sz val="12"/>
      <color theme="3" tint="-0.249977111117893"/>
      <name val="Calibri"/>
      <family val="2"/>
      <scheme val="minor"/>
    </font>
    <font>
      <sz val="11"/>
      <color indexed="12"/>
      <name val="Calibri"/>
      <family val="2"/>
      <scheme val="minor"/>
    </font>
    <font>
      <b/>
      <sz val="12"/>
      <color theme="8" tint="-0.499984740745262"/>
      <name val="Calibri"/>
      <family val="2"/>
      <scheme val="minor"/>
    </font>
    <font>
      <sz val="11"/>
      <color theme="8" tint="-0.499984740745262"/>
      <name val="Calibri"/>
      <family val="2"/>
      <scheme val="minor"/>
    </font>
    <font>
      <b/>
      <sz val="10"/>
      <color rgb="FFC00000"/>
      <name val="Calibri"/>
      <family val="2"/>
      <scheme val="minor"/>
    </font>
    <font>
      <sz val="10"/>
      <color rgb="FF339966"/>
      <name val="Calibri"/>
      <family val="2"/>
      <scheme val="minor"/>
    </font>
    <font>
      <sz val="10"/>
      <color rgb="FF0033CC"/>
      <name val="Calibri"/>
      <family val="2"/>
      <scheme val="minor"/>
    </font>
    <font>
      <b/>
      <sz val="14"/>
      <color rgb="FF339966"/>
      <name val="Calibri"/>
      <family val="2"/>
      <scheme val="minor"/>
    </font>
    <font>
      <sz val="11"/>
      <name val="Arial"/>
      <family val="2"/>
    </font>
    <font>
      <b/>
      <sz val="12"/>
      <color rgb="FF7030A0"/>
      <name val="Calibri"/>
      <family val="2"/>
      <scheme val="minor"/>
    </font>
    <font>
      <sz val="10"/>
      <color rgb="FFC00000"/>
      <name val="Calibri"/>
      <family val="2"/>
      <scheme val="minor"/>
    </font>
    <font>
      <b/>
      <sz val="9"/>
      <color theme="1" tint="0.499984740745262"/>
      <name val="Calibri"/>
      <family val="2"/>
      <scheme val="minor"/>
    </font>
    <font>
      <b/>
      <sz val="9"/>
      <name val="Calibri"/>
      <family val="2"/>
      <scheme val="minor"/>
    </font>
    <font>
      <sz val="8"/>
      <color theme="1"/>
      <name val="Calibri"/>
      <family val="2"/>
      <scheme val="minor"/>
    </font>
    <font>
      <sz val="9"/>
      <color rgb="FF7030A0"/>
      <name val="Calibri"/>
      <family val="2"/>
      <scheme val="minor"/>
    </font>
    <font>
      <b/>
      <sz val="12"/>
      <color rgb="FF517D33"/>
      <name val="Calibri"/>
      <family val="2"/>
      <scheme val="minor"/>
    </font>
    <font>
      <b/>
      <sz val="9"/>
      <color rgb="FF517D33"/>
      <name val="Calibri"/>
      <family val="2"/>
      <scheme val="minor"/>
    </font>
    <font>
      <sz val="11"/>
      <color rgb="FF0000FF"/>
      <name val="Calibri"/>
      <family val="2"/>
      <scheme val="minor"/>
    </font>
    <font>
      <b/>
      <sz val="9"/>
      <color theme="0"/>
      <name val="Calibri"/>
      <family val="2"/>
      <scheme val="minor"/>
    </font>
    <font>
      <i/>
      <sz val="11"/>
      <name val="Calibri"/>
      <family val="2"/>
      <scheme val="minor"/>
    </font>
    <font>
      <sz val="11"/>
      <color rgb="FF0033CC"/>
      <name val="Calibri"/>
      <family val="2"/>
      <scheme val="minor"/>
    </font>
    <font>
      <b/>
      <sz val="11"/>
      <color rgb="FF0000FF"/>
      <name val="Calibri"/>
      <family val="2"/>
      <scheme val="minor"/>
    </font>
    <font>
      <sz val="9"/>
      <color rgb="FF0000FF"/>
      <name val="Calibri"/>
      <family val="2"/>
      <scheme val="minor"/>
    </font>
    <font>
      <b/>
      <sz val="16"/>
      <color rgb="FF0033CC"/>
      <name val="Calibri"/>
      <family val="2"/>
      <scheme val="minor"/>
    </font>
    <font>
      <b/>
      <sz val="28"/>
      <color rgb="FF339966"/>
      <name val="Calibri"/>
      <family val="2"/>
      <scheme val="minor"/>
    </font>
    <font>
      <b/>
      <sz val="18"/>
      <color rgb="FF0000FF"/>
      <name val="Calibri"/>
      <family val="2"/>
      <scheme val="minor"/>
    </font>
    <font>
      <b/>
      <sz val="10"/>
      <color theme="0"/>
      <name val="Calibri"/>
      <family val="2"/>
      <scheme val="minor"/>
    </font>
    <font>
      <b/>
      <sz val="18"/>
      <color rgb="FF0070C0"/>
      <name val="Calibri"/>
      <family val="2"/>
      <scheme val="minor"/>
    </font>
    <font>
      <i/>
      <sz val="9"/>
      <color theme="1" tint="0.34998626667073579"/>
      <name val="Calibri"/>
      <family val="2"/>
      <scheme val="minor"/>
    </font>
    <font>
      <b/>
      <sz val="11"/>
      <name val="Arial"/>
      <family val="2"/>
    </font>
    <font>
      <i/>
      <sz val="11"/>
      <color theme="9" tint="-0.499984740745262"/>
      <name val="Calibri"/>
      <family val="2"/>
      <scheme val="minor"/>
    </font>
    <font>
      <b/>
      <sz val="25"/>
      <name val="Calibri"/>
      <family val="2"/>
      <scheme val="minor"/>
    </font>
    <font>
      <sz val="24"/>
      <name val="Calibri"/>
      <family val="2"/>
      <scheme val="minor"/>
    </font>
    <font>
      <b/>
      <sz val="12"/>
      <color indexed="12"/>
      <name val="Calibri"/>
      <family val="2"/>
      <scheme val="minor"/>
    </font>
    <font>
      <sz val="18"/>
      <name val="Calibri"/>
      <family val="2"/>
      <scheme val="minor"/>
    </font>
    <font>
      <sz val="16"/>
      <name val="Calibri"/>
      <family val="2"/>
      <scheme val="minor"/>
    </font>
    <font>
      <sz val="22"/>
      <color theme="1"/>
      <name val="Verdana"/>
      <family val="2"/>
    </font>
    <font>
      <u/>
      <sz val="20"/>
      <color theme="0"/>
      <name val="Arial"/>
      <family val="2"/>
    </font>
    <font>
      <b/>
      <sz val="20"/>
      <color theme="0"/>
      <name val="Calibri"/>
      <family val="2"/>
      <scheme val="minor"/>
    </font>
    <font>
      <sz val="20"/>
      <name val="Arial"/>
      <family val="2"/>
    </font>
    <font>
      <sz val="20"/>
      <color theme="1"/>
      <name val="Calibri"/>
      <family val="2"/>
      <scheme val="minor"/>
    </font>
    <font>
      <sz val="20"/>
      <color theme="0"/>
      <name val="Arial"/>
      <family val="2"/>
    </font>
    <font>
      <sz val="20"/>
      <color theme="0"/>
      <name val="Calibri"/>
      <family val="2"/>
      <scheme val="minor"/>
    </font>
    <font>
      <sz val="8"/>
      <color indexed="53"/>
      <name val="Arial"/>
      <family val="2"/>
    </font>
    <font>
      <b/>
      <sz val="20"/>
      <color rgb="FF99CC00"/>
      <name val="Arial"/>
      <family val="2"/>
    </font>
    <font>
      <sz val="20"/>
      <color theme="1"/>
      <name val="Verdana"/>
      <family val="2"/>
    </font>
    <font>
      <sz val="18"/>
      <color theme="0"/>
      <name val="Arial"/>
      <family val="2"/>
    </font>
    <font>
      <sz val="20"/>
      <color rgb="FF7030A0"/>
      <name val="Arial"/>
      <family val="2"/>
    </font>
    <font>
      <i/>
      <sz val="20"/>
      <color theme="0"/>
      <name val="Verdana"/>
      <family val="2"/>
    </font>
    <font>
      <b/>
      <sz val="20"/>
      <color rgb="FF92D050"/>
      <name val="Arial"/>
      <family val="2"/>
    </font>
    <font>
      <sz val="28"/>
      <name val="Arial"/>
      <family val="2"/>
    </font>
    <font>
      <sz val="28"/>
      <color theme="1"/>
      <name val="Calibri"/>
      <family val="2"/>
      <scheme val="minor"/>
    </font>
    <font>
      <sz val="28"/>
      <color theme="0"/>
      <name val="Arial"/>
      <family val="2"/>
    </font>
    <font>
      <u/>
      <sz val="28"/>
      <color theme="0"/>
      <name val="Arial"/>
      <family val="2"/>
    </font>
    <font>
      <sz val="22"/>
      <name val="Arial"/>
      <family val="2"/>
    </font>
    <font>
      <sz val="22"/>
      <color rgb="FFFFFF00"/>
      <name val="Verdana"/>
      <family val="2"/>
    </font>
    <font>
      <b/>
      <u/>
      <sz val="22"/>
      <color theme="10"/>
      <name val="Calibri"/>
      <family val="2"/>
      <scheme val="minor"/>
    </font>
    <font>
      <b/>
      <sz val="22"/>
      <color theme="0"/>
      <name val="Calibri"/>
      <family val="2"/>
      <scheme val="minor"/>
    </font>
    <font>
      <u/>
      <sz val="22"/>
      <color theme="0"/>
      <name val="Arial"/>
      <family val="2"/>
    </font>
    <font>
      <sz val="22"/>
      <color theme="0"/>
      <name val="Arial"/>
      <family val="2"/>
    </font>
    <font>
      <sz val="18"/>
      <color theme="0"/>
      <name val="Calibri"/>
      <family val="2"/>
      <scheme val="minor"/>
    </font>
    <font>
      <sz val="18"/>
      <name val="Arial"/>
      <family val="2"/>
    </font>
    <font>
      <b/>
      <sz val="26"/>
      <color theme="0"/>
      <name val="Arial"/>
      <family val="2"/>
    </font>
    <font>
      <b/>
      <sz val="24"/>
      <color theme="0"/>
      <name val="Arial"/>
      <family val="2"/>
    </font>
    <font>
      <b/>
      <sz val="24"/>
      <color theme="0"/>
      <name val="Calibri"/>
      <family val="2"/>
      <scheme val="minor"/>
    </font>
    <font>
      <sz val="24"/>
      <name val="Arial"/>
      <family val="2"/>
    </font>
    <font>
      <b/>
      <sz val="24"/>
      <color rgb="FFFF0000"/>
      <name val="Wingdings 3"/>
      <family val="1"/>
      <charset val="2"/>
    </font>
    <font>
      <b/>
      <sz val="24"/>
      <color rgb="FFC00000"/>
      <name val="Wingdings 3"/>
      <family val="1"/>
      <charset val="2"/>
    </font>
    <font>
      <sz val="24"/>
      <color theme="1"/>
      <name val="Calibri"/>
      <family val="2"/>
      <scheme val="minor"/>
    </font>
    <font>
      <b/>
      <sz val="24"/>
      <name val="Calibri"/>
      <family val="2"/>
      <scheme val="minor"/>
    </font>
    <font>
      <sz val="24"/>
      <color theme="0"/>
      <name val="Arial"/>
      <family val="2"/>
    </font>
    <font>
      <sz val="24"/>
      <color theme="1"/>
      <name val="Verdana"/>
      <family val="2"/>
    </font>
    <font>
      <sz val="24"/>
      <color rgb="FF222222"/>
      <name val="Arial"/>
      <family val="2"/>
    </font>
    <font>
      <sz val="20"/>
      <color rgb="FF0070C0"/>
      <name val="Arial"/>
      <family val="2"/>
    </font>
    <font>
      <sz val="24"/>
      <color rgb="FF0070C0"/>
      <name val="Arial"/>
      <family val="2"/>
    </font>
    <font>
      <b/>
      <sz val="24"/>
      <color rgb="FF99CC00"/>
      <name val="Arial"/>
      <family val="2"/>
    </font>
    <font>
      <sz val="12"/>
      <color theme="0"/>
      <name val="Calibri"/>
      <family val="2"/>
      <scheme val="minor"/>
    </font>
    <font>
      <sz val="28"/>
      <color theme="0"/>
      <name val="Calibri"/>
      <family val="2"/>
      <scheme val="minor"/>
    </font>
    <font>
      <sz val="26"/>
      <color theme="0"/>
      <name val="Calibri"/>
      <family val="2"/>
      <scheme val="minor"/>
    </font>
    <font>
      <b/>
      <sz val="28"/>
      <name val="Calibri"/>
      <family val="2"/>
    </font>
    <font>
      <sz val="28"/>
      <color indexed="12"/>
      <name val="Arial"/>
      <family val="2"/>
    </font>
    <font>
      <sz val="28"/>
      <color rgb="FF0000FF"/>
      <name val="Calibri"/>
      <family val="2"/>
      <scheme val="minor"/>
    </font>
    <font>
      <sz val="28"/>
      <color indexed="50"/>
      <name val="Calibri"/>
      <family val="2"/>
    </font>
    <font>
      <sz val="28"/>
      <color theme="5" tint="-0.249977111117893"/>
      <name val="Calibri"/>
      <family val="2"/>
    </font>
    <font>
      <sz val="28"/>
      <color theme="3" tint="0.39997558519241921"/>
      <name val="Calibri"/>
      <family val="2"/>
    </font>
    <font>
      <sz val="28"/>
      <color theme="8" tint="-0.249977111117893"/>
      <name val="Calibri"/>
      <family val="2"/>
    </font>
    <font>
      <sz val="28"/>
      <color theme="5"/>
      <name val="Calibri"/>
      <family val="2"/>
    </font>
    <font>
      <sz val="28"/>
      <color rgb="FF00B0F0"/>
      <name val="Calibri"/>
      <family val="2"/>
    </font>
    <font>
      <sz val="28"/>
      <color rgb="FF00B050"/>
      <name val="Calibri"/>
      <family val="2"/>
    </font>
    <font>
      <sz val="28"/>
      <color theme="9" tint="-0.499984740745262"/>
      <name val="Calibri"/>
      <family val="2"/>
    </font>
    <font>
      <sz val="28"/>
      <color rgb="FF008000"/>
      <name val="Calibri"/>
      <family val="2"/>
    </font>
    <font>
      <sz val="28"/>
      <color rgb="FF0000FF"/>
      <name val="Calibri"/>
      <family val="2"/>
    </font>
    <font>
      <sz val="28"/>
      <color theme="9" tint="-0.249977111117893"/>
      <name val="Calibri"/>
      <family val="2"/>
    </font>
    <font>
      <sz val="28"/>
      <color theme="5" tint="0.59999389629810485"/>
      <name val="Calibri"/>
      <family val="2"/>
    </font>
    <font>
      <sz val="28"/>
      <color theme="3" tint="0.59999389629810485"/>
      <name val="Calibri"/>
      <family val="2"/>
    </font>
    <font>
      <sz val="28"/>
      <color theme="1"/>
      <name val="Calibri"/>
      <family val="2"/>
    </font>
    <font>
      <sz val="28"/>
      <color theme="9"/>
      <name val="Calibri"/>
      <family val="2"/>
    </font>
    <font>
      <sz val="28"/>
      <color rgb="FF7030A0"/>
      <name val="Calibri"/>
      <family val="2"/>
    </font>
    <font>
      <sz val="28"/>
      <color rgb="FFFF0000"/>
      <name val="Calibri"/>
      <family val="2"/>
    </font>
    <font>
      <sz val="28"/>
      <color rgb="FFFFC000"/>
      <name val="Calibri"/>
      <family val="2"/>
    </font>
    <font>
      <b/>
      <sz val="22"/>
      <color rgb="FF99CC00"/>
      <name val="Arial"/>
      <family val="2"/>
    </font>
    <font>
      <sz val="26"/>
      <name val="Arial"/>
      <family val="2"/>
    </font>
    <font>
      <sz val="22"/>
      <color theme="1"/>
      <name val="Calibri"/>
      <family val="2"/>
      <scheme val="minor"/>
    </font>
    <font>
      <sz val="22"/>
      <color theme="0"/>
      <name val="Vrinda"/>
      <family val="2"/>
    </font>
    <font>
      <sz val="22"/>
      <color theme="0"/>
      <name val="Tw Cen MT"/>
      <family val="2"/>
    </font>
    <font>
      <sz val="22"/>
      <color theme="0"/>
      <name val="Trebuchet MS"/>
      <family val="2"/>
    </font>
    <font>
      <sz val="22"/>
      <color theme="0"/>
      <name val="Times New Roman"/>
      <family val="1"/>
    </font>
    <font>
      <sz val="22"/>
      <color theme="0"/>
      <name val="Tahoma"/>
      <family val="2"/>
    </font>
    <font>
      <sz val="22"/>
      <color theme="0"/>
      <name val="Palatino Linotype"/>
      <family val="1"/>
    </font>
    <font>
      <sz val="22"/>
      <color theme="0"/>
      <name val="Gill Sans MT"/>
      <family val="2"/>
    </font>
    <font>
      <sz val="22"/>
      <color theme="0"/>
      <name val="Comic Sans MS"/>
      <family val="4"/>
    </font>
    <font>
      <sz val="22"/>
      <color theme="0"/>
      <name val="Arial Narrow"/>
      <family val="2"/>
    </font>
    <font>
      <sz val="22"/>
      <color theme="0"/>
      <name val="Calibri"/>
      <family val="2"/>
      <scheme val="minor"/>
    </font>
    <font>
      <sz val="22"/>
      <color theme="0"/>
      <name val="Verdana"/>
      <family val="2"/>
    </font>
    <font>
      <sz val="22"/>
      <color theme="0"/>
      <name val="Rockwell"/>
      <family val="1"/>
    </font>
    <font>
      <b/>
      <sz val="22"/>
      <color theme="0"/>
      <name val="Calibri"/>
      <family val="2"/>
    </font>
    <font>
      <b/>
      <sz val="20"/>
      <color theme="0"/>
      <name val="Arial"/>
      <family val="2"/>
    </font>
    <font>
      <b/>
      <sz val="20"/>
      <color theme="0"/>
      <name val="Calibri"/>
      <family val="2"/>
    </font>
    <font>
      <sz val="48"/>
      <color rgb="FFFFFF00"/>
      <name val="Rockwell"/>
      <family val="1"/>
    </font>
    <font>
      <i/>
      <sz val="22"/>
      <color theme="0"/>
      <name val="Verdana"/>
      <family val="2"/>
    </font>
    <font>
      <sz val="36"/>
      <color rgb="FFFFFF00"/>
      <name val="Arial"/>
      <family val="2"/>
    </font>
    <font>
      <sz val="18"/>
      <color rgb="FF7030A0"/>
      <name val="Arial"/>
      <family val="2"/>
    </font>
    <font>
      <sz val="22"/>
      <color rgb="FF7030A0"/>
      <name val="Arial"/>
      <family val="2"/>
    </font>
    <font>
      <sz val="11"/>
      <color theme="1"/>
      <name val="Arial"/>
      <family val="2"/>
    </font>
    <font>
      <sz val="26"/>
      <color theme="0"/>
      <name val="Arial"/>
      <family val="2"/>
    </font>
    <font>
      <b/>
      <sz val="22"/>
      <color theme="0"/>
      <name val="Arial"/>
      <family val="2"/>
    </font>
    <font>
      <b/>
      <sz val="18"/>
      <name val="Arial"/>
      <family val="2"/>
    </font>
    <font>
      <b/>
      <sz val="18"/>
      <color rgb="FFFF0000"/>
      <name val="Arial"/>
      <family val="2"/>
    </font>
    <font>
      <b/>
      <sz val="18"/>
      <color theme="0"/>
      <name val="Arial"/>
      <family val="2"/>
    </font>
    <font>
      <b/>
      <sz val="18"/>
      <color rgb="FF0000FF"/>
      <name val="Arial"/>
      <family val="2"/>
    </font>
    <font>
      <b/>
      <sz val="18"/>
      <color rgb="FFC00000"/>
      <name val="Arial"/>
      <family val="2"/>
    </font>
    <font>
      <i/>
      <sz val="18"/>
      <color theme="0"/>
      <name val="Arial"/>
      <family val="2"/>
    </font>
    <font>
      <b/>
      <sz val="16"/>
      <color theme="0"/>
      <name val="Arial"/>
      <family val="2"/>
    </font>
    <font>
      <sz val="26"/>
      <color theme="1"/>
      <name val="Arial"/>
      <family val="2"/>
    </font>
    <font>
      <sz val="22"/>
      <color theme="1"/>
      <name val="Arial"/>
      <family val="2"/>
    </font>
    <font>
      <i/>
      <sz val="22"/>
      <color theme="0"/>
      <name val="Arial"/>
      <family val="2"/>
    </font>
    <font>
      <b/>
      <sz val="22"/>
      <color rgb="FFC00000"/>
      <name val="Arial"/>
      <family val="2"/>
    </font>
    <font>
      <sz val="20"/>
      <color rgb="FF0066FF"/>
      <name val="Arial"/>
      <family val="2"/>
    </font>
    <font>
      <b/>
      <sz val="20"/>
      <color indexed="57"/>
      <name val="Arial"/>
      <family val="2"/>
    </font>
    <font>
      <sz val="20"/>
      <color indexed="57"/>
      <name val="Arial"/>
      <family val="2"/>
    </font>
    <font>
      <sz val="20"/>
      <color theme="1"/>
      <name val="Arial"/>
      <family val="2"/>
    </font>
    <font>
      <b/>
      <sz val="20"/>
      <name val="Arial"/>
      <family val="2"/>
    </font>
    <font>
      <b/>
      <sz val="16"/>
      <color indexed="9"/>
      <name val="Arial"/>
      <family val="2"/>
    </font>
    <font>
      <sz val="22"/>
      <color indexed="50"/>
      <name val="Arial"/>
      <family val="2"/>
    </font>
    <font>
      <u/>
      <sz val="22"/>
      <color indexed="12"/>
      <name val="Arial"/>
      <family val="2"/>
    </font>
    <font>
      <b/>
      <sz val="22"/>
      <color rgb="FF7030A0"/>
      <name val="Arial"/>
      <family val="2"/>
    </font>
    <font>
      <b/>
      <sz val="26"/>
      <color indexed="48"/>
      <name val="Arial"/>
      <family val="2"/>
    </font>
    <font>
      <b/>
      <sz val="26"/>
      <name val="Arial"/>
      <family val="2"/>
    </font>
    <font>
      <b/>
      <sz val="26"/>
      <color indexed="17"/>
      <name val="Arial"/>
      <family val="2"/>
    </font>
    <font>
      <sz val="22"/>
      <color rgb="FFC00000"/>
      <name val="Arial"/>
      <family val="2"/>
    </font>
    <font>
      <b/>
      <sz val="22"/>
      <color indexed="10"/>
      <name val="Arial"/>
      <family val="2"/>
    </font>
    <font>
      <b/>
      <sz val="16"/>
      <color rgb="FF0000FF"/>
      <name val="Arial"/>
      <family val="2"/>
    </font>
    <font>
      <b/>
      <sz val="22"/>
      <color rgb="FF0000FF"/>
      <name val="Arial"/>
      <family val="2"/>
    </font>
    <font>
      <b/>
      <sz val="22"/>
      <name val="Arial"/>
      <family val="2"/>
    </font>
    <font>
      <b/>
      <sz val="22"/>
      <color indexed="48"/>
      <name val="Arial"/>
      <family val="2"/>
    </font>
    <font>
      <b/>
      <sz val="22"/>
      <color rgb="FF008000"/>
      <name val="Arial"/>
      <family val="2"/>
    </font>
    <font>
      <b/>
      <sz val="22"/>
      <color indexed="17"/>
      <name val="Arial"/>
      <family val="2"/>
    </font>
    <font>
      <b/>
      <sz val="26"/>
      <color rgb="FF99CC00"/>
      <name val="Arial"/>
      <family val="2"/>
    </font>
    <font>
      <b/>
      <sz val="16"/>
      <color rgb="FF0070C0"/>
      <name val="Arial"/>
      <family val="2"/>
    </font>
    <font>
      <b/>
      <sz val="16"/>
      <name val="Arial"/>
      <family val="2"/>
    </font>
    <font>
      <b/>
      <sz val="18"/>
      <color theme="1"/>
      <name val="Arial"/>
      <family val="2"/>
    </font>
    <font>
      <b/>
      <sz val="18"/>
      <color indexed="17"/>
      <name val="Arial"/>
      <family val="2"/>
    </font>
    <font>
      <b/>
      <sz val="22"/>
      <color rgb="FF92D050"/>
      <name val="Arial"/>
      <family val="2"/>
    </font>
    <font>
      <i/>
      <sz val="20"/>
      <name val="Arial"/>
      <family val="2"/>
    </font>
    <font>
      <sz val="18"/>
      <color theme="1"/>
      <name val="Arial"/>
      <family val="2"/>
    </font>
    <font>
      <u/>
      <sz val="18"/>
      <color indexed="12"/>
      <name val="Arial"/>
      <family val="2"/>
    </font>
    <font>
      <sz val="24"/>
      <color rgb="FF7030A0"/>
      <name val="Arial"/>
      <family val="2"/>
    </font>
    <font>
      <i/>
      <sz val="24"/>
      <color theme="0"/>
      <name val="Arial"/>
      <family val="2"/>
    </font>
    <font>
      <b/>
      <sz val="24"/>
      <color rgb="FF92D050"/>
      <name val="Arial"/>
      <family val="2"/>
    </font>
    <font>
      <b/>
      <sz val="24"/>
      <color rgb="FFFFFF00"/>
      <name val="Arial"/>
      <family val="2"/>
    </font>
    <font>
      <sz val="11"/>
      <color rgb="FFFFFF00"/>
      <name val="Arial"/>
      <family val="2"/>
    </font>
    <font>
      <b/>
      <sz val="22"/>
      <color rgb="FFFFFF00"/>
      <name val="Arial"/>
      <family val="2"/>
    </font>
    <font>
      <sz val="18"/>
      <color rgb="FFFFFF00"/>
      <name val="Arial"/>
      <family val="2"/>
    </font>
    <font>
      <b/>
      <sz val="18"/>
      <color rgb="FFFFFF00"/>
      <name val="Arial"/>
      <family val="2"/>
    </font>
    <font>
      <b/>
      <sz val="48"/>
      <color rgb="FFFFFF00"/>
      <name val="Arial"/>
      <family val="2"/>
    </font>
    <font>
      <b/>
      <sz val="28"/>
      <color rgb="FFFFFF00"/>
      <name val="Arial"/>
      <family val="2"/>
    </font>
    <font>
      <b/>
      <sz val="36"/>
      <color rgb="FFFFFF00"/>
      <name val="Arial"/>
      <family val="2"/>
    </font>
    <font>
      <sz val="14"/>
      <color indexed="9"/>
      <name val="Calibri"/>
      <family val="2"/>
    </font>
    <font>
      <b/>
      <sz val="14"/>
      <color indexed="8"/>
      <name val="Calibri"/>
      <family val="2"/>
    </font>
    <font>
      <b/>
      <sz val="14"/>
      <color theme="4"/>
      <name val="Calibri"/>
      <family val="2"/>
    </font>
    <font>
      <sz val="7"/>
      <name val="Calibri"/>
      <family val="2"/>
      <scheme val="minor"/>
    </font>
    <font>
      <b/>
      <sz val="12"/>
      <color indexed="8"/>
      <name val="Calibri"/>
      <family val="2"/>
    </font>
    <font>
      <sz val="14"/>
      <name val="Arial"/>
      <family val="2"/>
    </font>
    <font>
      <sz val="14"/>
      <color theme="1"/>
      <name val="Calibri"/>
      <family val="2"/>
      <scheme val="minor"/>
    </font>
    <font>
      <b/>
      <sz val="14"/>
      <color indexed="57"/>
      <name val="Calibri"/>
      <family val="2"/>
    </font>
    <font>
      <sz val="10"/>
      <color theme="0"/>
      <name val="Arial"/>
      <family val="2"/>
    </font>
    <font>
      <b/>
      <sz val="12"/>
      <color indexed="57"/>
      <name val="Calibri"/>
      <family val="2"/>
    </font>
    <font>
      <sz val="9"/>
      <color rgb="FF0033CC"/>
      <name val="Calibri"/>
      <family val="2"/>
      <scheme val="minor"/>
    </font>
    <font>
      <sz val="13"/>
      <name val="Calibri"/>
      <family val="2"/>
      <scheme val="minor"/>
    </font>
    <font>
      <sz val="10"/>
      <color theme="0" tint="-0.499984740745262"/>
      <name val="Calibri"/>
      <family val="2"/>
      <scheme val="minor"/>
    </font>
    <font>
      <b/>
      <sz val="14"/>
      <color indexed="9"/>
      <name val="Calibri"/>
      <family val="2"/>
    </font>
    <font>
      <sz val="13"/>
      <color rgb="FF0033CC"/>
      <name val="Calibri"/>
      <family val="2"/>
      <scheme val="minor"/>
    </font>
    <font>
      <sz val="12"/>
      <color theme="3" tint="-0.499984740745262"/>
      <name val="Calibri"/>
      <family val="2"/>
      <scheme val="minor"/>
    </font>
    <font>
      <b/>
      <sz val="12"/>
      <color theme="4"/>
      <name val="Calibri"/>
      <family val="2"/>
    </font>
    <font>
      <b/>
      <sz val="11"/>
      <color theme="9" tint="-0.249977111117893"/>
      <name val="Calibri"/>
      <family val="2"/>
      <scheme val="minor"/>
    </font>
    <font>
      <b/>
      <sz val="11"/>
      <color theme="6" tint="-0.499984740745262"/>
      <name val="Calibri"/>
      <family val="2"/>
      <scheme val="minor"/>
    </font>
    <font>
      <sz val="11"/>
      <color rgb="FF00B050"/>
      <name val="Calibri"/>
      <family val="2"/>
      <scheme val="minor"/>
    </font>
    <font>
      <b/>
      <sz val="11"/>
      <color rgb="FF0066CC"/>
      <name val="Calibri"/>
      <family val="2"/>
      <scheme val="minor"/>
    </font>
    <font>
      <b/>
      <sz val="14"/>
      <color indexed="10"/>
      <name val="Calibri"/>
      <family val="2"/>
    </font>
    <font>
      <b/>
      <sz val="12"/>
      <color indexed="10"/>
      <name val="Calibri"/>
      <family val="2"/>
    </font>
    <font>
      <sz val="11"/>
      <color rgb="FF0066CC"/>
      <name val="Calibri"/>
      <family val="2"/>
      <scheme val="minor"/>
    </font>
    <font>
      <b/>
      <sz val="14"/>
      <color theme="0"/>
      <name val="Calibri"/>
      <family val="2"/>
    </font>
    <font>
      <b/>
      <sz val="20"/>
      <color theme="9" tint="-0.249977111117893"/>
      <name val="Calibri"/>
      <family val="2"/>
      <scheme val="minor"/>
    </font>
    <font>
      <sz val="12"/>
      <color theme="9" tint="-0.249977111117893"/>
      <name val="Calibri"/>
      <family val="2"/>
      <scheme val="minor"/>
    </font>
    <font>
      <b/>
      <sz val="10"/>
      <color theme="9" tint="-0.249977111117893"/>
      <name val="Calibri"/>
      <family val="2"/>
      <scheme val="minor"/>
    </font>
    <font>
      <b/>
      <sz val="8"/>
      <color theme="9" tint="-0.249977111117893"/>
      <name val="Calibri"/>
      <family val="2"/>
      <scheme val="minor"/>
    </font>
    <font>
      <b/>
      <sz val="14"/>
      <color theme="9" tint="-0.249977111117893"/>
      <name val="Calibri"/>
      <family val="2"/>
      <scheme val="minor"/>
    </font>
    <font>
      <b/>
      <sz val="11"/>
      <color theme="6" tint="-0.249977111117893"/>
      <name val="Calibri"/>
      <family val="2"/>
      <scheme val="minor"/>
    </font>
    <font>
      <b/>
      <sz val="11"/>
      <color rgb="FFFF0000"/>
      <name val="Calibri"/>
      <family val="2"/>
      <scheme val="minor"/>
    </font>
    <font>
      <sz val="24"/>
      <color theme="9" tint="-0.249977111117893"/>
      <name val="Wingdings 3"/>
      <family val="1"/>
      <charset val="2"/>
    </font>
    <font>
      <b/>
      <sz val="11"/>
      <color indexed="12"/>
      <name val="Calibri"/>
      <family val="2"/>
      <scheme val="minor"/>
    </font>
    <font>
      <b/>
      <sz val="26"/>
      <name val="Calibri"/>
      <family val="2"/>
      <scheme val="minor"/>
    </font>
    <font>
      <b/>
      <sz val="28"/>
      <color rgb="FFCC99FF"/>
      <name val="Calibri"/>
      <family val="2"/>
      <scheme val="minor"/>
    </font>
    <font>
      <b/>
      <sz val="28"/>
      <color rgb="FF0066CC"/>
      <name val="Calibri"/>
      <family val="2"/>
      <scheme val="minor"/>
    </font>
    <font>
      <b/>
      <sz val="28"/>
      <color rgb="FF99CCFF"/>
      <name val="Calibri"/>
      <family val="2"/>
      <scheme val="minor"/>
    </font>
    <font>
      <b/>
      <sz val="28"/>
      <color rgb="FF0000FF"/>
      <name val="Calibri"/>
      <family val="2"/>
      <scheme val="minor"/>
    </font>
    <font>
      <b/>
      <sz val="28"/>
      <color rgb="FF00FF00"/>
      <name val="Calibri"/>
      <family val="2"/>
      <scheme val="minor"/>
    </font>
    <font>
      <b/>
      <sz val="28"/>
      <color rgb="FF993300"/>
      <name val="Calibri"/>
      <family val="2"/>
      <scheme val="minor"/>
    </font>
    <font>
      <b/>
      <sz val="28"/>
      <color rgb="FF99CC00"/>
      <name val="Calibri"/>
      <family val="2"/>
      <scheme val="minor"/>
    </font>
    <font>
      <b/>
      <sz val="28"/>
      <color rgb="FF008000"/>
      <name val="Calibri"/>
      <family val="2"/>
      <scheme val="minor"/>
    </font>
    <font>
      <b/>
      <sz val="28"/>
      <color rgb="FFFF99CC"/>
      <name val="Calibri"/>
      <family val="2"/>
      <scheme val="minor"/>
    </font>
    <font>
      <b/>
      <sz val="28"/>
      <color rgb="FFFFCC99"/>
      <name val="Calibri"/>
      <family val="2"/>
      <scheme val="minor"/>
    </font>
    <font>
      <b/>
      <sz val="28"/>
      <color rgb="FFFF6600"/>
      <name val="Calibri"/>
      <family val="2"/>
      <scheme val="minor"/>
    </font>
    <font>
      <b/>
      <sz val="28"/>
      <color rgb="FFFF0000"/>
      <name val="Calibri"/>
      <family val="2"/>
      <scheme val="minor"/>
    </font>
    <font>
      <b/>
      <sz val="28"/>
      <color rgb="FFFFCC00"/>
      <name val="Calibri"/>
      <family val="2"/>
      <scheme val="minor"/>
    </font>
    <font>
      <b/>
      <sz val="28"/>
      <color rgb="FF00CCFF"/>
      <name val="Calibri"/>
      <family val="2"/>
      <scheme val="minor"/>
    </font>
    <font>
      <sz val="28"/>
      <name val="Calibri"/>
      <family val="2"/>
      <scheme val="minor"/>
    </font>
    <font>
      <b/>
      <sz val="12"/>
      <color theme="0"/>
      <name val="Arial"/>
      <family val="2"/>
    </font>
    <font>
      <b/>
      <sz val="12"/>
      <color rgb="FFCC99FF"/>
      <name val="Calibri"/>
      <family val="2"/>
      <scheme val="minor"/>
    </font>
    <font>
      <b/>
      <sz val="12"/>
      <color rgb="FF0066CC"/>
      <name val="Calibri"/>
      <family val="2"/>
      <scheme val="minor"/>
    </font>
    <font>
      <b/>
      <sz val="12"/>
      <color rgb="FF993300"/>
      <name val="Calibri"/>
      <family val="2"/>
      <scheme val="minor"/>
    </font>
    <font>
      <b/>
      <sz val="12"/>
      <color rgb="FF99CC00"/>
      <name val="Calibri"/>
      <family val="2"/>
      <scheme val="minor"/>
    </font>
    <font>
      <b/>
      <sz val="12"/>
      <color rgb="FFFF00FF"/>
      <name val="Calibri"/>
      <family val="2"/>
      <scheme val="minor"/>
    </font>
    <font>
      <b/>
      <sz val="12"/>
      <color rgb="FFFFCC99"/>
      <name val="Calibri"/>
      <family val="2"/>
      <scheme val="minor"/>
    </font>
    <font>
      <b/>
      <sz val="12"/>
      <color rgb="FFFF6600"/>
      <name val="Calibri"/>
      <family val="2"/>
      <scheme val="minor"/>
    </font>
    <font>
      <b/>
      <sz val="12"/>
      <color rgb="FFFFCC00"/>
      <name val="Calibri"/>
      <family val="2"/>
      <scheme val="minor"/>
    </font>
    <font>
      <b/>
      <sz val="12"/>
      <color rgb="FF00CCFF"/>
      <name val="Calibri"/>
      <family val="2"/>
      <scheme val="minor"/>
    </font>
    <font>
      <b/>
      <sz val="12"/>
      <color rgb="FF99CCFF"/>
      <name val="Calibri"/>
      <family val="2"/>
      <scheme val="minor"/>
    </font>
    <font>
      <b/>
      <sz val="12"/>
      <color rgb="FF00FF00"/>
      <name val="Calibri"/>
      <family val="2"/>
      <scheme val="minor"/>
    </font>
    <font>
      <b/>
      <sz val="12"/>
      <color rgb="FFFF99CC"/>
      <name val="Calibri"/>
      <family val="2"/>
      <scheme val="minor"/>
    </font>
    <font>
      <sz val="22"/>
      <name val="Calibri"/>
      <family val="2"/>
      <scheme val="minor"/>
    </font>
    <font>
      <i/>
      <sz val="8"/>
      <name val="Calibri"/>
      <family val="2"/>
      <scheme val="minor"/>
    </font>
    <font>
      <b/>
      <sz val="11"/>
      <color indexed="16"/>
      <name val="Calibri"/>
      <family val="2"/>
      <scheme val="minor"/>
    </font>
    <font>
      <b/>
      <sz val="8"/>
      <color indexed="16"/>
      <name val="Calibri"/>
      <family val="2"/>
      <scheme val="minor"/>
    </font>
    <font>
      <b/>
      <sz val="8"/>
      <color theme="0"/>
      <name val="Calibri"/>
      <family val="2"/>
      <scheme val="minor"/>
    </font>
    <font>
      <b/>
      <sz val="10"/>
      <color indexed="17"/>
      <name val="Calibri"/>
      <family val="2"/>
      <scheme val="minor"/>
    </font>
    <font>
      <b/>
      <i/>
      <sz val="8"/>
      <name val="Calibri"/>
      <family val="2"/>
      <scheme val="minor"/>
    </font>
    <font>
      <sz val="8"/>
      <color theme="0"/>
      <name val="Calibri"/>
      <family val="2"/>
      <scheme val="minor"/>
    </font>
    <font>
      <b/>
      <sz val="11"/>
      <color indexed="17"/>
      <name val="Calibri"/>
      <family val="2"/>
      <scheme val="minor"/>
    </font>
    <font>
      <b/>
      <u/>
      <sz val="10"/>
      <color theme="0"/>
      <name val="Calibri"/>
      <family val="2"/>
      <scheme val="minor"/>
    </font>
    <font>
      <b/>
      <sz val="11"/>
      <color theme="0" tint="-4.9989318521683403E-2"/>
      <name val="Calibri"/>
      <family val="2"/>
      <scheme val="minor"/>
    </font>
    <font>
      <b/>
      <sz val="12"/>
      <color rgb="FF000000"/>
      <name val="Calibri"/>
      <family val="2"/>
      <scheme val="minor"/>
    </font>
    <font>
      <b/>
      <sz val="14"/>
      <color rgb="FF000000"/>
      <name val="Calibri"/>
      <family val="2"/>
      <scheme val="minor"/>
    </font>
    <font>
      <b/>
      <sz val="26"/>
      <color rgb="FF92D050"/>
      <name val="Calibri"/>
      <family val="2"/>
      <scheme val="minor"/>
    </font>
    <font>
      <sz val="48"/>
      <color rgb="FFC00000"/>
      <name val="Calibri"/>
      <family val="2"/>
      <scheme val="minor"/>
    </font>
    <font>
      <b/>
      <sz val="22"/>
      <color indexed="57"/>
      <name val="Calibri"/>
      <family val="2"/>
      <scheme val="minor"/>
    </font>
    <font>
      <sz val="22"/>
      <color indexed="57"/>
      <name val="Calibri"/>
      <family val="2"/>
      <scheme val="minor"/>
    </font>
    <font>
      <b/>
      <sz val="22"/>
      <name val="Calibri"/>
      <family val="2"/>
      <scheme val="minor"/>
    </font>
    <font>
      <b/>
      <sz val="18"/>
      <color rgb="FFC00000"/>
      <name val="Calibri"/>
      <family val="2"/>
      <scheme val="minor"/>
    </font>
    <font>
      <sz val="16"/>
      <color indexed="57"/>
      <name val="Calibri"/>
      <family val="2"/>
      <scheme val="minor"/>
    </font>
    <font>
      <b/>
      <sz val="16"/>
      <color rgb="FFC00000"/>
      <name val="Calibri"/>
      <family val="2"/>
      <scheme val="minor"/>
    </font>
    <font>
      <b/>
      <sz val="16"/>
      <color indexed="17"/>
      <name val="Calibri"/>
      <family val="2"/>
      <scheme val="minor"/>
    </font>
    <font>
      <sz val="36"/>
      <color rgb="FFC00000"/>
      <name val="Calibri"/>
      <family val="2"/>
      <scheme val="minor"/>
    </font>
    <font>
      <b/>
      <sz val="16"/>
      <color indexed="57"/>
      <name val="Calibri"/>
      <family val="2"/>
      <scheme val="minor"/>
    </font>
    <font>
      <b/>
      <sz val="16"/>
      <color indexed="10"/>
      <name val="Calibri"/>
      <family val="2"/>
      <scheme val="minor"/>
    </font>
    <font>
      <b/>
      <sz val="20"/>
      <color indexed="57"/>
      <name val="Calibri"/>
      <family val="2"/>
      <scheme val="minor"/>
    </font>
    <font>
      <b/>
      <sz val="10"/>
      <color indexed="9"/>
      <name val="Calibri"/>
      <family val="2"/>
      <scheme val="minor"/>
    </font>
    <font>
      <b/>
      <sz val="28"/>
      <color indexed="16"/>
      <name val="Calibri"/>
      <family val="2"/>
      <scheme val="minor"/>
    </font>
    <font>
      <sz val="36"/>
      <color theme="1"/>
      <name val="Calibri"/>
      <family val="2"/>
      <scheme val="minor"/>
    </font>
    <font>
      <sz val="18"/>
      <color rgb="FF0066FF"/>
      <name val="Calibri"/>
      <family val="2"/>
      <scheme val="minor"/>
    </font>
    <font>
      <sz val="18"/>
      <color theme="1"/>
      <name val="Calibri"/>
      <family val="2"/>
      <scheme val="minor"/>
    </font>
    <font>
      <b/>
      <sz val="14"/>
      <color rgb="FF008000"/>
      <name val="Calibri"/>
      <family val="2"/>
      <scheme val="minor"/>
    </font>
    <font>
      <b/>
      <sz val="12"/>
      <color indexed="60"/>
      <name val="Calibri"/>
      <family val="2"/>
      <scheme val="minor"/>
    </font>
    <font>
      <sz val="11"/>
      <color indexed="9"/>
      <name val="Calibri"/>
      <family val="2"/>
      <scheme val="minor"/>
    </font>
    <font>
      <b/>
      <sz val="12"/>
      <color theme="9" tint="-0.249977111117893"/>
      <name val="Calibri"/>
      <family val="2"/>
      <scheme val="minor"/>
    </font>
    <font>
      <b/>
      <sz val="18"/>
      <color rgb="FFFF0000"/>
      <name val="Calibri"/>
      <family val="2"/>
      <scheme val="minor"/>
    </font>
    <font>
      <b/>
      <sz val="18"/>
      <color indexed="12"/>
      <name val="Calibri"/>
      <family val="2"/>
      <scheme val="minor"/>
    </font>
    <font>
      <b/>
      <sz val="14"/>
      <color indexed="17"/>
      <name val="Calibri"/>
      <family val="2"/>
      <scheme val="minor"/>
    </font>
    <font>
      <b/>
      <sz val="18"/>
      <color theme="1"/>
      <name val="Calibri"/>
      <family val="2"/>
      <scheme val="minor"/>
    </font>
    <font>
      <b/>
      <sz val="12"/>
      <color theme="0" tint="-0.499984740745262"/>
      <name val="Calibri"/>
      <family val="2"/>
      <scheme val="minor"/>
    </font>
    <font>
      <b/>
      <sz val="14"/>
      <name val="Arial"/>
      <family val="2"/>
    </font>
    <font>
      <b/>
      <u/>
      <sz val="10"/>
      <name val="Arial"/>
      <family val="2"/>
    </font>
    <font>
      <b/>
      <u/>
      <sz val="14"/>
      <name val="Arial"/>
      <family val="2"/>
    </font>
    <font>
      <b/>
      <u/>
      <sz val="14"/>
      <color indexed="30"/>
      <name val="Calibri"/>
      <family val="2"/>
    </font>
    <font>
      <b/>
      <sz val="10"/>
      <name val="Arial"/>
      <family val="2"/>
    </font>
    <font>
      <b/>
      <sz val="16"/>
      <color indexed="8"/>
      <name val="Calibri"/>
      <family val="2"/>
    </font>
    <font>
      <sz val="11"/>
      <color indexed="9"/>
      <name val="Arial"/>
      <family val="2"/>
    </font>
    <font>
      <b/>
      <sz val="10"/>
      <color indexed="9"/>
      <name val="Arial"/>
      <family val="2"/>
    </font>
    <font>
      <sz val="12"/>
      <name val="Times New Roman"/>
      <family val="1"/>
    </font>
    <font>
      <b/>
      <sz val="16"/>
      <color theme="1"/>
      <name val="Calibri"/>
      <family val="2"/>
      <scheme val="minor"/>
    </font>
    <font>
      <b/>
      <sz val="11"/>
      <color theme="8"/>
      <name val="Calibri"/>
      <family val="2"/>
      <scheme val="minor"/>
    </font>
    <font>
      <b/>
      <sz val="11"/>
      <color theme="9"/>
      <name val="Calibri"/>
      <family val="2"/>
      <scheme val="minor"/>
    </font>
    <font>
      <b/>
      <sz val="18"/>
      <color rgb="FF20759D"/>
      <name val="Arial"/>
      <family val="2"/>
    </font>
    <font>
      <b/>
      <sz val="10"/>
      <color theme="0"/>
      <name val="Arial"/>
      <family val="2"/>
    </font>
    <font>
      <b/>
      <sz val="10"/>
      <color indexed="12"/>
      <name val="Arial"/>
      <family val="2"/>
    </font>
    <font>
      <b/>
      <sz val="10"/>
      <color indexed="10"/>
      <name val="Arial"/>
      <family val="2"/>
    </font>
    <font>
      <sz val="11"/>
      <color indexed="12"/>
      <name val="Arial"/>
      <family val="2"/>
    </font>
    <font>
      <sz val="12"/>
      <color indexed="12"/>
      <name val="Arial"/>
      <family val="2"/>
    </font>
    <font>
      <b/>
      <sz val="11"/>
      <color indexed="12"/>
      <name val="Arial"/>
      <family val="2"/>
    </font>
    <font>
      <sz val="11"/>
      <color indexed="10"/>
      <name val="Arial"/>
      <family val="2"/>
    </font>
    <font>
      <sz val="11"/>
      <name val="Calibri"/>
      <family val="2"/>
    </font>
    <font>
      <i/>
      <sz val="11"/>
      <name val="Calibri"/>
      <family val="2"/>
    </font>
    <font>
      <sz val="11"/>
      <color indexed="8"/>
      <name val="Rockwell"/>
      <family val="1"/>
    </font>
    <font>
      <b/>
      <sz val="14"/>
      <name val="Calibri"/>
      <family val="2"/>
    </font>
    <font>
      <sz val="12"/>
      <name val="Calibri"/>
      <family val="2"/>
    </font>
    <font>
      <b/>
      <sz val="12"/>
      <color indexed="57"/>
      <name val="Arial"/>
      <family val="2"/>
    </font>
    <font>
      <b/>
      <sz val="14"/>
      <color indexed="49"/>
      <name val="Calibri"/>
      <family val="2"/>
    </font>
    <font>
      <b/>
      <sz val="14"/>
      <color indexed="17"/>
      <name val="Calibri"/>
      <family val="2"/>
    </font>
    <font>
      <sz val="11"/>
      <color indexed="17"/>
      <name val="Calibri"/>
      <family val="2"/>
    </font>
    <font>
      <sz val="11"/>
      <color indexed="30"/>
      <name val="Calibri"/>
      <family val="2"/>
    </font>
    <font>
      <sz val="14"/>
      <name val="Rockwell"/>
      <family val="1"/>
    </font>
    <font>
      <b/>
      <sz val="11"/>
      <color indexed="8"/>
      <name val="Calibri"/>
      <family val="2"/>
    </font>
    <font>
      <b/>
      <sz val="12"/>
      <color indexed="12"/>
      <name val="Arial"/>
      <family val="2"/>
    </font>
    <font>
      <sz val="14"/>
      <color indexed="10"/>
      <name val="Rockwell"/>
      <family val="1"/>
    </font>
    <font>
      <b/>
      <sz val="14"/>
      <color indexed="62"/>
      <name val="Calibri"/>
      <family val="2"/>
    </font>
    <font>
      <b/>
      <i/>
      <sz val="12"/>
      <color indexed="60"/>
      <name val="Calibri"/>
      <family val="2"/>
    </font>
    <font>
      <sz val="12"/>
      <color indexed="10"/>
      <name val="Calibri"/>
      <family val="2"/>
    </font>
    <font>
      <b/>
      <sz val="12"/>
      <color indexed="30"/>
      <name val="Calibri"/>
      <family val="2"/>
    </font>
    <font>
      <sz val="14"/>
      <color indexed="12"/>
      <name val="Rockwell"/>
      <family val="1"/>
    </font>
    <font>
      <sz val="14"/>
      <color indexed="8"/>
      <name val="Rockwell"/>
      <family val="1"/>
    </font>
    <font>
      <b/>
      <sz val="12"/>
      <color indexed="10"/>
      <name val="Arial"/>
      <family val="2"/>
    </font>
    <font>
      <sz val="11"/>
      <color indexed="10"/>
      <name val="Calibri"/>
      <family val="2"/>
    </font>
    <font>
      <sz val="12"/>
      <color indexed="62"/>
      <name val="Calibri"/>
      <family val="2"/>
    </font>
    <font>
      <b/>
      <sz val="14"/>
      <color indexed="12"/>
      <name val="Calibri"/>
      <family val="2"/>
    </font>
    <font>
      <b/>
      <sz val="18"/>
      <color indexed="49"/>
      <name val="Arial"/>
      <family val="2"/>
    </font>
    <font>
      <b/>
      <sz val="12"/>
      <color theme="0" tint="-0.499984740745262"/>
      <name val="Arial"/>
      <family val="2"/>
    </font>
    <font>
      <sz val="10"/>
      <color theme="0" tint="-0.499984740745262"/>
      <name val="Arial"/>
      <family val="2"/>
    </font>
    <font>
      <b/>
      <sz val="11"/>
      <color theme="0" tint="-0.499984740745262"/>
      <name val="Arial"/>
      <family val="2"/>
    </font>
    <font>
      <b/>
      <sz val="12"/>
      <color rgb="FF0000FF"/>
      <name val="Arial"/>
      <family val="2"/>
    </font>
    <font>
      <b/>
      <sz val="10"/>
      <color rgb="FF0000FF"/>
      <name val="Arial"/>
      <family val="2"/>
    </font>
    <font>
      <b/>
      <sz val="10"/>
      <color indexed="10"/>
      <name val="MS Sans Serif"/>
    </font>
    <font>
      <sz val="11"/>
      <name val="MS Sans Serif"/>
      <family val="2"/>
    </font>
    <font>
      <b/>
      <sz val="14"/>
      <color theme="0"/>
      <name val="Arial"/>
      <family val="2"/>
    </font>
    <font>
      <sz val="8"/>
      <color theme="0" tint="-0.34998626667073579"/>
      <name val="Arial"/>
      <family val="2"/>
    </font>
    <font>
      <b/>
      <sz val="11"/>
      <color indexed="10"/>
      <name val="Arial"/>
      <family val="2"/>
    </font>
    <font>
      <b/>
      <sz val="14"/>
      <color indexed="10"/>
      <name val="Arial"/>
      <family val="2"/>
    </font>
    <font>
      <sz val="8"/>
      <color indexed="22"/>
      <name val="Arial"/>
      <family val="2"/>
    </font>
    <font>
      <b/>
      <sz val="11"/>
      <color theme="8"/>
      <name val="Arial"/>
      <family val="2"/>
    </font>
    <font>
      <sz val="10"/>
      <color theme="8"/>
      <name val="Arial"/>
      <family val="2"/>
    </font>
    <font>
      <sz val="11"/>
      <color theme="8"/>
      <name val="Calibri"/>
      <family val="2"/>
      <scheme val="minor"/>
    </font>
    <font>
      <b/>
      <sz val="10"/>
      <color theme="8"/>
      <name val="Arial"/>
      <family val="2"/>
    </font>
    <font>
      <b/>
      <sz val="12"/>
      <color theme="9" tint="-0.249977111117893"/>
      <name val="Arial"/>
      <family val="2"/>
    </font>
    <font>
      <b/>
      <sz val="20"/>
      <color indexed="12"/>
      <name val="Arial"/>
      <family val="2"/>
    </font>
    <font>
      <b/>
      <sz val="9"/>
      <name val="Arial"/>
      <family val="2"/>
    </font>
    <font>
      <sz val="8"/>
      <name val="MS Sans Serif"/>
      <family val="2"/>
    </font>
    <font>
      <sz val="10"/>
      <color indexed="22"/>
      <name val="Arial"/>
      <family val="2"/>
    </font>
    <font>
      <b/>
      <sz val="10"/>
      <color indexed="17"/>
      <name val="Arial"/>
      <family val="2"/>
    </font>
    <font>
      <b/>
      <sz val="8"/>
      <name val="Arial"/>
      <family val="2"/>
    </font>
    <font>
      <sz val="11"/>
      <color rgb="FF303030"/>
      <name val="Calibri"/>
      <family val="2"/>
      <scheme val="minor"/>
    </font>
    <font>
      <b/>
      <sz val="11"/>
      <color rgb="FF0000FF"/>
      <name val="ZDingbats"/>
    </font>
    <font>
      <i/>
      <sz val="11"/>
      <color rgb="FF303030"/>
      <name val="Calibri"/>
      <family val="2"/>
      <scheme val="minor"/>
    </font>
    <font>
      <i/>
      <sz val="11"/>
      <name val="Arial"/>
      <family val="2"/>
    </font>
    <font>
      <b/>
      <sz val="16"/>
      <color rgb="FF974807"/>
      <name val="Arial"/>
      <family val="2"/>
    </font>
    <font>
      <sz val="16"/>
      <color theme="0"/>
      <name val="Arial"/>
      <family val="2"/>
    </font>
    <font>
      <b/>
      <sz val="11"/>
      <color indexed="9"/>
      <name val="Arial"/>
      <family val="2"/>
    </font>
    <font>
      <i/>
      <sz val="11"/>
      <color indexed="9"/>
      <name val="Arial"/>
      <family val="2"/>
    </font>
    <font>
      <sz val="10"/>
      <color indexed="12"/>
      <name val="Arial"/>
      <family val="2"/>
    </font>
    <font>
      <sz val="10"/>
      <color indexed="9"/>
      <name val="Arial"/>
      <family val="2"/>
    </font>
    <font>
      <i/>
      <sz val="12"/>
      <color indexed="12"/>
      <name val="Arial"/>
      <family val="2"/>
    </font>
    <font>
      <b/>
      <u/>
      <sz val="12"/>
      <name val="Arial"/>
      <family val="2"/>
    </font>
    <font>
      <b/>
      <sz val="28"/>
      <color rgb="FF0070C0"/>
      <name val="Calibri"/>
      <family val="2"/>
      <scheme val="minor"/>
    </font>
    <font>
      <b/>
      <sz val="12"/>
      <color rgb="FF0070C0"/>
      <name val="Calibri"/>
      <family val="2"/>
      <scheme val="minor"/>
    </font>
    <font>
      <b/>
      <sz val="11"/>
      <color theme="0"/>
      <name val="Arial"/>
      <family val="2"/>
    </font>
    <font>
      <b/>
      <sz val="11"/>
      <color rgb="FF0070C0"/>
      <name val="Calibri"/>
      <family val="2"/>
      <scheme val="minor"/>
    </font>
    <font>
      <b/>
      <u/>
      <sz val="11"/>
      <color theme="10"/>
      <name val="Calibri"/>
      <family val="2"/>
      <scheme val="minor"/>
    </font>
    <font>
      <b/>
      <u/>
      <sz val="12"/>
      <color theme="10"/>
      <name val="Calibri"/>
      <family val="2"/>
      <scheme val="minor"/>
    </font>
    <font>
      <b/>
      <u/>
      <sz val="12"/>
      <color indexed="12"/>
      <name val="Calibri"/>
      <family val="2"/>
      <scheme val="minor"/>
    </font>
    <font>
      <sz val="16"/>
      <name val="Arial"/>
      <family val="2"/>
    </font>
    <font>
      <u/>
      <sz val="11"/>
      <color theme="10"/>
      <name val="Calibri"/>
      <family val="2"/>
    </font>
    <font>
      <sz val="11"/>
      <color theme="4" tint="-0.499984740745262"/>
      <name val="Arial"/>
      <family val="2"/>
    </font>
    <font>
      <sz val="12"/>
      <color theme="8" tint="-0.499984740745262"/>
      <name val="Calibri"/>
      <family val="2"/>
      <scheme val="minor"/>
    </font>
    <font>
      <sz val="10"/>
      <color rgb="FFFF0000"/>
      <name val="Arial"/>
      <family val="2"/>
    </font>
    <font>
      <b/>
      <sz val="12"/>
      <color rgb="FFFF0000"/>
      <name val="Arial"/>
      <family val="2"/>
    </font>
    <font>
      <b/>
      <sz val="8"/>
      <color indexed="81"/>
      <name val="Tahoma"/>
      <family val="2"/>
    </font>
    <font>
      <sz val="8"/>
      <color indexed="81"/>
      <name val="Tahoma"/>
      <family val="2"/>
    </font>
    <font>
      <sz val="10"/>
      <color indexed="81"/>
      <name val="Arial"/>
      <family val="2"/>
    </font>
    <font>
      <b/>
      <sz val="11"/>
      <color theme="4" tint="-0.249977111117893"/>
      <name val="Calibri"/>
      <family val="2"/>
      <scheme val="minor"/>
    </font>
    <font>
      <b/>
      <sz val="9"/>
      <color theme="6" tint="-0.249977111117893"/>
      <name val="Arial"/>
      <family val="2"/>
    </font>
    <font>
      <b/>
      <sz val="16"/>
      <color theme="6" tint="-0.249977111117893"/>
      <name val="Arial"/>
      <family val="2"/>
    </font>
    <font>
      <b/>
      <sz val="9"/>
      <color theme="9" tint="-0.249977111117893"/>
      <name val="Arial"/>
      <family val="2"/>
    </font>
    <font>
      <b/>
      <sz val="16"/>
      <color theme="9" tint="-0.249977111117893"/>
      <name val="Arial"/>
      <family val="2"/>
    </font>
    <font>
      <b/>
      <sz val="10"/>
      <color theme="4" tint="-0.249977111117893"/>
      <name val="Calibri"/>
      <family val="2"/>
      <scheme val="minor"/>
    </font>
    <font>
      <b/>
      <sz val="14"/>
      <color theme="1" tint="0.499984740745262"/>
      <name val="Calibri"/>
      <family val="2"/>
      <scheme val="minor"/>
    </font>
    <font>
      <u/>
      <sz val="14"/>
      <color theme="10"/>
      <name val="Calibri"/>
      <family val="2"/>
      <scheme val="minor"/>
    </font>
    <font>
      <b/>
      <sz val="9.9"/>
      <color rgb="FF434343"/>
      <name val="Arial"/>
      <family val="2"/>
    </font>
    <font>
      <sz val="9.9"/>
      <color rgb="FF434343"/>
      <name val="Arial"/>
      <family val="2"/>
    </font>
    <font>
      <b/>
      <sz val="24.2"/>
      <color rgb="FFEC3468"/>
      <name val="Times New Roman"/>
      <family val="1"/>
    </font>
    <font>
      <sz val="14"/>
      <color rgb="FFC00000"/>
      <name val="Calibri"/>
      <family val="2"/>
      <scheme val="minor"/>
    </font>
    <font>
      <b/>
      <sz val="7"/>
      <name val="Calibri"/>
      <family val="2"/>
      <scheme val="minor"/>
    </font>
    <font>
      <b/>
      <sz val="14"/>
      <color theme="6" tint="-0.249977111117893"/>
      <name val="Calibri"/>
      <family val="2"/>
      <scheme val="minor"/>
    </font>
    <font>
      <b/>
      <sz val="14"/>
      <color rgb="FF339933"/>
      <name val="Calibri"/>
      <family val="2"/>
      <scheme val="minor"/>
    </font>
    <font>
      <b/>
      <sz val="18"/>
      <color rgb="FF339933"/>
      <name val="Calibri"/>
      <family val="2"/>
      <scheme val="minor"/>
    </font>
    <font>
      <b/>
      <sz val="14"/>
      <color rgb="FFFF0000"/>
      <name val="Calibri"/>
      <family val="2"/>
      <scheme val="minor"/>
    </font>
    <font>
      <sz val="10"/>
      <color rgb="FF00B050"/>
      <name val="Calibri"/>
      <family val="2"/>
      <scheme val="minor"/>
    </font>
    <font>
      <b/>
      <sz val="20"/>
      <color rgb="FFFFFF00"/>
      <name val="Arial"/>
      <family val="2"/>
    </font>
    <font>
      <b/>
      <sz val="16"/>
      <color theme="0" tint="-4.9989318521683403E-2"/>
      <name val="Calibri"/>
      <family val="2"/>
      <scheme val="minor"/>
    </font>
    <font>
      <sz val="36"/>
      <color theme="9" tint="-0.249977111117893"/>
      <name val="Symbol"/>
      <family val="1"/>
      <charset val="2"/>
    </font>
    <font>
      <sz val="36"/>
      <color rgb="FFFF0000"/>
      <name val="MT Extra"/>
      <family val="1"/>
      <charset val="2"/>
    </font>
    <font>
      <sz val="26"/>
      <color rgb="FFFF0000"/>
      <name val="MT Extra"/>
      <family val="1"/>
      <charset val="2"/>
    </font>
    <font>
      <sz val="16"/>
      <color indexed="12"/>
      <name val="Arial"/>
      <family val="2"/>
    </font>
    <font>
      <sz val="24"/>
      <color indexed="9"/>
      <name val="Symbol"/>
      <family val="1"/>
      <charset val="2"/>
    </font>
    <font>
      <sz val="12"/>
      <color indexed="10"/>
      <name val="Arial"/>
      <family val="2"/>
    </font>
    <font>
      <sz val="16"/>
      <color indexed="10"/>
      <name val="Arial"/>
      <family val="2"/>
    </font>
    <font>
      <sz val="24"/>
      <color indexed="9"/>
      <name val="MT Extra"/>
      <family val="1"/>
      <charset val="2"/>
    </font>
    <font>
      <b/>
      <sz val="18"/>
      <color theme="0"/>
      <name val="Verdana"/>
      <family val="2"/>
    </font>
    <font>
      <sz val="12"/>
      <color indexed="9"/>
      <name val="Arial"/>
      <family val="2"/>
    </font>
    <font>
      <sz val="12"/>
      <name val="ZDingbats"/>
    </font>
    <font>
      <sz val="26"/>
      <color rgb="FF0000FF"/>
      <name val="Marlett"/>
      <charset val="2"/>
    </font>
    <font>
      <sz val="36"/>
      <color theme="5"/>
      <name val="ZDingbats"/>
    </font>
    <font>
      <sz val="24"/>
      <color indexed="9"/>
      <name val="Marlett"/>
      <charset val="2"/>
    </font>
    <font>
      <sz val="24"/>
      <color indexed="9"/>
      <name val="ZDingbats"/>
    </font>
    <font>
      <b/>
      <sz val="18"/>
      <name val="Verdana"/>
      <family val="2"/>
    </font>
    <font>
      <sz val="14"/>
      <color theme="8" tint="-0.249977111117893"/>
      <name val="Calibri"/>
      <family val="2"/>
    </font>
    <font>
      <sz val="14"/>
      <color rgb="FFC00000"/>
      <name val="Calibri"/>
      <family val="2"/>
    </font>
    <font>
      <sz val="14"/>
      <color theme="9" tint="-0.249977111117893"/>
      <name val="Calibri"/>
      <family val="2"/>
    </font>
    <font>
      <sz val="14"/>
      <name val="Calibri"/>
      <family val="2"/>
    </font>
    <font>
      <sz val="14"/>
      <color rgb="FF7030A0"/>
      <name val="Calibri"/>
      <family val="2"/>
    </font>
    <font>
      <sz val="14"/>
      <color theme="1" tint="0.34998626667073579"/>
      <name val="Calibri"/>
      <family val="2"/>
    </font>
    <font>
      <b/>
      <sz val="14"/>
      <color rgb="FF7030A0"/>
      <name val="Calibri"/>
      <family val="2"/>
    </font>
    <font>
      <sz val="14"/>
      <color theme="1" tint="0.499984740745262"/>
      <name val="Calibri"/>
      <family val="2"/>
    </font>
    <font>
      <sz val="14"/>
      <color theme="9" tint="0.39997558519241921"/>
      <name val="Calibri"/>
      <family val="2"/>
    </font>
    <font>
      <sz val="36"/>
      <color rgb="FF7030A0"/>
      <name val="Webdings"/>
      <family val="1"/>
      <charset val="2"/>
    </font>
    <font>
      <sz val="36"/>
      <color theme="9" tint="-0.249977111117893"/>
      <name val="Wingdings 3"/>
      <family val="1"/>
      <charset val="2"/>
    </font>
    <font>
      <sz val="14"/>
      <color theme="8" tint="0.39997558519241921"/>
      <name val="Calibri"/>
      <family val="2"/>
    </font>
    <font>
      <sz val="14"/>
      <color theme="7" tint="0.39997558519241921"/>
      <name val="Calibri"/>
      <family val="2"/>
    </font>
    <font>
      <sz val="14"/>
      <color theme="6" tint="0.39997558519241921"/>
      <name val="Calibri"/>
      <family val="2"/>
    </font>
    <font>
      <sz val="14"/>
      <color theme="5" tint="0.39997558519241921"/>
      <name val="Calibri"/>
      <family val="2"/>
    </font>
    <font>
      <sz val="14"/>
      <color theme="4" tint="0.39997558519241921"/>
      <name val="Calibri"/>
      <family val="2"/>
    </font>
    <font>
      <sz val="14"/>
      <color theme="3" tint="0.39997558519241921"/>
      <name val="Calibri"/>
      <family val="2"/>
    </font>
    <font>
      <sz val="14"/>
      <color theme="2" tint="-0.499984740745262"/>
      <name val="Calibri"/>
      <family val="2"/>
    </font>
    <font>
      <sz val="14"/>
      <color theme="1" tint="0.14999847407452621"/>
      <name val="Calibri"/>
      <family val="2"/>
    </font>
    <font>
      <sz val="14"/>
      <color theme="0" tint="-0.249977111117893"/>
      <name val="Calibri"/>
      <family val="2"/>
    </font>
    <font>
      <sz val="14"/>
      <color theme="9"/>
      <name val="Calibri"/>
      <family val="2"/>
    </font>
    <font>
      <sz val="14"/>
      <color theme="8"/>
      <name val="Calibri"/>
      <family val="2"/>
    </font>
    <font>
      <sz val="14"/>
      <color theme="7"/>
      <name val="Calibri"/>
      <family val="2"/>
    </font>
    <font>
      <sz val="14"/>
      <color theme="6"/>
      <name val="Calibri"/>
      <family val="2"/>
    </font>
    <font>
      <sz val="14"/>
      <color theme="4"/>
      <name val="Calibri"/>
      <family val="2"/>
    </font>
    <font>
      <sz val="14"/>
      <color theme="5"/>
      <name val="Calibri"/>
      <family val="2"/>
    </font>
    <font>
      <sz val="24"/>
      <name val="Wingdings 3"/>
      <family val="1"/>
      <charset val="2"/>
    </font>
    <font>
      <b/>
      <sz val="20"/>
      <name val="Arial Narrow"/>
      <family val="2"/>
    </font>
    <font>
      <b/>
      <sz val="14"/>
      <color rgb="FFFF0000"/>
      <name val="Calibri"/>
      <family val="2"/>
    </font>
    <font>
      <sz val="14"/>
      <color theme="3"/>
      <name val="Calibri"/>
      <family val="2"/>
    </font>
    <font>
      <sz val="24"/>
      <name val="Wingdings 2"/>
      <family val="1"/>
      <charset val="2"/>
    </font>
    <font>
      <sz val="20"/>
      <name val="Calibri"/>
      <family val="2"/>
    </font>
    <font>
      <sz val="9"/>
      <name val="Calibri"/>
      <family val="2"/>
    </font>
    <font>
      <sz val="18"/>
      <name val="Calibri"/>
      <family val="2"/>
    </font>
    <font>
      <sz val="24"/>
      <name val="Wingdings"/>
      <charset val="2"/>
    </font>
    <font>
      <sz val="20"/>
      <name val="Arial Narrow"/>
      <family val="2"/>
    </font>
    <font>
      <sz val="24"/>
      <name val="Webdings"/>
      <family val="1"/>
      <charset val="2"/>
    </font>
    <font>
      <b/>
      <sz val="16"/>
      <name val="Calibri"/>
      <family val="2"/>
    </font>
    <font>
      <sz val="24"/>
      <name val="Arial Narrow"/>
      <family val="2"/>
    </font>
    <font>
      <b/>
      <sz val="24"/>
      <name val="Arial Narrow"/>
      <family val="2"/>
    </font>
    <font>
      <b/>
      <sz val="24"/>
      <name val="Arial"/>
      <family val="2"/>
    </font>
    <font>
      <b/>
      <sz val="18"/>
      <name val="Arial Narrow"/>
      <family val="2"/>
    </font>
    <font>
      <sz val="24"/>
      <color indexed="9"/>
      <name val="Webdings"/>
      <family val="1"/>
      <charset val="2"/>
    </font>
    <font>
      <b/>
      <sz val="24"/>
      <color indexed="9"/>
      <name val="Wingdings 3"/>
      <family val="1"/>
      <charset val="2"/>
    </font>
    <font>
      <sz val="36"/>
      <color rgb="FFFF0000"/>
      <name val="Wingdings 2"/>
      <family val="1"/>
      <charset val="2"/>
    </font>
    <font>
      <b/>
      <sz val="28"/>
      <name val="Arial"/>
      <family val="2"/>
    </font>
    <font>
      <sz val="36"/>
      <color rgb="FF0000FF"/>
      <name val="Wingdings"/>
      <charset val="2"/>
    </font>
    <font>
      <sz val="24"/>
      <color rgb="FF0000FF"/>
      <name val="Wingdings"/>
      <charset val="2"/>
    </font>
    <font>
      <sz val="26"/>
      <name val="Wingdings 3"/>
      <family val="1"/>
      <charset val="2"/>
    </font>
    <font>
      <sz val="26"/>
      <name val="Wingdings 2"/>
      <family val="1"/>
      <charset val="2"/>
    </font>
    <font>
      <sz val="26"/>
      <name val="Wingdings"/>
      <charset val="2"/>
    </font>
    <font>
      <sz val="26"/>
      <name val="Webdings"/>
      <family val="1"/>
      <charset val="2"/>
    </font>
    <font>
      <b/>
      <sz val="16"/>
      <name val="Arial Narrow"/>
      <family val="2"/>
    </font>
    <font>
      <sz val="16"/>
      <color rgb="FFFF0000"/>
      <name val="Arial"/>
      <family val="2"/>
    </font>
    <font>
      <sz val="24"/>
      <color indexed="9"/>
      <name val="Wingdings 2"/>
      <family val="1"/>
      <charset val="2"/>
    </font>
    <font>
      <sz val="24"/>
      <color indexed="9"/>
      <name val="Wingdings"/>
      <charset val="2"/>
    </font>
    <font>
      <sz val="10"/>
      <name val="Verdana"/>
      <family val="2"/>
    </font>
    <font>
      <b/>
      <sz val="14"/>
      <name val="Verdana"/>
      <family val="2"/>
    </font>
    <font>
      <b/>
      <sz val="12"/>
      <name val="Verdana"/>
      <family val="2"/>
    </font>
    <font>
      <b/>
      <sz val="22"/>
      <name val="Verdana"/>
      <family val="2"/>
    </font>
    <font>
      <b/>
      <sz val="16"/>
      <color rgb="FFFFFF00"/>
      <name val="Arial"/>
      <family val="2"/>
    </font>
    <font>
      <sz val="36"/>
      <color rgb="FF00B050"/>
      <name val="Calibri"/>
      <family val="2"/>
      <scheme val="minor"/>
    </font>
    <font>
      <sz val="36"/>
      <color rgb="FFFF0000"/>
      <name val="Calibri"/>
      <family val="2"/>
      <scheme val="minor"/>
    </font>
    <font>
      <u/>
      <sz val="16"/>
      <color indexed="12"/>
      <name val="Calibri"/>
      <family val="2"/>
      <scheme val="minor"/>
    </font>
    <font>
      <sz val="37"/>
      <color rgb="FFFF0000"/>
      <name val="Calibri"/>
      <family val="2"/>
      <scheme val="minor"/>
    </font>
    <font>
      <sz val="37"/>
      <color rgb="FF333333"/>
      <name val="Calibri"/>
      <family val="2"/>
      <scheme val="minor"/>
    </font>
    <font>
      <sz val="36"/>
      <color rgb="FF333333"/>
      <name val="Calibri"/>
      <family val="2"/>
      <scheme val="minor"/>
    </font>
    <font>
      <sz val="10"/>
      <name val="Segoe UI Emoji"/>
      <family val="2"/>
    </font>
    <font>
      <b/>
      <sz val="10"/>
      <name val="Segoe UI Emoji"/>
      <family val="2"/>
    </font>
    <font>
      <sz val="22"/>
      <color rgb="FF333333"/>
      <name val="Segoe UI Emoji"/>
      <family val="2"/>
    </font>
    <font>
      <sz val="11"/>
      <name val="Segoe UI Emoji"/>
      <family val="2"/>
    </font>
    <font>
      <sz val="16"/>
      <color rgb="FFC00000"/>
      <name val="Calibri"/>
      <family val="2"/>
      <scheme val="minor"/>
    </font>
    <font>
      <u/>
      <sz val="10"/>
      <color indexed="12"/>
      <name val="Calibri"/>
      <family val="2"/>
      <scheme val="minor"/>
    </font>
    <font>
      <sz val="26"/>
      <color rgb="FF00B050"/>
      <name val="Calibri"/>
      <family val="2"/>
      <scheme val="minor"/>
    </font>
    <font>
      <b/>
      <sz val="26"/>
      <color theme="0"/>
      <name val="Calibri"/>
      <family val="2"/>
      <scheme val="minor"/>
    </font>
    <font>
      <b/>
      <sz val="28"/>
      <color theme="0"/>
      <name val="Calibri"/>
      <family val="2"/>
      <scheme val="minor"/>
    </font>
    <font>
      <i/>
      <sz val="14"/>
      <name val="Calibri"/>
      <family val="2"/>
      <scheme val="minor"/>
    </font>
    <font>
      <sz val="14"/>
      <color theme="0"/>
      <name val="Arial"/>
      <family val="2"/>
    </font>
    <font>
      <i/>
      <sz val="14"/>
      <color theme="0"/>
      <name val="Calibri"/>
      <family val="2"/>
      <scheme val="minor"/>
    </font>
    <font>
      <u/>
      <sz val="16"/>
      <color indexed="12"/>
      <name val="Arial"/>
      <family val="2"/>
    </font>
    <font>
      <sz val="16"/>
      <color rgb="FFFFFF00"/>
      <name val="Calibri"/>
      <family val="2"/>
      <scheme val="minor"/>
    </font>
    <font>
      <sz val="16"/>
      <color theme="0"/>
      <name val="Calibri"/>
      <family val="2"/>
      <scheme val="minor"/>
    </font>
    <font>
      <b/>
      <sz val="18"/>
      <color rgb="FFFFFF00"/>
      <name val="Calibri"/>
      <family val="2"/>
      <scheme val="minor"/>
    </font>
    <font>
      <sz val="16"/>
      <color theme="1"/>
      <name val="Calibri"/>
      <family val="2"/>
      <scheme val="minor"/>
    </font>
    <font>
      <i/>
      <sz val="16"/>
      <color theme="0"/>
      <name val="Calibri"/>
      <family val="2"/>
      <scheme val="minor"/>
    </font>
    <font>
      <b/>
      <sz val="16"/>
      <color rgb="FF000000"/>
      <name val="Calibri"/>
      <family val="2"/>
      <scheme val="minor"/>
    </font>
    <font>
      <b/>
      <sz val="16"/>
      <color rgb="FF0000FF"/>
      <name val="Calibri"/>
      <family val="2"/>
      <scheme val="minor"/>
    </font>
    <font>
      <sz val="14"/>
      <color rgb="FFFFFF00"/>
      <name val="Calibri"/>
      <family val="2"/>
      <scheme val="minor"/>
    </font>
    <font>
      <b/>
      <sz val="16"/>
      <color rgb="FFC00000"/>
      <name val="Arial"/>
      <family val="2"/>
    </font>
    <font>
      <b/>
      <sz val="16"/>
      <color rgb="FFFFFF00"/>
      <name val="Calibri"/>
      <family val="2"/>
      <scheme val="minor"/>
    </font>
    <font>
      <i/>
      <sz val="18"/>
      <color theme="0"/>
      <name val="Calibri"/>
      <family val="2"/>
      <scheme val="minor"/>
    </font>
    <font>
      <u/>
      <sz val="10"/>
      <color theme="10"/>
      <name val="Arial"/>
      <family val="2"/>
    </font>
    <font>
      <b/>
      <u/>
      <sz val="18"/>
      <color theme="10"/>
      <name val="Calibri"/>
      <family val="2"/>
      <scheme val="minor"/>
    </font>
    <font>
      <sz val="18"/>
      <color rgb="FF222222"/>
      <name val="Arial"/>
      <family val="2"/>
    </font>
    <font>
      <b/>
      <sz val="22"/>
      <color theme="1"/>
      <name val="Calibri"/>
      <family val="2"/>
      <scheme val="minor"/>
    </font>
    <font>
      <sz val="10"/>
      <color theme="0" tint="-4.9989318521683403E-2"/>
      <name val="Arial"/>
      <family val="2"/>
    </font>
    <font>
      <sz val="20"/>
      <color theme="0" tint="-4.9989318521683403E-2"/>
      <name val="Arial"/>
      <family val="2"/>
    </font>
    <font>
      <sz val="12"/>
      <color rgb="FFFFFF00"/>
      <name val="Calibri"/>
      <family val="2"/>
      <scheme val="minor"/>
    </font>
    <font>
      <b/>
      <sz val="22"/>
      <color rgb="FF92D050"/>
      <name val="Verdana"/>
      <family val="2"/>
    </font>
    <font>
      <i/>
      <sz val="14"/>
      <color theme="0"/>
      <name val="Verdana"/>
      <family val="2"/>
    </font>
    <font>
      <b/>
      <sz val="14"/>
      <color rgb="FF92D050"/>
      <name val="Arial"/>
      <family val="2"/>
    </font>
    <font>
      <b/>
      <u/>
      <sz val="14"/>
      <color indexed="12"/>
      <name val="Arial"/>
      <family val="2"/>
    </font>
    <font>
      <sz val="12"/>
      <color rgb="FFFFFF00"/>
      <name val="Verdana"/>
      <family val="2"/>
    </font>
    <font>
      <u/>
      <sz val="12"/>
      <color indexed="12"/>
      <name val="Calibri"/>
      <family val="2"/>
      <scheme val="minor"/>
    </font>
    <font>
      <sz val="12"/>
      <color rgb="FF202124"/>
      <name val="Calibri"/>
      <family val="2"/>
      <scheme val="minor"/>
    </font>
    <font>
      <b/>
      <sz val="12"/>
      <color rgb="FF202124"/>
      <name val="Calibri"/>
      <family val="2"/>
      <scheme val="minor"/>
    </font>
    <font>
      <sz val="18"/>
      <color rgb="FF00B050"/>
      <name val="Calibri"/>
      <family val="2"/>
      <scheme val="minor"/>
    </font>
    <font>
      <sz val="22"/>
      <color rgb="FF00B050"/>
      <name val="Calibri"/>
      <family val="2"/>
      <scheme val="minor"/>
    </font>
    <font>
      <sz val="11"/>
      <color indexed="8"/>
      <name val="Calibri"/>
      <family val="2"/>
    </font>
    <font>
      <sz val="14"/>
      <color indexed="8"/>
      <name val="Times New Roman"/>
      <family val="1"/>
    </font>
    <font>
      <sz val="10"/>
      <color indexed="8"/>
      <name val="Arial"/>
      <family val="2"/>
    </font>
    <font>
      <sz val="10"/>
      <color indexed="63"/>
      <name val="Arial"/>
      <family val="2"/>
    </font>
    <font>
      <sz val="10"/>
      <color indexed="62"/>
      <name val="Arial"/>
      <family val="2"/>
    </font>
    <font>
      <sz val="10"/>
      <color indexed="25"/>
      <name val="Arial"/>
      <family val="2"/>
    </font>
    <font>
      <sz val="10"/>
      <color indexed="60"/>
      <name val="Arial"/>
      <family val="2"/>
    </font>
    <font>
      <sz val="10"/>
      <color indexed="59"/>
      <name val="Arial"/>
      <family val="2"/>
    </font>
    <font>
      <sz val="10"/>
      <color indexed="58"/>
      <name val="Arial"/>
      <family val="2"/>
    </font>
    <font>
      <sz val="10"/>
      <color indexed="57"/>
      <name val="Arial"/>
      <family val="2"/>
    </font>
    <font>
      <sz val="10"/>
      <color indexed="56"/>
      <name val="Arial"/>
      <family val="2"/>
    </font>
    <font>
      <sz val="10"/>
      <color indexed="55"/>
      <name val="Arial"/>
      <family val="2"/>
    </font>
    <font>
      <sz val="10"/>
      <color indexed="54"/>
      <name val="Arial"/>
      <family val="2"/>
    </font>
    <font>
      <sz val="10"/>
      <color indexed="53"/>
      <name val="Arial"/>
      <family val="2"/>
    </font>
    <font>
      <sz val="10"/>
      <color indexed="52"/>
      <name val="Arial"/>
      <family val="2"/>
    </font>
    <font>
      <sz val="10"/>
      <color indexed="51"/>
      <name val="Arial"/>
      <family val="2"/>
    </font>
    <font>
      <sz val="10"/>
      <color indexed="50"/>
      <name val="Arial"/>
      <family val="2"/>
    </font>
    <font>
      <sz val="10"/>
      <color indexed="49"/>
      <name val="Arial"/>
      <family val="2"/>
    </font>
    <font>
      <sz val="10"/>
      <color indexed="48"/>
      <name val="Arial"/>
      <family val="2"/>
    </font>
    <font>
      <sz val="10"/>
      <color indexed="47"/>
      <name val="Arial"/>
      <family val="2"/>
    </font>
    <font>
      <sz val="10"/>
      <color indexed="46"/>
      <name val="Arial"/>
      <family val="2"/>
    </font>
    <font>
      <sz val="10"/>
      <color indexed="45"/>
      <name val="Arial"/>
      <family val="2"/>
    </font>
    <font>
      <sz val="10"/>
      <color indexed="44"/>
      <name val="Arial"/>
      <family val="2"/>
    </font>
    <font>
      <sz val="10"/>
      <color indexed="43"/>
      <name val="Arial"/>
      <family val="2"/>
    </font>
    <font>
      <sz val="10"/>
      <color indexed="42"/>
      <name val="Arial"/>
      <family val="2"/>
    </font>
    <font>
      <sz val="10"/>
      <color indexed="27"/>
      <name val="Arial"/>
      <family val="2"/>
    </font>
    <font>
      <sz val="10"/>
      <color indexed="40"/>
      <name val="Arial"/>
      <family val="2"/>
    </font>
    <font>
      <sz val="10"/>
      <color indexed="21"/>
      <name val="Arial"/>
      <family val="2"/>
    </font>
    <font>
      <sz val="10"/>
      <color indexed="16"/>
      <name val="Arial"/>
      <family val="2"/>
    </font>
    <font>
      <sz val="10"/>
      <color indexed="20"/>
      <name val="Arial"/>
      <family val="2"/>
    </font>
    <font>
      <sz val="10"/>
      <color indexed="15"/>
      <name val="Arial"/>
      <family val="2"/>
    </font>
    <font>
      <sz val="10"/>
      <color indexed="13"/>
      <name val="Arial"/>
      <family val="2"/>
    </font>
    <font>
      <sz val="10"/>
      <color indexed="14"/>
      <name val="Arial"/>
      <family val="2"/>
    </font>
    <font>
      <sz val="10"/>
      <color indexed="18"/>
      <name val="Arial"/>
      <family val="2"/>
    </font>
    <font>
      <sz val="10"/>
      <color indexed="31"/>
      <name val="Arial"/>
      <family val="2"/>
    </font>
    <font>
      <sz val="10"/>
      <color indexed="30"/>
      <name val="Arial"/>
      <family val="2"/>
    </font>
    <font>
      <sz val="10"/>
      <color indexed="29"/>
      <name val="Arial"/>
      <family val="2"/>
    </font>
    <font>
      <sz val="10"/>
      <color indexed="28"/>
      <name val="Arial"/>
      <family val="2"/>
    </font>
    <font>
      <sz val="10"/>
      <color indexed="24"/>
      <name val="Arial"/>
      <family val="2"/>
    </font>
    <font>
      <sz val="10"/>
      <color indexed="23"/>
      <name val="Arial"/>
      <family val="2"/>
    </font>
    <font>
      <sz val="10"/>
      <color indexed="19"/>
      <name val="Arial"/>
      <family val="2"/>
    </font>
    <font>
      <sz val="10"/>
      <color indexed="17"/>
      <name val="Arial"/>
      <family val="2"/>
    </font>
    <font>
      <b/>
      <sz val="12"/>
      <color indexed="9"/>
      <name val="Arial"/>
      <family val="2"/>
    </font>
    <font>
      <b/>
      <sz val="10"/>
      <color indexed="8"/>
      <name val="Arial"/>
      <family val="2"/>
    </font>
    <font>
      <sz val="10"/>
      <color indexed="11"/>
      <name val="Arial"/>
      <family val="2"/>
    </font>
    <font>
      <sz val="10"/>
      <color indexed="10"/>
      <name val="Arial"/>
      <family val="2"/>
    </font>
    <font>
      <i/>
      <sz val="10"/>
      <color indexed="8"/>
      <name val="Arial"/>
      <family val="2"/>
    </font>
    <font>
      <b/>
      <sz val="14"/>
      <color rgb="FF0070C0"/>
      <name val="Calibri"/>
      <family val="2"/>
      <scheme val="minor"/>
    </font>
    <font>
      <sz val="10"/>
      <color indexed="26"/>
      <name val="Arial"/>
      <family val="2"/>
    </font>
    <font>
      <u/>
      <sz val="11"/>
      <color indexed="12"/>
      <name val="Arial"/>
      <family val="2"/>
    </font>
    <font>
      <b/>
      <sz val="14"/>
      <color theme="0" tint="-4.9989318521683403E-2"/>
      <name val="Calibri"/>
      <family val="2"/>
      <scheme val="minor"/>
    </font>
    <font>
      <sz val="14"/>
      <name val="Verdana"/>
      <family val="2"/>
    </font>
    <font>
      <sz val="9"/>
      <name val="Arial"/>
      <family val="2"/>
    </font>
    <font>
      <b/>
      <sz val="8"/>
      <color indexed="10"/>
      <name val="Arial"/>
      <family val="2"/>
    </font>
    <font>
      <b/>
      <sz val="11"/>
      <color indexed="17"/>
      <name val="Arial"/>
      <family val="2"/>
    </font>
    <font>
      <vertAlign val="superscript"/>
      <sz val="9"/>
      <name val="Arial"/>
      <family val="2"/>
    </font>
    <font>
      <vertAlign val="superscript"/>
      <sz val="8"/>
      <name val="Arial"/>
      <family val="2"/>
    </font>
    <font>
      <b/>
      <vertAlign val="superscript"/>
      <sz val="8"/>
      <name val="Arial"/>
      <family val="2"/>
    </font>
    <font>
      <b/>
      <vertAlign val="superscript"/>
      <sz val="9"/>
      <name val="Arial"/>
      <family val="2"/>
    </font>
    <font>
      <sz val="7"/>
      <name val="Arial"/>
      <family val="2"/>
    </font>
    <font>
      <b/>
      <vertAlign val="superscript"/>
      <sz val="8"/>
      <color indexed="17"/>
      <name val="Arial"/>
      <family val="2"/>
    </font>
    <font>
      <b/>
      <sz val="8"/>
      <color indexed="17"/>
      <name val="Arial"/>
      <family val="2"/>
    </font>
    <font>
      <b/>
      <sz val="11"/>
      <color rgb="FF0000FF"/>
      <name val="Arial"/>
      <family val="2"/>
    </font>
    <font>
      <vertAlign val="superscript"/>
      <sz val="11"/>
      <color indexed="12"/>
      <name val="Arial"/>
      <family val="2"/>
    </font>
    <font>
      <b/>
      <vertAlign val="superscript"/>
      <sz val="11"/>
      <color indexed="12"/>
      <name val="Arial"/>
      <family val="2"/>
    </font>
    <font>
      <b/>
      <vertAlign val="superscript"/>
      <sz val="11"/>
      <color indexed="17"/>
      <name val="Arial"/>
      <family val="2"/>
    </font>
    <font>
      <b/>
      <sz val="9"/>
      <color indexed="10"/>
      <name val="Arial"/>
      <family val="2"/>
    </font>
    <font>
      <b/>
      <sz val="9"/>
      <color indexed="48"/>
      <name val="Arial"/>
      <family val="2"/>
    </font>
    <font>
      <b/>
      <sz val="9"/>
      <color indexed="17"/>
      <name val="Arial"/>
      <family val="2"/>
    </font>
    <font>
      <sz val="8"/>
      <color indexed="10"/>
      <name val="Arial"/>
      <family val="2"/>
    </font>
    <font>
      <sz val="8"/>
      <color indexed="17"/>
      <name val="Arial"/>
      <family val="2"/>
    </font>
    <font>
      <b/>
      <sz val="12"/>
      <color indexed="17"/>
      <name val="Arial"/>
      <family val="2"/>
    </font>
    <font>
      <b/>
      <i/>
      <sz val="9"/>
      <name val="Arial"/>
      <family val="2"/>
    </font>
    <font>
      <sz val="8"/>
      <color indexed="12"/>
      <name val="Arial"/>
      <family val="2"/>
    </font>
    <font>
      <b/>
      <i/>
      <sz val="11"/>
      <name val="Arial"/>
      <family val="2"/>
    </font>
    <font>
      <sz val="7"/>
      <color indexed="12"/>
      <name val="Arial"/>
      <family val="2"/>
    </font>
    <font>
      <b/>
      <sz val="12"/>
      <color theme="8"/>
      <name val="Calibri"/>
      <family val="2"/>
      <scheme val="minor"/>
    </font>
    <font>
      <b/>
      <sz val="8"/>
      <color indexed="12"/>
      <name val="Arial"/>
      <family val="2"/>
    </font>
    <font>
      <i/>
      <sz val="9"/>
      <name val="Arial"/>
      <family val="2"/>
    </font>
    <font>
      <sz val="8"/>
      <color indexed="12"/>
      <name val="Calibri"/>
      <family val="2"/>
      <scheme val="minor"/>
    </font>
    <font>
      <b/>
      <sz val="11"/>
      <color indexed="48"/>
      <name val="Arial"/>
      <family val="2"/>
    </font>
    <font>
      <sz val="20"/>
      <color rgb="FF92D050"/>
      <name val="Arial"/>
      <family val="2"/>
    </font>
    <font>
      <b/>
      <sz val="14"/>
      <color indexed="10"/>
      <name val="Calibri"/>
      <family val="2"/>
      <scheme val="minor"/>
    </font>
    <font>
      <b/>
      <i/>
      <sz val="16"/>
      <name val="Arial"/>
      <family val="2"/>
    </font>
    <font>
      <b/>
      <sz val="10"/>
      <color rgb="FFFF0000"/>
      <name val="Arial"/>
      <family val="2"/>
    </font>
    <font>
      <b/>
      <i/>
      <sz val="14"/>
      <name val="Arial"/>
      <family val="2"/>
    </font>
    <font>
      <b/>
      <sz val="16"/>
      <color indexed="12"/>
      <name val="Arial"/>
      <family val="2"/>
    </font>
    <font>
      <b/>
      <sz val="25"/>
      <name val="Arial"/>
      <family val="2"/>
    </font>
    <font>
      <b/>
      <sz val="2"/>
      <name val="Arial"/>
      <family val="2"/>
    </font>
    <font>
      <b/>
      <sz val="10"/>
      <color theme="9" tint="-0.499984740745262"/>
      <name val="Arial"/>
      <family val="2"/>
    </font>
    <font>
      <b/>
      <sz val="36"/>
      <color rgb="FF92D050"/>
      <name val="Calibri"/>
      <family val="2"/>
      <scheme val="minor"/>
    </font>
  </fonts>
  <fills count="184">
    <fill>
      <patternFill patternType="none"/>
    </fill>
    <fill>
      <patternFill patternType="gray125"/>
    </fill>
    <fill>
      <patternFill patternType="solid">
        <fgColor rgb="FFC00000"/>
        <bgColor indexed="64"/>
      </patternFill>
    </fill>
    <fill>
      <patternFill patternType="solid">
        <fgColor theme="0" tint="-0.14999847407452621"/>
        <bgColor indexed="64"/>
      </patternFill>
    </fill>
    <fill>
      <patternFill patternType="solid">
        <fgColor theme="0"/>
        <bgColor indexed="64"/>
      </patternFill>
    </fill>
    <fill>
      <patternFill patternType="solid">
        <fgColor indexed="53"/>
        <bgColor indexed="64"/>
      </patternFill>
    </fill>
    <fill>
      <patternFill patternType="solid">
        <fgColor indexed="9"/>
        <bgColor indexed="64"/>
      </patternFill>
    </fill>
    <fill>
      <patternFill patternType="solid">
        <fgColor rgb="FFFFFFCC"/>
        <bgColor indexed="64"/>
      </patternFill>
    </fill>
    <fill>
      <patternFill patternType="solid">
        <fgColor rgb="FF99CC00"/>
        <bgColor indexed="15"/>
      </patternFill>
    </fill>
    <fill>
      <patternFill patternType="solid">
        <fgColor rgb="FFFFC000"/>
        <bgColor indexed="64"/>
      </patternFill>
    </fill>
    <fill>
      <patternFill patternType="solid">
        <fgColor theme="0"/>
        <bgColor indexed="50"/>
      </patternFill>
    </fill>
    <fill>
      <patternFill patternType="solid">
        <fgColor theme="0"/>
        <bgColor indexed="34"/>
      </patternFill>
    </fill>
    <fill>
      <patternFill patternType="solid">
        <fgColor rgb="FF92D050"/>
        <bgColor indexed="64"/>
      </patternFill>
    </fill>
    <fill>
      <patternFill patternType="solid">
        <fgColor theme="9" tint="0.79998168889431442"/>
        <bgColor indexed="64"/>
      </patternFill>
    </fill>
    <fill>
      <patternFill patternType="solid">
        <fgColor theme="0"/>
        <bgColor indexed="15"/>
      </patternFill>
    </fill>
    <fill>
      <patternFill patternType="solid">
        <fgColor theme="0" tint="-4.9989318521683403E-2"/>
        <bgColor indexed="64"/>
      </patternFill>
    </fill>
    <fill>
      <patternFill patternType="solid">
        <fgColor rgb="FFC00000"/>
        <bgColor theme="0"/>
      </patternFill>
    </fill>
    <fill>
      <patternFill patternType="solid">
        <fgColor rgb="FFFFFF00"/>
        <bgColor indexed="64"/>
      </patternFill>
    </fill>
    <fill>
      <patternFill patternType="solid">
        <fgColor theme="0" tint="-4.9989318521683403E-2"/>
        <bgColor indexed="9"/>
      </patternFill>
    </fill>
    <fill>
      <patternFill patternType="solid">
        <fgColor rgb="FFFF6600"/>
        <bgColor indexed="64"/>
      </patternFill>
    </fill>
    <fill>
      <patternFill patternType="solid">
        <fgColor theme="0" tint="-0.499984740745262"/>
        <bgColor indexed="64"/>
      </patternFill>
    </fill>
    <fill>
      <patternFill patternType="solid">
        <fgColor theme="0"/>
        <bgColor indexed="9"/>
      </patternFill>
    </fill>
    <fill>
      <patternFill patternType="solid">
        <fgColor rgb="FFCCCCFF"/>
        <bgColor indexed="64"/>
      </patternFill>
    </fill>
    <fill>
      <patternFill patternType="solid">
        <fgColor theme="1" tint="4.9989318521683403E-2"/>
        <bgColor indexed="64"/>
      </patternFill>
    </fill>
    <fill>
      <patternFill patternType="solid">
        <fgColor rgb="FFEEECE1"/>
        <bgColor indexed="64"/>
      </patternFill>
    </fill>
    <fill>
      <patternFill patternType="solid">
        <fgColor indexed="26"/>
        <bgColor indexed="64"/>
      </patternFill>
    </fill>
    <fill>
      <patternFill patternType="solid">
        <fgColor theme="2"/>
        <bgColor indexed="9"/>
      </patternFill>
    </fill>
    <fill>
      <patternFill patternType="solid">
        <fgColor rgb="FFEEECE1"/>
        <bgColor indexed="9"/>
      </patternFill>
    </fill>
    <fill>
      <patternFill patternType="solid">
        <fgColor rgb="FFFFFFCC"/>
        <bgColor indexed="9"/>
      </patternFill>
    </fill>
    <fill>
      <patternFill patternType="gray0625">
        <fgColor theme="9" tint="0.79998168889431442"/>
        <bgColor rgb="FFE2EFDA"/>
      </patternFill>
    </fill>
    <fill>
      <patternFill patternType="gray0625">
        <fgColor theme="9" tint="0.79998168889431442"/>
        <bgColor theme="0" tint="-0.14999847407452621"/>
      </patternFill>
    </fill>
    <fill>
      <patternFill patternType="gray0625">
        <fgColor theme="9" tint="0.79998168889431442"/>
        <bgColor rgb="FFEAFFD5"/>
      </patternFill>
    </fill>
    <fill>
      <patternFill patternType="gray0625">
        <fgColor theme="9" tint="0.79998168889431442"/>
        <bgColor rgb="FFDEFFBD"/>
      </patternFill>
    </fill>
    <fill>
      <patternFill patternType="solid">
        <fgColor indexed="26"/>
        <bgColor indexed="9"/>
      </patternFill>
    </fill>
    <fill>
      <patternFill patternType="gray0625">
        <fgColor theme="9" tint="0.79998168889431442"/>
        <bgColor rgb="FFFFFFCC"/>
      </patternFill>
    </fill>
    <fill>
      <patternFill patternType="solid">
        <fgColor theme="2"/>
        <bgColor indexed="64"/>
      </patternFill>
    </fill>
    <fill>
      <patternFill patternType="solid">
        <fgColor theme="0" tint="-0.14999847407452621"/>
        <bgColor indexed="9"/>
      </patternFill>
    </fill>
    <fill>
      <patternFill patternType="solid">
        <fgColor rgb="FFFDF1E7"/>
        <bgColor indexed="9"/>
      </patternFill>
    </fill>
    <fill>
      <patternFill patternType="solid">
        <fgColor theme="9" tint="0.79998168889431442"/>
        <bgColor indexed="9"/>
      </patternFill>
    </fill>
    <fill>
      <patternFill patternType="solid">
        <fgColor rgb="FFFFFF99"/>
        <bgColor indexed="64"/>
      </patternFill>
    </fill>
    <fill>
      <patternFill patternType="gray0625">
        <fgColor theme="9" tint="0.79998168889431442"/>
        <bgColor theme="0"/>
      </patternFill>
    </fill>
    <fill>
      <patternFill patternType="solid">
        <fgColor rgb="FFCCCCFF"/>
        <bgColor theme="0"/>
      </patternFill>
    </fill>
    <fill>
      <patternFill patternType="solid">
        <fgColor theme="0" tint="-0.14996795556505021"/>
        <bgColor indexed="64"/>
      </patternFill>
    </fill>
    <fill>
      <patternFill patternType="solid">
        <fgColor rgb="FFFF00FF"/>
        <bgColor indexed="15"/>
      </patternFill>
    </fill>
    <fill>
      <patternFill patternType="solid">
        <fgColor theme="0" tint="-0.249977111117893"/>
        <bgColor indexed="64"/>
      </patternFill>
    </fill>
    <fill>
      <patternFill patternType="gray0625">
        <fgColor theme="9" tint="0.79998168889431442"/>
        <bgColor theme="0" tint="-0.249977111117893"/>
      </patternFill>
    </fill>
    <fill>
      <patternFill patternType="solid">
        <fgColor indexed="42"/>
        <bgColor indexed="64"/>
      </patternFill>
    </fill>
    <fill>
      <patternFill patternType="solid">
        <fgColor theme="8" tint="0.79998168889431442"/>
        <bgColor indexed="64"/>
      </patternFill>
    </fill>
    <fill>
      <patternFill patternType="solid">
        <fgColor rgb="FFCC99FF"/>
        <bgColor indexed="64"/>
      </patternFill>
    </fill>
    <fill>
      <patternFill patternType="solid">
        <fgColor rgb="FF70AD47"/>
        <bgColor indexed="64"/>
      </patternFill>
    </fill>
    <fill>
      <patternFill patternType="gray0625"/>
    </fill>
    <fill>
      <patternFill patternType="solid">
        <fgColor rgb="FFFFFFFF"/>
        <bgColor indexed="64"/>
      </patternFill>
    </fill>
    <fill>
      <patternFill patternType="solid">
        <fgColor rgb="FFFFFFFF"/>
        <bgColor indexed="9"/>
      </patternFill>
    </fill>
    <fill>
      <patternFill patternType="lightUp">
        <fgColor indexed="9"/>
        <bgColor indexed="47"/>
      </patternFill>
    </fill>
    <fill>
      <patternFill patternType="solid">
        <fgColor theme="9"/>
        <bgColor indexed="10"/>
      </patternFill>
    </fill>
    <fill>
      <patternFill patternType="solid">
        <fgColor theme="4" tint="0.79998168889431442"/>
        <bgColor indexed="64"/>
      </patternFill>
    </fill>
    <fill>
      <patternFill patternType="solid">
        <fgColor indexed="43"/>
        <bgColor indexed="64"/>
      </patternFill>
    </fill>
    <fill>
      <patternFill patternType="solid">
        <fgColor rgb="FF0033CC"/>
        <bgColor indexed="64"/>
      </patternFill>
    </fill>
    <fill>
      <patternFill patternType="solid">
        <fgColor rgb="FFFFFF99"/>
        <bgColor indexed="9"/>
      </patternFill>
    </fill>
    <fill>
      <patternFill patternType="solid">
        <fgColor rgb="FFDEFFBD"/>
        <bgColor indexed="64"/>
      </patternFill>
    </fill>
    <fill>
      <patternFill patternType="solid">
        <fgColor rgb="FFFFFF99"/>
        <bgColor indexed="26"/>
      </patternFill>
    </fill>
    <fill>
      <patternFill patternType="solid">
        <fgColor rgb="FFDEFFBD"/>
        <bgColor indexed="9"/>
      </patternFill>
    </fill>
    <fill>
      <patternFill patternType="gray0625">
        <fgColor theme="9" tint="0.79998168889431442"/>
        <bgColor rgb="FFCCCCFF"/>
      </patternFill>
    </fill>
    <fill>
      <patternFill patternType="gray0625">
        <fgColor theme="9" tint="0.79998168889431442"/>
        <bgColor theme="0" tint="-4.9989318521683403E-2"/>
      </patternFill>
    </fill>
    <fill>
      <patternFill patternType="solid">
        <fgColor theme="0"/>
        <bgColor indexed="60"/>
      </patternFill>
    </fill>
    <fill>
      <patternFill patternType="solid">
        <fgColor rgb="FF7030A0"/>
        <bgColor indexed="64"/>
      </patternFill>
    </fill>
    <fill>
      <patternFill patternType="gray0625">
        <fgColor theme="9" tint="0.79998168889431442"/>
        <bgColor theme="9" tint="0.79998168889431442"/>
      </patternFill>
    </fill>
    <fill>
      <patternFill patternType="solid">
        <fgColor theme="1" tint="0.34998626667073579"/>
        <bgColor indexed="64"/>
      </patternFill>
    </fill>
    <fill>
      <patternFill patternType="solid">
        <fgColor theme="5"/>
        <bgColor indexed="64"/>
      </patternFill>
    </fill>
    <fill>
      <patternFill patternType="solid">
        <fgColor theme="7" tint="0.39997558519241921"/>
        <bgColor indexed="64"/>
      </patternFill>
    </fill>
    <fill>
      <patternFill patternType="gray0625">
        <fgColor theme="9" tint="0.79998168889431442"/>
        <bgColor theme="1" tint="0.34998626667073579"/>
      </patternFill>
    </fill>
    <fill>
      <patternFill patternType="solid">
        <fgColor theme="1" tint="0.34998626667073579"/>
        <bgColor indexed="9"/>
      </patternFill>
    </fill>
    <fill>
      <patternFill patternType="gray0625">
        <fgColor theme="9" tint="0.79998168889431442"/>
        <bgColor rgb="FFFFFF99"/>
      </patternFill>
    </fill>
    <fill>
      <patternFill patternType="solid">
        <fgColor rgb="FF99CC00"/>
        <bgColor indexed="64"/>
      </patternFill>
    </fill>
    <fill>
      <patternFill patternType="solid">
        <fgColor indexed="50"/>
        <bgColor indexed="64"/>
      </patternFill>
    </fill>
    <fill>
      <patternFill patternType="solid">
        <fgColor rgb="FFCC00FF"/>
        <bgColor indexed="64"/>
      </patternFill>
    </fill>
    <fill>
      <patternFill patternType="solid">
        <fgColor indexed="36"/>
        <bgColor indexed="64"/>
      </patternFill>
    </fill>
    <fill>
      <patternFill patternType="gray0625">
        <bgColor theme="0"/>
      </patternFill>
    </fill>
    <fill>
      <patternFill patternType="solid">
        <fgColor theme="7" tint="0.79998168889431442"/>
        <bgColor indexed="64"/>
      </patternFill>
    </fill>
    <fill>
      <patternFill patternType="solid">
        <fgColor rgb="FFED7D31"/>
        <bgColor indexed="64"/>
      </patternFill>
    </fill>
    <fill>
      <patternFill patternType="solid">
        <fgColor theme="9" tint="-0.249977111117893"/>
        <bgColor indexed="64"/>
      </patternFill>
    </fill>
    <fill>
      <patternFill patternType="solid">
        <fgColor rgb="FFFFFFCC"/>
        <bgColor indexed="15"/>
      </patternFill>
    </fill>
    <fill>
      <patternFill patternType="solid">
        <fgColor rgb="FFCC99FF"/>
        <bgColor indexed="15"/>
      </patternFill>
    </fill>
    <fill>
      <patternFill patternType="solid">
        <fgColor rgb="FF0066CC"/>
        <bgColor indexed="15"/>
      </patternFill>
    </fill>
    <fill>
      <patternFill patternType="solid">
        <fgColor rgb="FF99CCFF"/>
        <bgColor indexed="15"/>
      </patternFill>
    </fill>
    <fill>
      <patternFill patternType="solid">
        <fgColor rgb="FF0000FF"/>
        <bgColor indexed="15"/>
      </patternFill>
    </fill>
    <fill>
      <patternFill patternType="solid">
        <fgColor rgb="FF00FF00"/>
        <bgColor indexed="15"/>
      </patternFill>
    </fill>
    <fill>
      <patternFill patternType="solid">
        <fgColor rgb="FF993300"/>
        <bgColor indexed="15"/>
      </patternFill>
    </fill>
    <fill>
      <patternFill patternType="solid">
        <fgColor rgb="FF008000"/>
        <bgColor indexed="15"/>
      </patternFill>
    </fill>
    <fill>
      <patternFill patternType="solid">
        <fgColor rgb="FFFF99CC"/>
        <bgColor indexed="15"/>
      </patternFill>
    </fill>
    <fill>
      <patternFill patternType="solid">
        <fgColor rgb="FFFFCC99"/>
        <bgColor indexed="15"/>
      </patternFill>
    </fill>
    <fill>
      <patternFill patternType="solid">
        <fgColor rgb="FFFF6600"/>
        <bgColor indexed="15"/>
      </patternFill>
    </fill>
    <fill>
      <patternFill patternType="solid">
        <fgColor rgb="FFFF0000"/>
        <bgColor indexed="15"/>
      </patternFill>
    </fill>
    <fill>
      <patternFill patternType="solid">
        <fgColor rgb="FFFFCC00"/>
        <bgColor indexed="15"/>
      </patternFill>
    </fill>
    <fill>
      <patternFill patternType="solid">
        <fgColor rgb="FF00CCFF"/>
        <bgColor indexed="15"/>
      </patternFill>
    </fill>
    <fill>
      <patternFill patternType="solid">
        <fgColor indexed="11"/>
        <bgColor indexed="64"/>
      </patternFill>
    </fill>
    <fill>
      <patternFill patternType="solid">
        <fgColor rgb="FFBFBFBF"/>
        <bgColor indexed="64"/>
      </patternFill>
    </fill>
    <fill>
      <patternFill patternType="solid">
        <fgColor rgb="FFB4C6E7"/>
        <bgColor indexed="64"/>
      </patternFill>
    </fill>
    <fill>
      <patternFill patternType="solid">
        <fgColor rgb="FF4472C4"/>
        <bgColor indexed="64"/>
      </patternFill>
    </fill>
    <fill>
      <patternFill patternType="solid">
        <fgColor rgb="FFFF0000"/>
        <bgColor indexed="64"/>
      </patternFill>
    </fill>
    <fill>
      <patternFill patternType="solid">
        <fgColor rgb="FFD9D9D9"/>
        <bgColor indexed="64"/>
      </patternFill>
    </fill>
    <fill>
      <patternFill patternType="solid">
        <fgColor theme="7"/>
        <bgColor indexed="64"/>
      </patternFill>
    </fill>
    <fill>
      <patternFill patternType="solid">
        <fgColor rgb="FF00FF00"/>
        <bgColor indexed="64"/>
      </patternFill>
    </fill>
    <fill>
      <patternFill patternType="solid">
        <fgColor theme="9"/>
        <bgColor indexed="64"/>
      </patternFill>
    </fill>
    <fill>
      <patternFill patternType="solid">
        <fgColor rgb="FF339966"/>
        <bgColor indexed="64"/>
      </patternFill>
    </fill>
    <fill>
      <patternFill patternType="solid">
        <fgColor rgb="FF00B0F0"/>
        <bgColor indexed="64"/>
      </patternFill>
    </fill>
    <fill>
      <patternFill patternType="solid">
        <fgColor indexed="8"/>
        <bgColor indexed="64"/>
      </patternFill>
    </fill>
    <fill>
      <patternFill patternType="solid">
        <fgColor indexed="31"/>
        <bgColor indexed="64"/>
      </patternFill>
    </fill>
    <fill>
      <patternFill patternType="solid">
        <fgColor indexed="36"/>
        <bgColor indexed="50"/>
      </patternFill>
    </fill>
    <fill>
      <patternFill patternType="solid">
        <fgColor indexed="12"/>
        <bgColor indexed="64"/>
      </patternFill>
    </fill>
    <fill>
      <patternFill patternType="solid">
        <fgColor indexed="46"/>
        <bgColor indexed="64"/>
      </patternFill>
    </fill>
    <fill>
      <patternFill patternType="solid">
        <fgColor indexed="22"/>
        <bgColor indexed="64"/>
      </patternFill>
    </fill>
    <fill>
      <patternFill patternType="lightUp">
        <fgColor indexed="9"/>
        <bgColor indexed="50"/>
      </patternFill>
    </fill>
    <fill>
      <patternFill patternType="lightUp">
        <fgColor indexed="9"/>
        <bgColor rgb="FF92D050"/>
      </patternFill>
    </fill>
    <fill>
      <patternFill patternType="solid">
        <fgColor theme="5" tint="-0.249977111117893"/>
        <bgColor indexed="64"/>
      </patternFill>
    </fill>
    <fill>
      <patternFill patternType="solid">
        <fgColor indexed="65"/>
        <bgColor indexed="64"/>
      </patternFill>
    </fill>
    <fill>
      <patternFill patternType="solid">
        <fgColor theme="4"/>
        <bgColor indexed="64"/>
      </patternFill>
    </fill>
    <fill>
      <patternFill patternType="solid">
        <fgColor theme="1" tint="0.499984740745262"/>
        <bgColor indexed="64"/>
      </patternFill>
    </fill>
    <fill>
      <patternFill patternType="solid">
        <fgColor rgb="FFD9E1F2"/>
        <bgColor indexed="64"/>
      </patternFill>
    </fill>
    <fill>
      <patternFill patternType="solid">
        <fgColor theme="9" tint="0.59999389629810485"/>
        <bgColor indexed="64"/>
      </patternFill>
    </fill>
    <fill>
      <patternFill patternType="solid">
        <fgColor indexed="13"/>
        <bgColor indexed="64"/>
      </patternFill>
    </fill>
    <fill>
      <patternFill patternType="solid">
        <fgColor rgb="FF0000FF"/>
        <bgColor indexed="64"/>
      </patternFill>
    </fill>
    <fill>
      <patternFill patternType="solid">
        <fgColor theme="8" tint="-0.249977111117893"/>
        <bgColor indexed="64"/>
      </patternFill>
    </fill>
    <fill>
      <patternFill patternType="solid">
        <fgColor theme="7" tint="-0.249977111117893"/>
        <bgColor indexed="64"/>
      </patternFill>
    </fill>
    <fill>
      <patternFill patternType="solid">
        <fgColor theme="6" tint="-0.249977111117893"/>
        <bgColor indexed="64"/>
      </patternFill>
    </fill>
    <fill>
      <patternFill patternType="solid">
        <fgColor theme="4" tint="-0.249977111117893"/>
        <bgColor indexed="64"/>
      </patternFill>
    </fill>
    <fill>
      <patternFill patternType="solid">
        <fgColor theme="1" tint="0.14999847407452621"/>
        <bgColor indexed="64"/>
      </patternFill>
    </fill>
    <fill>
      <patternFill patternType="solid">
        <fgColor theme="2" tint="-0.749992370372631"/>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rgb="FF00B050"/>
        <bgColor indexed="64"/>
      </patternFill>
    </fill>
    <fill>
      <patternFill patternType="solid">
        <fgColor rgb="FFA9D08E"/>
        <bgColor indexed="64"/>
      </patternFill>
    </fill>
    <fill>
      <patternFill patternType="solid">
        <fgColor indexed="63"/>
        <bgColor indexed="64"/>
      </patternFill>
    </fill>
    <fill>
      <patternFill patternType="solid">
        <fgColor indexed="62"/>
        <bgColor indexed="64"/>
      </patternFill>
    </fill>
    <fill>
      <patternFill patternType="solid">
        <fgColor indexed="25"/>
        <bgColor indexed="64"/>
      </patternFill>
    </fill>
    <fill>
      <patternFill patternType="solid">
        <fgColor indexed="60"/>
        <bgColor indexed="64"/>
      </patternFill>
    </fill>
    <fill>
      <patternFill patternType="solid">
        <fgColor indexed="59"/>
        <bgColor indexed="64"/>
      </patternFill>
    </fill>
    <fill>
      <patternFill patternType="solid">
        <fgColor indexed="58"/>
        <bgColor indexed="64"/>
      </patternFill>
    </fill>
    <fill>
      <patternFill patternType="solid">
        <fgColor indexed="57"/>
        <bgColor indexed="64"/>
      </patternFill>
    </fill>
    <fill>
      <patternFill patternType="solid">
        <fgColor indexed="56"/>
        <bgColor indexed="64"/>
      </patternFill>
    </fill>
    <fill>
      <patternFill patternType="solid">
        <fgColor indexed="55"/>
        <bgColor indexed="64"/>
      </patternFill>
    </fill>
    <fill>
      <patternFill patternType="solid">
        <fgColor indexed="54"/>
        <bgColor indexed="64"/>
      </patternFill>
    </fill>
    <fill>
      <patternFill patternType="solid">
        <fgColor indexed="52"/>
        <bgColor indexed="64"/>
      </patternFill>
    </fill>
    <fill>
      <patternFill patternType="solid">
        <fgColor indexed="51"/>
        <bgColor indexed="64"/>
      </patternFill>
    </fill>
    <fill>
      <patternFill patternType="solid">
        <fgColor indexed="49"/>
        <bgColor indexed="64"/>
      </patternFill>
    </fill>
    <fill>
      <patternFill patternType="solid">
        <fgColor indexed="48"/>
        <bgColor indexed="64"/>
      </patternFill>
    </fill>
    <fill>
      <patternFill patternType="solid">
        <fgColor indexed="47"/>
        <bgColor indexed="64"/>
      </patternFill>
    </fill>
    <fill>
      <patternFill patternType="solid">
        <fgColor indexed="45"/>
        <bgColor indexed="64"/>
      </patternFill>
    </fill>
    <fill>
      <patternFill patternType="solid">
        <fgColor indexed="44"/>
        <bgColor indexed="64"/>
      </patternFill>
    </fill>
    <fill>
      <patternFill patternType="solid">
        <fgColor indexed="27"/>
        <bgColor indexed="64"/>
      </patternFill>
    </fill>
    <fill>
      <patternFill patternType="solid">
        <fgColor indexed="40"/>
        <bgColor indexed="64"/>
      </patternFill>
    </fill>
    <fill>
      <patternFill patternType="solid">
        <fgColor indexed="21"/>
        <bgColor indexed="64"/>
      </patternFill>
    </fill>
    <fill>
      <patternFill patternType="solid">
        <fgColor indexed="16"/>
        <bgColor indexed="64"/>
      </patternFill>
    </fill>
    <fill>
      <patternFill patternType="solid">
        <fgColor indexed="20"/>
        <bgColor indexed="64"/>
      </patternFill>
    </fill>
    <fill>
      <patternFill patternType="solid">
        <fgColor indexed="15"/>
        <bgColor indexed="64"/>
      </patternFill>
    </fill>
    <fill>
      <patternFill patternType="solid">
        <fgColor indexed="14"/>
        <bgColor indexed="64"/>
      </patternFill>
    </fill>
    <fill>
      <patternFill patternType="solid">
        <fgColor indexed="18"/>
        <bgColor indexed="64"/>
      </patternFill>
    </fill>
    <fill>
      <patternFill patternType="solid">
        <fgColor indexed="30"/>
        <bgColor indexed="64"/>
      </patternFill>
    </fill>
    <fill>
      <patternFill patternType="solid">
        <fgColor indexed="29"/>
        <bgColor indexed="64"/>
      </patternFill>
    </fill>
    <fill>
      <patternFill patternType="solid">
        <fgColor indexed="28"/>
        <bgColor indexed="64"/>
      </patternFill>
    </fill>
    <fill>
      <patternFill patternType="solid">
        <fgColor indexed="24"/>
        <bgColor indexed="64"/>
      </patternFill>
    </fill>
    <fill>
      <patternFill patternType="solid">
        <fgColor indexed="23"/>
        <bgColor indexed="64"/>
      </patternFill>
    </fill>
    <fill>
      <patternFill patternType="solid">
        <fgColor indexed="19"/>
        <bgColor indexed="64"/>
      </patternFill>
    </fill>
    <fill>
      <patternFill patternType="solid">
        <fgColor indexed="17"/>
        <bgColor indexed="64"/>
      </patternFill>
    </fill>
    <fill>
      <patternFill patternType="solid">
        <fgColor rgb="FF0066CC"/>
        <bgColor indexed="64"/>
      </patternFill>
    </fill>
    <fill>
      <patternFill patternType="solid">
        <fgColor rgb="FF99CCFF"/>
        <bgColor indexed="64"/>
      </patternFill>
    </fill>
    <fill>
      <patternFill patternType="solid">
        <fgColor rgb="FF993300"/>
        <bgColor indexed="64"/>
      </patternFill>
    </fill>
    <fill>
      <patternFill patternType="solid">
        <fgColor rgb="FF008000"/>
        <bgColor indexed="64"/>
      </patternFill>
    </fill>
    <fill>
      <patternFill patternType="solid">
        <fgColor indexed="10"/>
        <bgColor indexed="64"/>
      </patternFill>
    </fill>
    <fill>
      <patternFill patternType="solid">
        <fgColor rgb="FFFF00FF"/>
        <bgColor indexed="64"/>
      </patternFill>
    </fill>
    <fill>
      <patternFill patternType="solid">
        <fgColor rgb="FFFF99CC"/>
        <bgColor indexed="64"/>
      </patternFill>
    </fill>
    <fill>
      <patternFill patternType="solid">
        <fgColor rgb="FFFFCC99"/>
        <bgColor indexed="64"/>
      </patternFill>
    </fill>
    <fill>
      <patternFill patternType="solid">
        <fgColor rgb="FFFFCC00"/>
        <bgColor indexed="64"/>
      </patternFill>
    </fill>
    <fill>
      <patternFill patternType="solid">
        <fgColor rgb="FF00CCFF"/>
        <bgColor indexed="64"/>
      </patternFill>
    </fill>
    <fill>
      <patternFill patternType="solid">
        <fgColor indexed="61"/>
        <bgColor indexed="64"/>
      </patternFill>
    </fill>
    <fill>
      <patternFill patternType="solid">
        <fgColor indexed="41"/>
        <bgColor indexed="64"/>
      </patternFill>
    </fill>
    <fill>
      <patternFill patternType="solid">
        <fgColor indexed="39"/>
        <bgColor indexed="64"/>
      </patternFill>
    </fill>
    <fill>
      <patternFill patternType="solid">
        <fgColor indexed="38"/>
        <bgColor indexed="64"/>
      </patternFill>
    </fill>
    <fill>
      <patternFill patternType="solid">
        <fgColor indexed="37"/>
        <bgColor indexed="64"/>
      </patternFill>
    </fill>
    <fill>
      <patternFill patternType="solid">
        <fgColor indexed="35"/>
        <bgColor indexed="64"/>
      </patternFill>
    </fill>
    <fill>
      <patternFill patternType="solid">
        <fgColor indexed="34"/>
        <bgColor indexed="64"/>
      </patternFill>
    </fill>
    <fill>
      <patternFill patternType="solid">
        <fgColor indexed="33"/>
        <bgColor indexed="64"/>
      </patternFill>
    </fill>
    <fill>
      <patternFill patternType="solid">
        <fgColor indexed="32"/>
        <bgColor indexed="64"/>
      </patternFill>
    </fill>
    <fill>
      <patternFill patternType="solid">
        <fgColor theme="5" tint="0.39997558519241921"/>
        <bgColor indexed="64"/>
      </patternFill>
    </fill>
  </fills>
  <borders count="428">
    <border>
      <left/>
      <right/>
      <top/>
      <bottom/>
      <diagonal/>
    </border>
    <border>
      <left style="thin">
        <color theme="5"/>
      </left>
      <right/>
      <top style="thin">
        <color theme="5"/>
      </top>
      <bottom/>
      <diagonal/>
    </border>
    <border>
      <left style="medium">
        <color indexed="64"/>
      </left>
      <right style="thin">
        <color indexed="64"/>
      </right>
      <top/>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top style="medium">
        <color indexed="64"/>
      </top>
      <bottom style="thin">
        <color indexed="64"/>
      </bottom>
      <diagonal/>
    </border>
    <border>
      <left/>
      <right style="medium">
        <color indexed="64"/>
      </right>
      <top style="medium">
        <color indexed="64"/>
      </top>
      <bottom style="hair">
        <color indexed="64"/>
      </bottom>
      <diagonal/>
    </border>
    <border>
      <left/>
      <right style="medium">
        <color indexed="64"/>
      </right>
      <top style="medium">
        <color auto="1"/>
      </top>
      <bottom/>
      <diagonal/>
    </border>
    <border>
      <left style="medium">
        <color indexed="64"/>
      </left>
      <right/>
      <top style="medium">
        <color indexed="64"/>
      </top>
      <bottom/>
      <diagonal/>
    </border>
    <border>
      <left/>
      <right/>
      <top style="medium">
        <color indexed="64"/>
      </top>
      <bottom/>
      <diagonal/>
    </border>
    <border>
      <left/>
      <right style="thin">
        <color auto="1"/>
      </right>
      <top/>
      <bottom/>
      <diagonal/>
    </border>
    <border>
      <left/>
      <right style="medium">
        <color auto="1"/>
      </right>
      <top style="hair">
        <color auto="1"/>
      </top>
      <bottom/>
      <diagonal/>
    </border>
    <border>
      <left/>
      <right style="medium">
        <color auto="1"/>
      </right>
      <top/>
      <bottom/>
      <diagonal/>
    </border>
    <border>
      <left style="medium">
        <color auto="1"/>
      </left>
      <right/>
      <top/>
      <bottom/>
      <diagonal/>
    </border>
    <border>
      <left/>
      <right style="medium">
        <color indexed="8"/>
      </right>
      <top/>
      <bottom/>
      <diagonal/>
    </border>
    <border>
      <left/>
      <right style="medium">
        <color indexed="64"/>
      </right>
      <top/>
      <bottom/>
      <diagonal/>
    </border>
    <border>
      <left style="thin">
        <color auto="1"/>
      </left>
      <right/>
      <top/>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style="hair">
        <color indexed="64"/>
      </top>
      <bottom/>
      <diagonal/>
    </border>
    <border>
      <left/>
      <right/>
      <top/>
      <bottom style="hair">
        <color auto="1"/>
      </bottom>
      <diagonal/>
    </border>
    <border>
      <left style="medium">
        <color indexed="64"/>
      </left>
      <right/>
      <top/>
      <bottom style="thin">
        <color theme="9" tint="0.39991454817346722"/>
      </bottom>
      <diagonal/>
    </border>
    <border>
      <left/>
      <right/>
      <top/>
      <bottom style="thin">
        <color theme="9" tint="0.39991454817346722"/>
      </bottom>
      <diagonal/>
    </border>
    <border>
      <left style="thin">
        <color auto="1"/>
      </left>
      <right/>
      <top/>
      <bottom style="thin">
        <color theme="9" tint="0.39991454817346722"/>
      </bottom>
      <diagonal/>
    </border>
    <border>
      <left/>
      <right style="thin">
        <color auto="1"/>
      </right>
      <top/>
      <bottom style="thin">
        <color theme="9" tint="0.39991454817346722"/>
      </bottom>
      <diagonal/>
    </border>
    <border>
      <left/>
      <right style="medium">
        <color indexed="64"/>
      </right>
      <top/>
      <bottom style="thin">
        <color theme="9" tint="0.39991454817346722"/>
      </bottom>
      <diagonal/>
    </border>
    <border>
      <left style="hair">
        <color indexed="64"/>
      </left>
      <right/>
      <top style="hair">
        <color indexed="64"/>
      </top>
      <bottom style="hair">
        <color indexed="64"/>
      </bottom>
      <diagonal/>
    </border>
    <border>
      <left/>
      <right/>
      <top style="hair">
        <color auto="1"/>
      </top>
      <bottom style="hair">
        <color auto="1"/>
      </bottom>
      <diagonal/>
    </border>
    <border>
      <left style="hair">
        <color indexed="64"/>
      </left>
      <right style="medium">
        <color auto="1"/>
      </right>
      <top style="hair">
        <color indexed="64"/>
      </top>
      <bottom style="hair">
        <color indexed="64"/>
      </bottom>
      <diagonal/>
    </border>
    <border>
      <left style="medium">
        <color auto="1"/>
      </left>
      <right/>
      <top style="thin">
        <color theme="9" tint="0.39991454817346722"/>
      </top>
      <bottom style="thin">
        <color theme="9" tint="0.39991454817346722"/>
      </bottom>
      <diagonal/>
    </border>
    <border>
      <left/>
      <right/>
      <top style="thin">
        <color theme="9" tint="0.39991454817346722"/>
      </top>
      <bottom style="thin">
        <color theme="9" tint="0.39991454817346722"/>
      </bottom>
      <diagonal/>
    </border>
    <border>
      <left/>
      <right style="medium">
        <color indexed="64"/>
      </right>
      <top style="thin">
        <color theme="9" tint="0.39991454817346722"/>
      </top>
      <bottom style="thin">
        <color theme="9" tint="0.39991454817346722"/>
      </bottom>
      <diagonal/>
    </border>
    <border>
      <left style="medium">
        <color auto="1"/>
      </left>
      <right/>
      <top/>
      <bottom style="hair">
        <color auto="1"/>
      </bottom>
      <diagonal/>
    </border>
    <border>
      <left/>
      <right style="medium">
        <color indexed="64"/>
      </right>
      <top/>
      <bottom style="hair">
        <color auto="1"/>
      </bottom>
      <diagonal/>
    </border>
    <border>
      <left style="thin">
        <color auto="1"/>
      </left>
      <right/>
      <top style="thin">
        <color theme="9" tint="0.39991454817346722"/>
      </top>
      <bottom style="thin">
        <color theme="9" tint="0.39991454817346722"/>
      </bottom>
      <diagonal/>
    </border>
    <border>
      <left/>
      <right style="thin">
        <color auto="1"/>
      </right>
      <top style="thin">
        <color theme="9" tint="0.39991454817346722"/>
      </top>
      <bottom style="thin">
        <color theme="9" tint="0.39991454817346722"/>
      </bottom>
      <diagonal/>
    </border>
    <border>
      <left/>
      <right/>
      <top style="hair">
        <color theme="9"/>
      </top>
      <bottom style="hair">
        <color theme="9"/>
      </bottom>
      <diagonal/>
    </border>
    <border>
      <left style="dashDotDot">
        <color auto="1"/>
      </left>
      <right style="dashDotDot">
        <color auto="1"/>
      </right>
      <top style="dashDotDot">
        <color auto="1"/>
      </top>
      <bottom style="dashDotDot">
        <color auto="1"/>
      </bottom>
      <diagonal/>
    </border>
    <border>
      <left style="thin">
        <color indexed="64"/>
      </left>
      <right/>
      <top/>
      <bottom style="thin">
        <color indexed="64"/>
      </bottom>
      <diagonal/>
    </border>
    <border>
      <left/>
      <right/>
      <top/>
      <bottom style="thin">
        <color auto="1"/>
      </bottom>
      <diagonal/>
    </border>
    <border>
      <left/>
      <right style="medium">
        <color auto="1"/>
      </right>
      <top/>
      <bottom style="thin">
        <color indexed="64"/>
      </bottom>
      <diagonal/>
    </border>
    <border>
      <left style="thin">
        <color auto="1"/>
      </left>
      <right style="hair">
        <color auto="1"/>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hair">
        <color indexed="64"/>
      </left>
      <right/>
      <top/>
      <bottom/>
      <diagonal/>
    </border>
    <border>
      <left style="medium">
        <color indexed="64"/>
      </left>
      <right style="medium">
        <color indexed="64"/>
      </right>
      <top style="thin">
        <color indexed="64"/>
      </top>
      <bottom/>
      <diagonal/>
    </border>
    <border>
      <left style="medium">
        <color auto="1"/>
      </left>
      <right style="medium">
        <color auto="1"/>
      </right>
      <top/>
      <bottom/>
      <diagonal/>
    </border>
    <border>
      <left/>
      <right style="thin">
        <color indexed="64"/>
      </right>
      <top/>
      <bottom style="medium">
        <color auto="1"/>
      </bottom>
      <diagonal/>
    </border>
    <border>
      <left/>
      <right style="thin">
        <color auto="1"/>
      </right>
      <top style="thin">
        <color theme="9" tint="0.39991454817346722"/>
      </top>
      <bottom/>
      <diagonal/>
    </border>
    <border>
      <left style="medium">
        <color auto="1"/>
      </left>
      <right/>
      <top style="thin">
        <color theme="9" tint="0.39991454817346722"/>
      </top>
      <bottom/>
      <diagonal/>
    </border>
    <border>
      <left/>
      <right/>
      <top style="thin">
        <color theme="9" tint="0.39991454817346722"/>
      </top>
      <bottom/>
      <diagonal/>
    </border>
    <border>
      <left style="thin">
        <color auto="1"/>
      </left>
      <right/>
      <top style="thin">
        <color theme="9" tint="0.39991454817346722"/>
      </top>
      <bottom/>
      <diagonal/>
    </border>
    <border>
      <left/>
      <right style="medium">
        <color indexed="64"/>
      </right>
      <top style="thin">
        <color theme="9" tint="0.39991454817346722"/>
      </top>
      <bottom/>
      <diagonal/>
    </border>
    <border>
      <left style="medium">
        <color auto="1"/>
      </left>
      <right style="hair">
        <color indexed="64"/>
      </right>
      <top/>
      <bottom/>
      <diagonal/>
    </border>
    <border>
      <left style="medium">
        <color auto="1"/>
      </left>
      <right style="medium">
        <color auto="1"/>
      </right>
      <top/>
      <bottom style="medium">
        <color auto="1"/>
      </bottom>
      <diagonal/>
    </border>
    <border>
      <left style="medium">
        <color indexed="64"/>
      </left>
      <right/>
      <top style="thin">
        <color indexed="64"/>
      </top>
      <bottom style="medium">
        <color auto="1"/>
      </bottom>
      <diagonal/>
    </border>
    <border>
      <left/>
      <right/>
      <top style="thin">
        <color indexed="64"/>
      </top>
      <bottom style="medium">
        <color auto="1"/>
      </bottom>
      <diagonal/>
    </border>
    <border>
      <left/>
      <right style="medium">
        <color auto="1"/>
      </right>
      <top style="thin">
        <color indexed="64"/>
      </top>
      <bottom style="medium">
        <color auto="1"/>
      </bottom>
      <diagonal/>
    </border>
    <border>
      <left style="medium">
        <color indexed="37"/>
      </left>
      <right/>
      <top style="medium">
        <color indexed="37"/>
      </top>
      <bottom/>
      <diagonal/>
    </border>
    <border>
      <left/>
      <right/>
      <top style="medium">
        <color indexed="37"/>
      </top>
      <bottom/>
      <diagonal/>
    </border>
    <border>
      <left/>
      <right style="medium">
        <color indexed="37"/>
      </right>
      <top style="medium">
        <color indexed="37"/>
      </top>
      <bottom/>
      <diagonal/>
    </border>
    <border>
      <left/>
      <right/>
      <top style="medium">
        <color indexed="64"/>
      </top>
      <bottom/>
      <diagonal/>
    </border>
    <border>
      <left/>
      <right style="medium">
        <color indexed="64"/>
      </right>
      <top style="medium">
        <color indexed="64"/>
      </top>
      <bottom/>
      <diagonal/>
    </border>
    <border>
      <left style="medium">
        <color indexed="37"/>
      </left>
      <right/>
      <top/>
      <bottom style="thin">
        <color indexed="37"/>
      </bottom>
      <diagonal/>
    </border>
    <border>
      <left/>
      <right/>
      <top/>
      <bottom style="thin">
        <color indexed="37"/>
      </bottom>
      <diagonal/>
    </border>
    <border>
      <left/>
      <right style="medium">
        <color indexed="37"/>
      </right>
      <top/>
      <bottom style="thin">
        <color indexed="37"/>
      </bottom>
      <diagonal/>
    </border>
    <border>
      <left style="medium">
        <color indexed="37"/>
      </left>
      <right/>
      <top style="thin">
        <color indexed="37"/>
      </top>
      <bottom/>
      <diagonal/>
    </border>
    <border>
      <left/>
      <right/>
      <top style="thin">
        <color indexed="37"/>
      </top>
      <bottom/>
      <diagonal/>
    </border>
    <border>
      <left/>
      <right style="medium">
        <color indexed="37"/>
      </right>
      <top style="thin">
        <color indexed="37"/>
      </top>
      <bottom/>
      <diagonal/>
    </border>
    <border>
      <left style="medium">
        <color indexed="37"/>
      </left>
      <right/>
      <top/>
      <bottom/>
      <diagonal/>
    </border>
    <border>
      <left/>
      <right style="medium">
        <color indexed="37"/>
      </right>
      <top/>
      <bottom/>
      <diagonal/>
    </border>
    <border>
      <left style="medium">
        <color indexed="64"/>
      </left>
      <right/>
      <top style="thin">
        <color auto="1"/>
      </top>
      <bottom style="medium">
        <color indexed="64"/>
      </bottom>
      <diagonal/>
    </border>
    <border>
      <left/>
      <right/>
      <top style="thin">
        <color auto="1"/>
      </top>
      <bottom style="medium">
        <color auto="1"/>
      </bottom>
      <diagonal/>
    </border>
    <border>
      <left/>
      <right style="medium">
        <color indexed="64"/>
      </right>
      <top style="thin">
        <color auto="1"/>
      </top>
      <bottom style="medium">
        <color indexed="64"/>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medium">
        <color indexed="37"/>
      </left>
      <right/>
      <top/>
      <bottom style="medium">
        <color indexed="37"/>
      </bottom>
      <diagonal/>
    </border>
    <border>
      <left/>
      <right/>
      <top/>
      <bottom style="medium">
        <color indexed="37"/>
      </bottom>
      <diagonal/>
    </border>
    <border>
      <left/>
      <right style="medium">
        <color indexed="37"/>
      </right>
      <top/>
      <bottom style="medium">
        <color indexed="37"/>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auto="1"/>
      </top>
      <bottom/>
      <diagonal/>
    </border>
    <border>
      <left style="thin">
        <color indexed="64"/>
      </left>
      <right style="hair">
        <color indexed="64"/>
      </right>
      <top/>
      <bottom style="thin">
        <color indexed="64"/>
      </bottom>
      <diagonal/>
    </border>
    <border>
      <left/>
      <right style="medium">
        <color auto="1"/>
      </right>
      <top/>
      <bottom style="thin">
        <color auto="1"/>
      </bottom>
      <diagonal/>
    </border>
    <border>
      <left style="medium">
        <color indexed="64"/>
      </left>
      <right/>
      <top/>
      <bottom style="thin">
        <color indexed="64"/>
      </bottom>
      <diagonal/>
    </border>
    <border>
      <left style="thin">
        <color indexed="64"/>
      </left>
      <right style="hair">
        <color indexed="64"/>
      </right>
      <top style="hair">
        <color indexed="64"/>
      </top>
      <bottom/>
      <diagonal/>
    </border>
    <border>
      <left style="medium">
        <color indexed="64"/>
      </left>
      <right/>
      <top style="hair">
        <color indexed="64"/>
      </top>
      <bottom/>
      <diagonal/>
    </border>
    <border>
      <left style="thin">
        <color auto="1"/>
      </left>
      <right/>
      <top style="thin">
        <color auto="1"/>
      </top>
      <bottom style="medium">
        <color auto="1"/>
      </bottom>
      <diagonal/>
    </border>
    <border>
      <left style="thin">
        <color indexed="64"/>
      </left>
      <right style="medium">
        <color auto="1"/>
      </right>
      <top/>
      <bottom/>
      <diagonal/>
    </border>
    <border>
      <left style="thin">
        <color indexed="64"/>
      </left>
      <right style="medium">
        <color indexed="64"/>
      </right>
      <top/>
      <bottom style="medium">
        <color indexed="64"/>
      </bottom>
      <diagonal/>
    </border>
    <border>
      <left/>
      <right/>
      <top style="thin">
        <color indexed="16"/>
      </top>
      <bottom/>
      <diagonal/>
    </border>
    <border>
      <left/>
      <right style="medium">
        <color indexed="64"/>
      </right>
      <top style="thin">
        <color indexed="16"/>
      </top>
      <bottom/>
      <diagonal/>
    </border>
    <border>
      <left style="thin">
        <color auto="1"/>
      </left>
      <right/>
      <top style="thin">
        <color indexed="16"/>
      </top>
      <bottom/>
      <diagonal/>
    </border>
    <border>
      <left style="thin">
        <color indexed="64"/>
      </left>
      <right style="medium">
        <color auto="1"/>
      </right>
      <top style="thin">
        <color indexed="64"/>
      </top>
      <bottom/>
      <diagonal/>
    </border>
    <border>
      <left style="hair">
        <color indexed="64"/>
      </left>
      <right/>
      <top style="thin">
        <color indexed="64"/>
      </top>
      <bottom style="thin">
        <color indexed="16"/>
      </bottom>
      <diagonal/>
    </border>
    <border>
      <left/>
      <right/>
      <top style="thin">
        <color indexed="64"/>
      </top>
      <bottom style="thin">
        <color indexed="16"/>
      </bottom>
      <diagonal/>
    </border>
    <border>
      <left/>
      <right style="hair">
        <color indexed="64"/>
      </right>
      <top style="thin">
        <color indexed="64"/>
      </top>
      <bottom style="thin">
        <color indexed="16"/>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16"/>
      </bottom>
      <diagonal/>
    </border>
    <border>
      <left style="thin">
        <color auto="1"/>
      </left>
      <right/>
      <top style="thin">
        <color indexed="64"/>
      </top>
      <bottom style="thin">
        <color indexed="16"/>
      </bottom>
      <diagonal/>
    </border>
    <border>
      <left style="thin">
        <color indexed="64"/>
      </left>
      <right style="medium">
        <color auto="1"/>
      </right>
      <top/>
      <bottom style="hair">
        <color indexed="64"/>
      </bottom>
      <diagonal/>
    </border>
    <border>
      <left style="thin">
        <color theme="9" tint="0.39988402966399123"/>
      </left>
      <right/>
      <top style="thin">
        <color theme="9" tint="0.39991454817346722"/>
      </top>
      <bottom style="thin">
        <color theme="9" tint="0.39991454817346722"/>
      </bottom>
      <diagonal/>
    </border>
    <border>
      <left style="thin">
        <color theme="9"/>
      </left>
      <right/>
      <top style="hair">
        <color theme="9"/>
      </top>
      <bottom style="hair">
        <color theme="9"/>
      </bottom>
      <diagonal/>
    </border>
    <border>
      <left style="medium">
        <color indexed="64"/>
      </left>
      <right/>
      <top style="hair">
        <color indexed="64"/>
      </top>
      <bottom style="hair">
        <color indexed="64"/>
      </bottom>
      <diagonal/>
    </border>
    <border>
      <left style="thin">
        <color indexed="64"/>
      </left>
      <right style="medium">
        <color indexed="64"/>
      </right>
      <top/>
      <bottom style="thin">
        <color indexed="64"/>
      </bottom>
      <diagonal/>
    </border>
    <border>
      <left/>
      <right style="hair">
        <color indexed="64"/>
      </right>
      <top style="hair">
        <color indexed="64"/>
      </top>
      <bottom/>
      <diagonal/>
    </border>
    <border>
      <left style="hair">
        <color indexed="64"/>
      </left>
      <right style="medium">
        <color indexed="64"/>
      </right>
      <top/>
      <bottom/>
      <diagonal/>
    </border>
    <border>
      <left style="hair">
        <color indexed="64"/>
      </left>
      <right style="hair">
        <color indexed="64"/>
      </right>
      <top/>
      <bottom/>
      <diagonal/>
    </border>
    <border>
      <left/>
      <right/>
      <top style="hair">
        <color indexed="64"/>
      </top>
      <bottom style="thin">
        <color indexed="64"/>
      </bottom>
      <diagonal/>
    </border>
    <border>
      <left style="thin">
        <color auto="1"/>
      </left>
      <right/>
      <top style="hair">
        <color indexed="64"/>
      </top>
      <bottom style="thin">
        <color indexed="64"/>
      </bottom>
      <diagonal/>
    </border>
    <border>
      <left style="thin">
        <color auto="1"/>
      </left>
      <right/>
      <top style="hair">
        <color auto="1"/>
      </top>
      <bottom style="hair">
        <color auto="1"/>
      </bottom>
      <diagonal/>
    </border>
    <border>
      <left style="hair">
        <color indexed="64"/>
      </left>
      <right/>
      <top style="hair">
        <color indexed="64"/>
      </top>
      <bottom/>
      <diagonal/>
    </border>
    <border>
      <left style="thin">
        <color indexed="64"/>
      </left>
      <right/>
      <top style="hair">
        <color indexed="64"/>
      </top>
      <bottom/>
      <diagonal/>
    </border>
    <border>
      <left style="thin">
        <color indexed="64"/>
      </left>
      <right/>
      <top style="double">
        <color theme="1" tint="0.499984740745262"/>
      </top>
      <bottom style="thin">
        <color indexed="64"/>
      </bottom>
      <diagonal/>
    </border>
    <border>
      <left style="medium">
        <color auto="1"/>
      </left>
      <right style="hair">
        <color auto="1"/>
      </right>
      <top/>
      <bottom style="hair">
        <color auto="1"/>
      </bottom>
      <diagonal/>
    </border>
    <border>
      <left style="hair">
        <color indexed="64"/>
      </left>
      <right style="medium">
        <color indexed="64"/>
      </right>
      <top/>
      <bottom style="thin">
        <color indexed="64"/>
      </bottom>
      <diagonal/>
    </border>
    <border>
      <left style="hair">
        <color indexed="64"/>
      </left>
      <right style="hair">
        <color indexed="64"/>
      </right>
      <top/>
      <bottom style="thin">
        <color indexed="64"/>
      </bottom>
      <diagonal/>
    </border>
    <border>
      <left style="medium">
        <color indexed="64"/>
      </left>
      <right style="hair">
        <color indexed="64"/>
      </right>
      <top/>
      <bottom style="thin">
        <color indexed="64"/>
      </bottom>
      <diagonal/>
    </border>
    <border>
      <left style="double">
        <color theme="1" tint="0.499984740745262"/>
      </left>
      <right/>
      <top style="double">
        <color theme="1" tint="0.499984740745262"/>
      </top>
      <bottom style="double">
        <color theme="1" tint="0.499984740745262"/>
      </bottom>
      <diagonal/>
    </border>
    <border>
      <left/>
      <right/>
      <top/>
      <bottom style="double">
        <color theme="1" tint="0.499984740745262"/>
      </bottom>
      <diagonal/>
    </border>
    <border>
      <left/>
      <right/>
      <top style="thin">
        <color auto="1"/>
      </top>
      <bottom style="thin">
        <color auto="1"/>
      </bottom>
      <diagonal/>
    </border>
    <border>
      <left/>
      <right style="thin">
        <color indexed="64"/>
      </right>
      <top style="hair">
        <color indexed="64"/>
      </top>
      <bottom/>
      <diagonal/>
    </border>
    <border>
      <left/>
      <right style="thin">
        <color indexed="64"/>
      </right>
      <top style="thin">
        <color indexed="64"/>
      </top>
      <bottom style="thin">
        <color auto="1"/>
      </bottom>
      <diagonal/>
    </border>
    <border>
      <left style="medium">
        <color auto="1"/>
      </left>
      <right/>
      <top style="thin">
        <color indexed="64"/>
      </top>
      <bottom style="thin">
        <color auto="1"/>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style="medium">
        <color indexed="64"/>
      </left>
      <right/>
      <top style="medium">
        <color indexed="64"/>
      </top>
      <bottom style="hair">
        <color indexed="64"/>
      </bottom>
      <diagonal/>
    </border>
    <border>
      <left style="thin">
        <color theme="5"/>
      </left>
      <right/>
      <top style="thin">
        <color theme="5"/>
      </top>
      <bottom style="thin">
        <color theme="5"/>
      </bottom>
      <diagonal/>
    </border>
    <border>
      <left/>
      <right style="medium">
        <color indexed="37"/>
      </right>
      <top style="thin">
        <color indexed="37"/>
      </top>
      <bottom/>
      <diagonal/>
    </border>
    <border>
      <left/>
      <right/>
      <top style="thin">
        <color indexed="37"/>
      </top>
      <bottom/>
      <diagonal/>
    </border>
    <border>
      <left style="medium">
        <color indexed="37"/>
      </left>
      <right/>
      <top style="thin">
        <color indexed="37"/>
      </top>
      <bottom/>
      <diagonal/>
    </border>
    <border>
      <left/>
      <right/>
      <top style="thin">
        <color indexed="64"/>
      </top>
      <bottom/>
      <diagonal/>
    </border>
    <border>
      <left/>
      <right style="thin">
        <color auto="1"/>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auto="1"/>
      </left>
      <right/>
      <top style="thin">
        <color indexed="64"/>
      </top>
      <bottom style="thin">
        <color auto="1"/>
      </bottom>
      <diagonal/>
    </border>
    <border>
      <left style="medium">
        <color auto="1"/>
      </left>
      <right style="medium">
        <color auto="1"/>
      </right>
      <top/>
      <bottom style="medium">
        <color auto="1"/>
      </bottom>
      <diagonal/>
    </border>
    <border>
      <left/>
      <right style="medium">
        <color rgb="FF92D050"/>
      </right>
      <top style="medium">
        <color rgb="FF92D050"/>
      </top>
      <bottom style="medium">
        <color rgb="FF92D050"/>
      </bottom>
      <diagonal/>
    </border>
    <border>
      <left style="medium">
        <color rgb="FF92D050"/>
      </left>
      <right/>
      <top style="medium">
        <color rgb="FF92D050"/>
      </top>
      <bottom style="medium">
        <color rgb="FF92D050"/>
      </bottom>
      <diagonal/>
    </border>
    <border>
      <left style="thin">
        <color indexed="64"/>
      </left>
      <right/>
      <top/>
      <bottom style="hair">
        <color indexed="64"/>
      </bottom>
      <diagonal/>
    </border>
    <border>
      <left style="thick">
        <color rgb="FFC00000"/>
      </left>
      <right style="thick">
        <color rgb="FFC00000"/>
      </right>
      <top/>
      <bottom/>
      <diagonal/>
    </border>
    <border>
      <left/>
      <right style="medium">
        <color rgb="FFC00000"/>
      </right>
      <top style="medium">
        <color rgb="FFC00000"/>
      </top>
      <bottom style="medium">
        <color rgb="FFC00000"/>
      </bottom>
      <diagonal/>
    </border>
    <border>
      <left/>
      <right/>
      <top style="medium">
        <color rgb="FFC00000"/>
      </top>
      <bottom style="medium">
        <color rgb="FFC00000"/>
      </bottom>
      <diagonal/>
    </border>
    <border>
      <left style="medium">
        <color rgb="FFC00000"/>
      </left>
      <right/>
      <top style="medium">
        <color rgb="FFC00000"/>
      </top>
      <bottom style="medium">
        <color rgb="FFC00000"/>
      </bottom>
      <diagonal/>
    </border>
    <border>
      <left style="medium">
        <color rgb="FFC00000"/>
      </left>
      <right style="medium">
        <color rgb="FFC00000"/>
      </right>
      <top/>
      <bottom/>
      <diagonal/>
    </border>
    <border>
      <left/>
      <right style="medium">
        <color rgb="FF0000FF"/>
      </right>
      <top style="medium">
        <color rgb="FF0000FF"/>
      </top>
      <bottom style="medium">
        <color rgb="FF0000FF"/>
      </bottom>
      <diagonal/>
    </border>
    <border>
      <left/>
      <right/>
      <top style="medium">
        <color rgb="FF0000FF"/>
      </top>
      <bottom style="medium">
        <color rgb="FF0000FF"/>
      </bottom>
      <diagonal/>
    </border>
    <border>
      <left style="medium">
        <color rgb="FF0000FF"/>
      </left>
      <right/>
      <top style="medium">
        <color rgb="FF0000FF"/>
      </top>
      <bottom style="medium">
        <color rgb="FF0000FF"/>
      </bottom>
      <diagonal/>
    </border>
    <border>
      <left style="thick">
        <color rgb="FFC00000"/>
      </left>
      <right style="thick">
        <color rgb="FFC00000"/>
      </right>
      <top style="hair">
        <color indexed="64"/>
      </top>
      <bottom style="hair">
        <color indexed="64"/>
      </bottom>
      <diagonal/>
    </border>
    <border>
      <left style="hair">
        <color indexed="64"/>
      </left>
      <right style="medium">
        <color auto="1"/>
      </right>
      <top/>
      <bottom style="medium">
        <color auto="1"/>
      </bottom>
      <diagonal/>
    </border>
    <border>
      <left/>
      <right style="thin">
        <color auto="1"/>
      </right>
      <top style="thin">
        <color indexed="64"/>
      </top>
      <bottom style="medium">
        <color indexed="64"/>
      </bottom>
      <diagonal/>
    </border>
    <border>
      <left/>
      <right style="medium">
        <color rgb="FF0066CC"/>
      </right>
      <top/>
      <bottom style="medium">
        <color rgb="FF0066CC"/>
      </bottom>
      <diagonal/>
    </border>
    <border>
      <left/>
      <right style="medium">
        <color rgb="FF0066CC"/>
      </right>
      <top style="medium">
        <color rgb="FF0066CC"/>
      </top>
      <bottom/>
      <diagonal/>
    </border>
    <border>
      <left/>
      <right style="hair">
        <color auto="1"/>
      </right>
      <top/>
      <bottom style="hair">
        <color auto="1"/>
      </bottom>
      <diagonal/>
    </border>
    <border>
      <left style="medium">
        <color theme="9" tint="-0.24994659260841701"/>
      </left>
      <right style="medium">
        <color theme="9" tint="-0.24994659260841701"/>
      </right>
      <top style="medium">
        <color theme="9" tint="-0.24994659260841701"/>
      </top>
      <bottom style="medium">
        <color theme="9" tint="-0.24994659260841701"/>
      </bottom>
      <diagonal/>
    </border>
    <border>
      <left/>
      <right style="hair">
        <color indexed="64"/>
      </right>
      <top/>
      <bottom style="thin">
        <color indexed="64"/>
      </bottom>
      <diagonal/>
    </border>
    <border>
      <left/>
      <right style="hair">
        <color indexed="64"/>
      </right>
      <top/>
      <bottom/>
      <diagonal/>
    </border>
    <border>
      <left/>
      <right style="medium">
        <color theme="9" tint="-0.24994659260841701"/>
      </right>
      <top/>
      <bottom style="medium">
        <color theme="9" tint="-0.24994659260841701"/>
      </bottom>
      <diagonal/>
    </border>
    <border>
      <left/>
      <right style="medium">
        <color theme="9" tint="-0.24994659260841701"/>
      </right>
      <top style="medium">
        <color theme="9" tint="-0.24994659260841701"/>
      </top>
      <bottom/>
      <diagonal/>
    </border>
    <border>
      <left style="hair">
        <color indexed="64"/>
      </left>
      <right/>
      <top/>
      <bottom style="medium">
        <color indexed="64"/>
      </bottom>
      <diagonal/>
    </border>
    <border>
      <left style="medium">
        <color indexed="64"/>
      </left>
      <right style="hair">
        <color indexed="64"/>
      </right>
      <top/>
      <bottom style="medium">
        <color auto="1"/>
      </bottom>
      <diagonal/>
    </border>
    <border>
      <left style="medium">
        <color indexed="64"/>
      </left>
      <right style="hair">
        <color indexed="64"/>
      </right>
      <top/>
      <bottom/>
      <diagonal/>
    </border>
    <border>
      <left style="hair">
        <color indexed="64"/>
      </left>
      <right/>
      <top/>
      <bottom style="hair">
        <color indexed="64"/>
      </bottom>
      <diagonal/>
    </border>
    <border>
      <left style="medium">
        <color indexed="8"/>
      </left>
      <right/>
      <top/>
      <bottom style="hair">
        <color indexed="64"/>
      </bottom>
      <diagonal/>
    </border>
    <border>
      <left style="medium">
        <color indexed="8"/>
      </left>
      <right/>
      <top/>
      <bottom/>
      <diagonal/>
    </border>
    <border>
      <left/>
      <right style="medium">
        <color indexed="8"/>
      </right>
      <top style="medium">
        <color indexed="8"/>
      </top>
      <bottom/>
      <diagonal/>
    </border>
    <border>
      <left/>
      <right/>
      <top style="medium">
        <color indexed="8"/>
      </top>
      <bottom/>
      <diagonal/>
    </border>
    <border>
      <left style="medium">
        <color indexed="8"/>
      </left>
      <right/>
      <top style="medium">
        <color indexed="8"/>
      </top>
      <bottom/>
      <diagonal/>
    </border>
    <border>
      <left/>
      <right style="dotted">
        <color theme="0" tint="-0.24994659260841701"/>
      </right>
      <top/>
      <bottom style="dotted">
        <color theme="0" tint="-0.24994659260841701"/>
      </bottom>
      <diagonal/>
    </border>
    <border>
      <left/>
      <right/>
      <top/>
      <bottom style="dotted">
        <color theme="0" tint="-0.24994659260841701"/>
      </bottom>
      <diagonal/>
    </border>
    <border>
      <left style="dotted">
        <color theme="0" tint="-0.24994659260841701"/>
      </left>
      <right/>
      <top/>
      <bottom style="dotted">
        <color theme="0" tint="-0.24994659260841701"/>
      </bottom>
      <diagonal/>
    </border>
    <border>
      <left style="thin">
        <color indexed="64"/>
      </left>
      <right style="thin">
        <color indexed="64"/>
      </right>
      <top/>
      <bottom style="thin">
        <color indexed="64"/>
      </bottom>
      <diagonal/>
    </border>
    <border>
      <left/>
      <right style="dotted">
        <color theme="0" tint="-0.24994659260841701"/>
      </right>
      <top/>
      <bottom/>
      <diagonal/>
    </border>
    <border>
      <left style="dotted">
        <color theme="0" tint="-0.24994659260841701"/>
      </left>
      <right/>
      <top/>
      <bottom/>
      <diagonal/>
    </border>
    <border>
      <left style="thin">
        <color indexed="64"/>
      </left>
      <right style="thin">
        <color indexed="64"/>
      </right>
      <top/>
      <bottom/>
      <diagonal/>
    </border>
    <border>
      <left/>
      <right style="dotted">
        <color theme="0" tint="-0.24994659260841701"/>
      </right>
      <top style="dotted">
        <color theme="0" tint="-0.24994659260841701"/>
      </top>
      <bottom/>
      <diagonal/>
    </border>
    <border>
      <left/>
      <right/>
      <top style="dotted">
        <color theme="0" tint="-0.24994659260841701"/>
      </top>
      <bottom/>
      <diagonal/>
    </border>
    <border>
      <left style="dotted">
        <color theme="0" tint="-0.24994659260841701"/>
      </left>
      <right/>
      <top style="dotted">
        <color theme="0" tint="-0.24994659260841701"/>
      </top>
      <bottom/>
      <diagonal/>
    </border>
    <border>
      <left style="thin">
        <color indexed="64"/>
      </left>
      <right style="thin">
        <color indexed="64"/>
      </right>
      <top style="thin">
        <color indexed="64"/>
      </top>
      <bottom/>
      <diagonal/>
    </border>
    <border>
      <left/>
      <right style="thin">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medium">
        <color indexed="64"/>
      </top>
      <bottom/>
      <diagonal/>
    </border>
    <border>
      <left/>
      <right style="medium">
        <color indexed="64"/>
      </right>
      <top style="thin">
        <color theme="9" tint="0.39994506668294322"/>
      </top>
      <bottom style="thin">
        <color theme="9" tint="0.39994506668294322"/>
      </bottom>
      <diagonal/>
    </border>
    <border>
      <left style="medium">
        <color rgb="FFC00000"/>
      </left>
      <right/>
      <top/>
      <bottom/>
      <diagonal/>
    </border>
    <border>
      <left/>
      <right style="medium">
        <color rgb="FFC00000"/>
      </right>
      <top/>
      <bottom style="medium">
        <color rgb="FFC00000"/>
      </bottom>
      <diagonal/>
    </border>
    <border>
      <left style="medium">
        <color rgb="FFC00000"/>
      </left>
      <right/>
      <top/>
      <bottom style="medium">
        <color rgb="FFC00000"/>
      </bottom>
      <diagonal/>
    </border>
    <border>
      <left/>
      <right style="medium">
        <color rgb="FFC00000"/>
      </right>
      <top/>
      <bottom/>
      <diagonal/>
    </border>
    <border>
      <left/>
      <right style="medium">
        <color rgb="FFC00000"/>
      </right>
      <top style="medium">
        <color rgb="FFC00000"/>
      </top>
      <bottom/>
      <diagonal/>
    </border>
    <border>
      <left style="medium">
        <color rgb="FFC00000"/>
      </left>
      <right/>
      <top style="medium">
        <color rgb="FFC00000"/>
      </top>
      <bottom/>
      <diagonal/>
    </border>
    <border>
      <left style="thin">
        <color auto="1"/>
      </left>
      <right/>
      <top style="thin">
        <color auto="1"/>
      </top>
      <bottom style="thin">
        <color auto="1"/>
      </bottom>
      <diagonal/>
    </border>
    <border>
      <left/>
      <right style="medium">
        <color indexed="64"/>
      </right>
      <top style="thin">
        <color theme="9" tint="0.39991454817346722"/>
      </top>
      <bottom style="medium">
        <color auto="1"/>
      </bottom>
      <diagonal/>
    </border>
    <border>
      <left/>
      <right/>
      <top style="thin">
        <color theme="9" tint="0.39991454817346722"/>
      </top>
      <bottom style="medium">
        <color auto="1"/>
      </bottom>
      <diagonal/>
    </border>
    <border>
      <left style="medium">
        <color auto="1"/>
      </left>
      <right/>
      <top style="thin">
        <color theme="9" tint="0.39991454817346722"/>
      </top>
      <bottom style="medium">
        <color auto="1"/>
      </bottom>
      <diagonal/>
    </border>
    <border>
      <left/>
      <right style="thin">
        <color auto="1"/>
      </right>
      <top style="thin">
        <color theme="9" tint="0.39991454817346722"/>
      </top>
      <bottom style="medium">
        <color auto="1"/>
      </bottom>
      <diagonal/>
    </border>
    <border>
      <left style="thin">
        <color auto="1"/>
      </left>
      <right/>
      <top style="thin">
        <color theme="9" tint="0.39991454817346722"/>
      </top>
      <bottom style="medium">
        <color auto="1"/>
      </bottom>
      <diagonal/>
    </border>
    <border>
      <left/>
      <right/>
      <top style="hair">
        <color indexed="64"/>
      </top>
      <bottom style="medium">
        <color auto="1"/>
      </bottom>
      <diagonal/>
    </border>
    <border>
      <left style="medium">
        <color indexed="64"/>
      </left>
      <right style="thin">
        <color indexed="64"/>
      </right>
      <top/>
      <bottom style="medium">
        <color indexed="64"/>
      </bottom>
      <diagonal/>
    </border>
    <border>
      <left style="medium">
        <color indexed="8"/>
      </left>
      <right/>
      <top/>
      <bottom/>
      <diagonal/>
    </border>
    <border>
      <left/>
      <right style="medium">
        <color indexed="8"/>
      </right>
      <top/>
      <bottom style="thin">
        <color theme="9" tint="0.39991454817346722"/>
      </bottom>
      <diagonal/>
    </border>
    <border>
      <left/>
      <right style="thin">
        <color indexed="64"/>
      </right>
      <top/>
      <bottom style="hair">
        <color indexed="64"/>
      </bottom>
      <diagonal/>
    </border>
    <border>
      <left/>
      <right/>
      <top/>
      <bottom style="medium">
        <color rgb="FFC00000"/>
      </bottom>
      <diagonal/>
    </border>
    <border>
      <left/>
      <right style="thin">
        <color indexed="64"/>
      </right>
      <top style="medium">
        <color indexed="8"/>
      </top>
      <bottom/>
      <diagonal/>
    </border>
    <border>
      <left/>
      <right/>
      <top style="medium">
        <color indexed="8"/>
      </top>
      <bottom/>
      <diagonal/>
    </border>
    <border>
      <left style="thin">
        <color indexed="64"/>
      </left>
      <right/>
      <top style="medium">
        <color indexed="8"/>
      </top>
      <bottom/>
      <diagonal/>
    </border>
    <border>
      <left/>
      <right/>
      <top/>
      <bottom style="medium">
        <color indexed="8"/>
      </bottom>
      <diagonal/>
    </border>
    <border>
      <left/>
      <right style="medium">
        <color indexed="64"/>
      </right>
      <top style="medium">
        <color auto="1"/>
      </top>
      <bottom/>
      <diagonal/>
    </border>
    <border>
      <left/>
      <right/>
      <top style="medium">
        <color auto="1"/>
      </top>
      <bottom/>
      <diagonal/>
    </border>
    <border>
      <left style="hair">
        <color indexed="64"/>
      </left>
      <right style="hair">
        <color indexed="64"/>
      </right>
      <top style="hair">
        <color indexed="64"/>
      </top>
      <bottom style="hair">
        <color indexed="64"/>
      </bottom>
      <diagonal/>
    </border>
    <border>
      <left style="medium">
        <color indexed="8"/>
      </left>
      <right/>
      <top style="medium">
        <color indexed="8"/>
      </top>
      <bottom/>
      <diagonal/>
    </border>
    <border>
      <left/>
      <right style="medium">
        <color indexed="53"/>
      </right>
      <top/>
      <bottom/>
      <diagonal/>
    </border>
    <border>
      <left/>
      <right/>
      <top/>
      <bottom style="medium">
        <color rgb="FF0070C0"/>
      </bottom>
      <diagonal/>
    </border>
    <border>
      <left style="medium">
        <color rgb="FF0070C0"/>
      </left>
      <right/>
      <top/>
      <bottom style="medium">
        <color rgb="FF0070C0"/>
      </bottom>
      <diagonal/>
    </border>
    <border>
      <left/>
      <right/>
      <top style="medium">
        <color rgb="FF0070C0"/>
      </top>
      <bottom/>
      <diagonal/>
    </border>
    <border>
      <left style="medium">
        <color rgb="FF0070C0"/>
      </left>
      <right/>
      <top style="medium">
        <color rgb="FF0070C0"/>
      </top>
      <bottom/>
      <diagonal/>
    </border>
    <border>
      <left/>
      <right style="medium">
        <color indexed="64"/>
      </right>
      <top style="hair">
        <color indexed="64"/>
      </top>
      <bottom style="hair">
        <color indexed="64"/>
      </bottom>
      <diagonal/>
    </border>
    <border>
      <left/>
      <right style="medium">
        <color indexed="64"/>
      </right>
      <top style="dashed">
        <color indexed="64"/>
      </top>
      <bottom/>
      <diagonal/>
    </border>
    <border>
      <left/>
      <right/>
      <top style="dashed">
        <color indexed="64"/>
      </top>
      <bottom/>
      <diagonal/>
    </border>
    <border>
      <left style="medium">
        <color indexed="64"/>
      </left>
      <right/>
      <top style="dashed">
        <color indexed="64"/>
      </top>
      <bottom/>
      <diagonal/>
    </border>
    <border>
      <left/>
      <right style="medium">
        <color indexed="64"/>
      </right>
      <top/>
      <bottom style="dashed">
        <color indexed="64"/>
      </bottom>
      <diagonal/>
    </border>
    <border>
      <left/>
      <right/>
      <top/>
      <bottom style="dashed">
        <color indexed="64"/>
      </bottom>
      <diagonal/>
    </border>
    <border>
      <left style="medium">
        <color indexed="64"/>
      </left>
      <right/>
      <top/>
      <bottom style="dashed">
        <color indexed="64"/>
      </bottom>
      <diagonal/>
    </border>
    <border>
      <left style="hair">
        <color indexed="12"/>
      </left>
      <right style="hair">
        <color indexed="12"/>
      </right>
      <top/>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top style="hair">
        <color indexed="12"/>
      </top>
      <bottom/>
      <diagonal/>
    </border>
    <border>
      <left/>
      <right/>
      <top/>
      <bottom style="medium">
        <color indexed="30"/>
      </bottom>
      <diagonal/>
    </border>
    <border>
      <left style="medium">
        <color indexed="30"/>
      </left>
      <right/>
      <top/>
      <bottom style="medium">
        <color indexed="30"/>
      </bottom>
      <diagonal/>
    </border>
    <border>
      <left/>
      <right/>
      <top style="medium">
        <color indexed="30"/>
      </top>
      <bottom/>
      <diagonal/>
    </border>
    <border>
      <left style="medium">
        <color indexed="30"/>
      </left>
      <right/>
      <top style="medium">
        <color indexed="30"/>
      </top>
      <bottom/>
      <diagonal/>
    </border>
    <border>
      <left/>
      <right style="medium">
        <color auto="1"/>
      </right>
      <top/>
      <bottom style="medium">
        <color auto="1"/>
      </bottom>
      <diagonal/>
    </border>
    <border>
      <left/>
      <right/>
      <top/>
      <bottom style="medium">
        <color auto="1"/>
      </bottom>
      <diagonal/>
    </border>
    <border>
      <left style="medium">
        <color auto="1"/>
      </left>
      <right/>
      <top/>
      <bottom style="medium">
        <color auto="1"/>
      </bottom>
      <diagonal/>
    </border>
    <border>
      <left/>
      <right style="medium">
        <color indexed="64"/>
      </right>
      <top/>
      <bottom style="dashDot">
        <color indexed="64"/>
      </bottom>
      <diagonal/>
    </border>
    <border>
      <left/>
      <right/>
      <top/>
      <bottom style="dashDot">
        <color indexed="64"/>
      </bottom>
      <diagonal/>
    </border>
    <border>
      <left style="medium">
        <color indexed="64"/>
      </left>
      <right/>
      <top/>
      <bottom style="dashDot">
        <color indexed="64"/>
      </bottom>
      <diagonal/>
    </border>
    <border>
      <left style="hair">
        <color rgb="FFFF0000"/>
      </left>
      <right style="medium">
        <color indexed="64"/>
      </right>
      <top style="hair">
        <color rgb="FFFF0000"/>
      </top>
      <bottom style="hair">
        <color rgb="FFFF0000"/>
      </bottom>
      <diagonal/>
    </border>
    <border>
      <left style="hair">
        <color rgb="FFFF0000"/>
      </left>
      <right style="hair">
        <color rgb="FFFF0000"/>
      </right>
      <top style="hair">
        <color rgb="FFFF0000"/>
      </top>
      <bottom style="hair">
        <color rgb="FFFF0000"/>
      </bottom>
      <diagonal/>
    </border>
    <border>
      <left/>
      <right style="hair">
        <color indexed="12"/>
      </right>
      <top/>
      <bottom/>
      <diagonal/>
    </border>
    <border>
      <left style="hair">
        <color rgb="FF0000FF"/>
      </left>
      <right style="hair">
        <color rgb="FF0000FF"/>
      </right>
      <top style="hair">
        <color rgb="FF0000FF"/>
      </top>
      <bottom style="hair">
        <color rgb="FF0000FF"/>
      </bottom>
      <diagonal/>
    </border>
    <border>
      <left style="hair">
        <color indexed="12"/>
      </left>
      <right style="hair">
        <color indexed="12"/>
      </right>
      <top style="hair">
        <color indexed="12"/>
      </top>
      <bottom style="hair">
        <color indexed="12"/>
      </bottom>
      <diagonal/>
    </border>
    <border>
      <left/>
      <right/>
      <top/>
      <bottom style="hair">
        <color rgb="FF0000FF"/>
      </bottom>
      <diagonal/>
    </border>
    <border>
      <left/>
      <right style="medium">
        <color indexed="64"/>
      </right>
      <top style="hair">
        <color indexed="10"/>
      </top>
      <bottom/>
      <diagonal/>
    </border>
    <border>
      <left/>
      <right/>
      <top style="hair">
        <color indexed="10"/>
      </top>
      <bottom/>
      <diagonal/>
    </border>
    <border>
      <left style="medium">
        <color indexed="64"/>
      </left>
      <right/>
      <top style="hair">
        <color indexed="10"/>
      </top>
      <bottom/>
      <diagonal/>
    </border>
    <border>
      <left/>
      <right style="medium">
        <color indexed="64"/>
      </right>
      <top/>
      <bottom style="hair">
        <color indexed="10"/>
      </bottom>
      <diagonal/>
    </border>
    <border>
      <left/>
      <right/>
      <top/>
      <bottom style="hair">
        <color indexed="10"/>
      </bottom>
      <diagonal/>
    </border>
    <border>
      <left style="medium">
        <color indexed="64"/>
      </left>
      <right/>
      <top/>
      <bottom style="hair">
        <color indexed="10"/>
      </bottom>
      <diagonal/>
    </border>
    <border>
      <left/>
      <right style="medium">
        <color indexed="64"/>
      </right>
      <top style="hair">
        <color indexed="12"/>
      </top>
      <bottom/>
      <diagonal/>
    </border>
    <border>
      <left style="medium">
        <color indexed="64"/>
      </left>
      <right/>
      <top style="hair">
        <color indexed="12"/>
      </top>
      <bottom/>
      <diagonal/>
    </border>
    <border>
      <left/>
      <right style="medium">
        <color indexed="64"/>
      </right>
      <top/>
      <bottom style="hair">
        <color indexed="12"/>
      </bottom>
      <diagonal/>
    </border>
    <border>
      <left/>
      <right/>
      <top/>
      <bottom style="hair">
        <color indexed="12"/>
      </bottom>
      <diagonal/>
    </border>
    <border>
      <left style="medium">
        <color indexed="64"/>
      </left>
      <right/>
      <top/>
      <bottom style="hair">
        <color indexed="12"/>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medium">
        <color auto="1"/>
      </left>
      <right style="thin">
        <color auto="1"/>
      </right>
      <top style="thin">
        <color auto="1"/>
      </top>
      <bottom/>
      <diagonal/>
    </border>
    <border>
      <left style="medium">
        <color indexed="64"/>
      </left>
      <right style="thin">
        <color indexed="64"/>
      </right>
      <top/>
      <bottom style="thin">
        <color indexed="64"/>
      </bottom>
      <diagonal/>
    </border>
    <border>
      <left/>
      <right style="medium">
        <color indexed="64"/>
      </right>
      <top style="dashDot">
        <color indexed="64"/>
      </top>
      <bottom style="dashDot">
        <color indexed="64"/>
      </bottom>
      <diagonal/>
    </border>
    <border>
      <left/>
      <right/>
      <top style="dashDot">
        <color indexed="64"/>
      </top>
      <bottom style="dashDot">
        <color indexed="64"/>
      </bottom>
      <diagonal/>
    </border>
    <border>
      <left style="medium">
        <color indexed="64"/>
      </left>
      <right/>
      <top style="dashDot">
        <color indexed="64"/>
      </top>
      <bottom style="dashDot">
        <color indexed="64"/>
      </bottom>
      <diagonal/>
    </border>
    <border>
      <left/>
      <right style="medium">
        <color indexed="64"/>
      </right>
      <top style="mediumDashed">
        <color auto="1"/>
      </top>
      <bottom/>
      <diagonal/>
    </border>
    <border>
      <left/>
      <right/>
      <top style="mediumDashed">
        <color auto="1"/>
      </top>
      <bottom/>
      <diagonal/>
    </border>
    <border>
      <left style="medium">
        <color indexed="64"/>
      </left>
      <right/>
      <top style="mediumDashed">
        <color indexed="64"/>
      </top>
      <bottom/>
      <diagonal/>
    </border>
    <border>
      <left/>
      <right style="medium">
        <color indexed="64"/>
      </right>
      <top style="thin">
        <color indexed="64"/>
      </top>
      <bottom style="mediumDashed">
        <color indexed="64"/>
      </bottom>
      <diagonal/>
    </border>
    <border>
      <left/>
      <right/>
      <top style="thin">
        <color indexed="64"/>
      </top>
      <bottom style="mediumDashed">
        <color indexed="64"/>
      </bottom>
      <diagonal/>
    </border>
    <border>
      <left style="medium">
        <color indexed="64"/>
      </left>
      <right/>
      <top style="thin">
        <color indexed="64"/>
      </top>
      <bottom style="mediumDashed">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hair">
        <color theme="1" tint="0.499984740745262"/>
      </right>
      <top/>
      <bottom style="thin">
        <color indexed="64"/>
      </bottom>
      <diagonal/>
    </border>
    <border>
      <left style="hair">
        <color theme="1" tint="0.499984740745262"/>
      </left>
      <right/>
      <top/>
      <bottom style="thin">
        <color indexed="64"/>
      </bottom>
      <diagonal/>
    </border>
    <border>
      <left/>
      <right style="mediumDashDot">
        <color auto="1"/>
      </right>
      <top/>
      <bottom style="mediumDashDot">
        <color auto="1"/>
      </bottom>
      <diagonal/>
    </border>
    <border>
      <left/>
      <right/>
      <top/>
      <bottom style="mediumDashDot">
        <color auto="1"/>
      </bottom>
      <diagonal/>
    </border>
    <border>
      <left style="mediumDashDot">
        <color auto="1"/>
      </left>
      <right/>
      <top/>
      <bottom style="mediumDashDot">
        <color auto="1"/>
      </bottom>
      <diagonal/>
    </border>
    <border>
      <left/>
      <right style="mediumDashDot">
        <color auto="1"/>
      </right>
      <top style="mediumDashDot">
        <color auto="1"/>
      </top>
      <bottom/>
      <diagonal/>
    </border>
    <border>
      <left/>
      <right/>
      <top style="mediumDashDot">
        <color auto="1"/>
      </top>
      <bottom/>
      <diagonal/>
    </border>
    <border>
      <left style="mediumDashDot">
        <color auto="1"/>
      </left>
      <right/>
      <top style="mediumDashDot">
        <color auto="1"/>
      </top>
      <bottom/>
      <diagonal/>
    </border>
    <border>
      <left/>
      <right style="medium">
        <color indexed="8"/>
      </right>
      <top/>
      <bottom style="medium">
        <color indexed="8"/>
      </bottom>
      <diagonal/>
    </border>
    <border>
      <left/>
      <right/>
      <top/>
      <bottom style="medium">
        <color indexed="8"/>
      </bottom>
      <diagonal/>
    </border>
    <border>
      <left style="medium">
        <color indexed="8"/>
      </left>
      <right/>
      <top/>
      <bottom style="medium">
        <color indexed="8"/>
      </bottom>
      <diagonal/>
    </border>
    <border>
      <left style="medium">
        <color rgb="FF800000"/>
      </left>
      <right/>
      <top/>
      <bottom/>
      <diagonal/>
    </border>
    <border>
      <left/>
      <right/>
      <top style="medium">
        <color theme="9" tint="-0.24994659260841701"/>
      </top>
      <bottom/>
      <diagonal/>
    </border>
    <border>
      <left style="medium">
        <color theme="9" tint="-0.24994659260841701"/>
      </left>
      <right/>
      <top style="medium">
        <color theme="9" tint="-0.24994659260841701"/>
      </top>
      <bottom/>
      <diagonal/>
    </border>
    <border>
      <left style="medium">
        <color indexed="8"/>
      </left>
      <right style="medium">
        <color indexed="8"/>
      </right>
      <top style="medium">
        <color indexed="8"/>
      </top>
      <bottom/>
      <diagonal/>
    </border>
    <border>
      <left/>
      <right style="thin">
        <color indexed="64"/>
      </right>
      <top style="thin">
        <color indexed="64"/>
      </top>
      <bottom style="hair">
        <color indexed="64"/>
      </bottom>
      <diagonal/>
    </border>
    <border>
      <left/>
      <right style="mediumDashed">
        <color indexed="64"/>
      </right>
      <top/>
      <bottom style="mediumDashed">
        <color indexed="64"/>
      </bottom>
      <diagonal/>
    </border>
    <border>
      <left/>
      <right/>
      <top/>
      <bottom style="mediumDashed">
        <color indexed="64"/>
      </bottom>
      <diagonal/>
    </border>
    <border>
      <left style="mediumDashed">
        <color indexed="64"/>
      </left>
      <right/>
      <top/>
      <bottom style="mediumDashed">
        <color indexed="64"/>
      </bottom>
      <diagonal/>
    </border>
    <border>
      <left/>
      <right style="mediumDashed">
        <color indexed="64"/>
      </right>
      <top style="mediumDashed">
        <color indexed="64"/>
      </top>
      <bottom/>
      <diagonal/>
    </border>
    <border>
      <left style="mediumDashed">
        <color indexed="64"/>
      </left>
      <right/>
      <top style="mediumDashed">
        <color indexed="64"/>
      </top>
      <bottom/>
      <diagonal/>
    </border>
    <border>
      <left style="thin">
        <color auto="1"/>
      </left>
      <right style="thin">
        <color auto="1"/>
      </right>
      <top style="thin">
        <color auto="1"/>
      </top>
      <bottom style="thin">
        <color auto="1"/>
      </bottom>
      <diagonal/>
    </border>
    <border>
      <left/>
      <right style="medium">
        <color theme="0" tint="-0.24994659260841701"/>
      </right>
      <top/>
      <bottom style="medium">
        <color theme="0" tint="-0.24994659260841701"/>
      </bottom>
      <diagonal/>
    </border>
    <border>
      <left/>
      <right/>
      <top/>
      <bottom style="medium">
        <color theme="0" tint="-0.24994659260841701"/>
      </bottom>
      <diagonal/>
    </border>
    <border>
      <left style="medium">
        <color theme="0" tint="-0.24994659260841701"/>
      </left>
      <right/>
      <top/>
      <bottom style="medium">
        <color theme="0" tint="-0.24994659260841701"/>
      </bottom>
      <diagonal/>
    </border>
    <border>
      <left/>
      <right style="medium">
        <color theme="0" tint="-0.24994659260841701"/>
      </right>
      <top/>
      <bottom/>
      <diagonal/>
    </border>
    <border>
      <left style="medium">
        <color theme="0" tint="-0.24994659260841701"/>
      </left>
      <right/>
      <top/>
      <bottom/>
      <diagonal/>
    </border>
    <border>
      <left/>
      <right style="medium">
        <color theme="0" tint="-0.24994659260841701"/>
      </right>
      <top style="medium">
        <color theme="0" tint="-0.24994659260841701"/>
      </top>
      <bottom/>
      <diagonal/>
    </border>
    <border>
      <left/>
      <right/>
      <top style="medium">
        <color theme="0" tint="-0.24994659260841701"/>
      </top>
      <bottom/>
      <diagonal/>
    </border>
    <border>
      <left style="medium">
        <color theme="0" tint="-0.24994659260841701"/>
      </left>
      <right/>
      <top style="medium">
        <color theme="0" tint="-0.24994659260841701"/>
      </top>
      <bottom/>
      <diagonal/>
    </border>
    <border>
      <left/>
      <right style="medium">
        <color theme="0" tint="-0.14996795556505021"/>
      </right>
      <top/>
      <bottom style="medium">
        <color theme="0" tint="-0.14996795556505021"/>
      </bottom>
      <diagonal/>
    </border>
    <border>
      <left/>
      <right/>
      <top/>
      <bottom style="medium">
        <color theme="0" tint="-0.14996795556505021"/>
      </bottom>
      <diagonal/>
    </border>
    <border>
      <left style="medium">
        <color theme="0" tint="-0.14996795556505021"/>
      </left>
      <right/>
      <top/>
      <bottom style="medium">
        <color theme="0" tint="-0.14996795556505021"/>
      </bottom>
      <diagonal/>
    </border>
    <border>
      <left/>
      <right style="medium">
        <color theme="0" tint="-0.14996795556505021"/>
      </right>
      <top/>
      <bottom/>
      <diagonal/>
    </border>
    <border>
      <left style="medium">
        <color theme="0" tint="-0.14996795556505021"/>
      </left>
      <right/>
      <top/>
      <bottom/>
      <diagonal/>
    </border>
    <border>
      <left/>
      <right style="medium">
        <color theme="0" tint="-0.14996795556505021"/>
      </right>
      <top style="medium">
        <color theme="0" tint="-0.14996795556505021"/>
      </top>
      <bottom/>
      <diagonal/>
    </border>
    <border>
      <left/>
      <right/>
      <top style="medium">
        <color theme="0" tint="-0.14996795556505021"/>
      </top>
      <bottom/>
      <diagonal/>
    </border>
    <border>
      <left style="medium">
        <color theme="0" tint="-0.14996795556505021"/>
      </left>
      <right/>
      <top style="medium">
        <color theme="0" tint="-0.14996795556505021"/>
      </top>
      <bottom/>
      <diagonal/>
    </border>
    <border>
      <left/>
      <right style="medium">
        <color theme="0" tint="-0.24994659260841701"/>
      </right>
      <top style="medium">
        <color theme="0" tint="-0.24994659260841701"/>
      </top>
      <bottom style="medium">
        <color theme="0" tint="-0.24994659260841701"/>
      </bottom>
      <diagonal/>
    </border>
    <border>
      <left/>
      <right/>
      <top style="medium">
        <color theme="0" tint="-0.24994659260841701"/>
      </top>
      <bottom style="medium">
        <color theme="0" tint="-0.24994659260841701"/>
      </bottom>
      <diagonal/>
    </border>
    <border>
      <left style="medium">
        <color theme="0" tint="-0.24994659260841701"/>
      </left>
      <right/>
      <top style="medium">
        <color theme="0" tint="-0.24994659260841701"/>
      </top>
      <bottom style="medium">
        <color theme="0" tint="-0.24994659260841701"/>
      </bottom>
      <diagonal/>
    </border>
    <border>
      <left/>
      <right style="medium">
        <color theme="0" tint="-0.14993743705557422"/>
      </right>
      <top/>
      <bottom style="medium">
        <color theme="0" tint="-0.14996795556505021"/>
      </bottom>
      <diagonal/>
    </border>
    <border>
      <left/>
      <right style="medium">
        <color theme="0" tint="-0.14993743705557422"/>
      </right>
      <top/>
      <bottom/>
      <diagonal/>
    </border>
    <border>
      <left/>
      <right style="medium">
        <color theme="0" tint="-0.14993743705557422"/>
      </right>
      <top style="medium">
        <color theme="0" tint="-0.14996795556505021"/>
      </top>
      <bottom/>
      <diagonal/>
    </border>
    <border>
      <left/>
      <right style="thin">
        <color indexed="8"/>
      </right>
      <top/>
      <bottom style="thin">
        <color indexed="8"/>
      </bottom>
      <diagonal/>
    </border>
    <border>
      <left/>
      <right/>
      <top/>
      <bottom style="thin">
        <color indexed="8"/>
      </bottom>
      <diagonal/>
    </border>
    <border>
      <left style="thin">
        <color indexed="8"/>
      </left>
      <right/>
      <top/>
      <bottom style="thin">
        <color indexed="8"/>
      </bottom>
      <diagonal/>
    </border>
    <border>
      <left/>
      <right style="thin">
        <color indexed="8"/>
      </right>
      <top/>
      <bottom/>
      <diagonal/>
    </border>
    <border>
      <left style="thin">
        <color indexed="8"/>
      </left>
      <right/>
      <top/>
      <bottom/>
      <diagonal/>
    </border>
    <border>
      <left/>
      <right style="thin">
        <color indexed="8"/>
      </right>
      <top style="thin">
        <color indexed="8"/>
      </top>
      <bottom/>
      <diagonal/>
    </border>
    <border>
      <left/>
      <right/>
      <top style="thin">
        <color indexed="8"/>
      </top>
      <bottom/>
      <diagonal/>
    </border>
    <border>
      <left style="thin">
        <color indexed="8"/>
      </left>
      <right/>
      <top style="thin">
        <color indexed="8"/>
      </top>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hair">
        <color indexed="64"/>
      </left>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right style="hair">
        <color indexed="64"/>
      </right>
      <top/>
      <bottom style="medium">
        <color indexed="64"/>
      </bottom>
      <diagonal/>
    </border>
    <border>
      <left style="hair">
        <color indexed="64"/>
      </left>
      <right style="medium">
        <color indexed="64"/>
      </right>
      <top style="hair">
        <color indexed="64"/>
      </top>
      <bottom style="medium">
        <color indexed="64"/>
      </bottom>
      <diagonal/>
    </border>
    <border>
      <left/>
      <right style="hair">
        <color indexed="64"/>
      </right>
      <top style="hair">
        <color indexed="64"/>
      </top>
      <bottom style="medium">
        <color indexed="64"/>
      </bottom>
      <diagonal/>
    </border>
    <border>
      <left/>
      <right style="hair">
        <color indexed="64"/>
      </right>
      <top style="hair">
        <color indexed="64"/>
      </top>
      <bottom style="hair">
        <color indexed="64"/>
      </bottom>
      <diagonal/>
    </border>
    <border>
      <left/>
      <right style="medium">
        <color indexed="64"/>
      </right>
      <top/>
      <bottom style="hair">
        <color indexed="64"/>
      </bottom>
      <diagonal/>
    </border>
    <border>
      <left/>
      <right/>
      <top/>
      <bottom style="hair">
        <color indexed="64"/>
      </bottom>
      <diagonal/>
    </border>
    <border>
      <left style="thin">
        <color indexed="64"/>
      </left>
      <right/>
      <top/>
      <bottom style="hair">
        <color indexed="64"/>
      </bottom>
      <diagonal/>
    </border>
    <border>
      <left/>
      <right style="hair">
        <color indexed="64"/>
      </right>
      <top style="hair">
        <color indexed="64"/>
      </top>
      <bottom style="thin">
        <color indexed="64"/>
      </bottom>
      <diagonal/>
    </border>
    <border>
      <left/>
      <right style="medium">
        <color indexed="64"/>
      </right>
      <top style="hair">
        <color indexed="64"/>
      </top>
      <bottom/>
      <diagonal/>
    </border>
    <border>
      <left/>
      <right/>
      <top style="hair">
        <color indexed="64"/>
      </top>
      <bottom/>
      <diagonal/>
    </border>
    <border>
      <left style="hair">
        <color indexed="64"/>
      </left>
      <right style="medium">
        <color indexed="64"/>
      </right>
      <top/>
      <bottom style="hair">
        <color indexed="64"/>
      </bottom>
      <diagonal/>
    </border>
    <border>
      <left style="hair">
        <color indexed="64"/>
      </left>
      <right style="medium">
        <color indexed="64"/>
      </right>
      <top style="hair">
        <color indexed="64"/>
      </top>
      <bottom/>
      <diagonal/>
    </border>
    <border>
      <left style="hair">
        <color indexed="37"/>
      </left>
      <right style="hair">
        <color indexed="37"/>
      </right>
      <top/>
      <bottom/>
      <diagonal/>
    </border>
    <border>
      <left style="hair">
        <color indexed="64"/>
      </left>
      <right style="hair">
        <color indexed="64"/>
      </right>
      <top style="thin">
        <color indexed="64"/>
      </top>
      <bottom style="hair">
        <color indexed="64"/>
      </bottom>
      <diagonal/>
    </border>
    <border>
      <left style="medium">
        <color indexed="64"/>
      </left>
      <right/>
      <top style="thin">
        <color indexed="64"/>
      </top>
      <bottom/>
      <diagonal/>
    </border>
    <border>
      <left/>
      <right style="medium">
        <color auto="1"/>
      </right>
      <top style="thin">
        <color indexed="64"/>
      </top>
      <bottom/>
      <diagonal/>
    </border>
    <border>
      <left style="hair">
        <color indexed="64"/>
      </left>
      <right/>
      <top/>
      <bottom style="thin">
        <color indexed="64"/>
      </bottom>
      <diagonal/>
    </border>
    <border>
      <left/>
      <right style="hair">
        <color indexed="64"/>
      </right>
      <top/>
      <bottom style="thin">
        <color indexed="64"/>
      </bottom>
      <diagonal/>
    </border>
    <border>
      <left style="medium">
        <color auto="1"/>
      </left>
      <right/>
      <top/>
      <bottom style="hair">
        <color indexed="64"/>
      </bottom>
      <diagonal/>
    </border>
    <border>
      <left/>
      <right style="thick">
        <color indexed="9"/>
      </right>
      <top/>
      <bottom style="medium">
        <color indexed="64"/>
      </bottom>
      <diagonal/>
    </border>
    <border>
      <left style="medium">
        <color indexed="64"/>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diagonal/>
    </border>
    <border>
      <left style="hair">
        <color indexed="64"/>
      </left>
      <right/>
      <top style="thin">
        <color indexed="64"/>
      </top>
      <bottom/>
      <diagonal/>
    </border>
    <border>
      <left/>
      <right style="hair">
        <color indexed="64"/>
      </right>
      <top style="thin">
        <color indexed="64"/>
      </top>
      <bottom/>
      <diagonal/>
    </border>
    <border>
      <left style="thin">
        <color indexed="64"/>
      </left>
      <right/>
      <top style="thin">
        <color indexed="64"/>
      </top>
      <bottom/>
      <diagonal/>
    </border>
    <border>
      <left style="medium">
        <color indexed="64"/>
      </left>
      <right style="hair">
        <color indexed="64"/>
      </right>
      <top style="hair">
        <color indexed="64"/>
      </top>
      <bottom/>
      <diagonal/>
    </border>
    <border>
      <left style="thin">
        <color indexed="37"/>
      </left>
      <right/>
      <top/>
      <bottom style="thin">
        <color indexed="64"/>
      </bottom>
      <diagonal/>
    </border>
    <border>
      <left/>
      <right style="thin">
        <color indexed="64"/>
      </right>
      <top style="hair">
        <color indexed="64"/>
      </top>
      <bottom/>
      <diagonal/>
    </border>
    <border>
      <left style="hair">
        <color indexed="64"/>
      </left>
      <right style="thin">
        <color indexed="64"/>
      </right>
      <top style="hair">
        <color indexed="64"/>
      </top>
      <bottom/>
      <diagonal/>
    </border>
    <border>
      <left/>
      <right style="thin">
        <color indexed="64"/>
      </right>
      <top/>
      <bottom style="hair">
        <color indexed="64"/>
      </bottom>
      <diagonal/>
    </border>
    <border>
      <left/>
      <right style="thin">
        <color indexed="64"/>
      </right>
      <top style="thin">
        <color indexed="64"/>
      </top>
      <bottom/>
      <diagonal/>
    </border>
    <border>
      <left/>
      <right/>
      <top style="thin">
        <color indexed="64"/>
      </top>
      <bottom/>
      <diagonal/>
    </border>
    <border>
      <left/>
      <right style="thin">
        <color indexed="64"/>
      </right>
      <top/>
      <bottom/>
      <diagonal/>
    </border>
    <border>
      <left style="thin">
        <color indexed="37"/>
      </left>
      <right/>
      <top/>
      <bottom/>
      <diagonal/>
    </border>
    <border>
      <left/>
      <right style="thin">
        <color indexed="37"/>
      </right>
      <top/>
      <bottom/>
      <diagonal/>
    </border>
    <border>
      <left/>
      <right style="medium">
        <color indexed="37"/>
      </right>
      <top/>
      <bottom style="medium">
        <color indexed="37"/>
      </bottom>
      <diagonal/>
    </border>
    <border>
      <left/>
      <right/>
      <top/>
      <bottom style="medium">
        <color indexed="37"/>
      </bottom>
      <diagonal/>
    </border>
    <border>
      <left style="medium">
        <color indexed="37"/>
      </left>
      <right/>
      <top/>
      <bottom style="medium">
        <color indexed="37"/>
      </bottom>
      <diagonal/>
    </border>
    <border>
      <left style="medium">
        <color indexed="37"/>
      </left>
      <right/>
      <top/>
      <bottom/>
      <diagonal/>
    </border>
    <border>
      <left/>
      <right style="medium">
        <color indexed="37"/>
      </right>
      <top style="thin">
        <color indexed="37"/>
      </top>
      <bottom/>
      <diagonal/>
    </border>
    <border>
      <left/>
      <right/>
      <top style="thin">
        <color indexed="37"/>
      </top>
      <bottom/>
      <diagonal/>
    </border>
    <border>
      <left style="medium">
        <color indexed="37"/>
      </left>
      <right/>
      <top style="thin">
        <color indexed="37"/>
      </top>
      <bottom/>
      <diagonal/>
    </border>
    <border>
      <left/>
      <right style="medium">
        <color indexed="37"/>
      </right>
      <top style="medium">
        <color indexed="37"/>
      </top>
      <bottom/>
      <diagonal/>
    </border>
    <border>
      <left/>
      <right/>
      <top style="medium">
        <color indexed="37"/>
      </top>
      <bottom/>
      <diagonal/>
    </border>
    <border>
      <left style="medium">
        <color indexed="37"/>
      </left>
      <right/>
      <top style="medium">
        <color indexed="37"/>
      </top>
      <bottom/>
      <diagonal/>
    </border>
    <border>
      <left/>
      <right style="thin">
        <color indexed="37"/>
      </right>
      <top style="thin">
        <color indexed="37"/>
      </top>
      <bottom style="thin">
        <color indexed="37"/>
      </bottom>
      <diagonal/>
    </border>
    <border>
      <left/>
      <right/>
      <top style="thin">
        <color indexed="37"/>
      </top>
      <bottom style="thin">
        <color indexed="37"/>
      </bottom>
      <diagonal/>
    </border>
    <border>
      <left style="thin">
        <color indexed="37"/>
      </left>
      <right/>
      <top style="thin">
        <color indexed="37"/>
      </top>
      <bottom style="thin">
        <color indexed="37"/>
      </bottom>
      <diagonal/>
    </border>
    <border>
      <left/>
      <right style="medium">
        <color indexed="37"/>
      </right>
      <top/>
      <bottom style="thin">
        <color indexed="37"/>
      </bottom>
      <diagonal/>
    </border>
    <border>
      <left/>
      <right/>
      <top/>
      <bottom style="thin">
        <color indexed="37"/>
      </bottom>
      <diagonal/>
    </border>
    <border>
      <left style="medium">
        <color indexed="37"/>
      </left>
      <right/>
      <top/>
      <bottom style="thin">
        <color indexed="37"/>
      </bottom>
      <diagonal/>
    </border>
    <border>
      <left/>
      <right style="medium">
        <color indexed="64"/>
      </right>
      <top/>
      <bottom style="medium">
        <color indexed="64"/>
      </bottom>
      <diagonal/>
    </border>
    <border>
      <left/>
      <right/>
      <top/>
      <bottom style="medium">
        <color indexed="64"/>
      </bottom>
      <diagonal/>
    </border>
    <border>
      <left style="medium">
        <color auto="1"/>
      </left>
      <right style="hair">
        <color indexed="64"/>
      </right>
      <top/>
      <bottom/>
      <diagonal/>
    </border>
    <border>
      <left style="thin">
        <color auto="1"/>
      </left>
      <right style="hair">
        <color auto="1"/>
      </right>
      <top/>
      <bottom/>
      <diagonal/>
    </border>
    <border>
      <left/>
      <right style="medium">
        <color auto="1"/>
      </right>
      <top/>
      <bottom style="thin">
        <color auto="1"/>
      </bottom>
      <diagonal/>
    </border>
    <border>
      <left/>
      <right/>
      <top/>
      <bottom style="thin">
        <color auto="1"/>
      </bottom>
      <diagonal/>
    </border>
    <border>
      <left style="thin">
        <color indexed="64"/>
      </left>
      <right style="medium">
        <color auto="1"/>
      </right>
      <top/>
      <bottom/>
      <diagonal/>
    </border>
    <border>
      <left style="thin">
        <color indexed="64"/>
      </left>
      <right style="medium">
        <color auto="1"/>
      </right>
      <top style="thin">
        <color indexed="64"/>
      </top>
      <bottom/>
      <diagonal/>
    </border>
    <border>
      <left/>
      <right style="thin">
        <color auto="1"/>
      </right>
      <top/>
      <bottom style="thin">
        <color auto="1"/>
      </bottom>
      <diagonal/>
    </border>
    <border>
      <left style="thin">
        <color auto="1"/>
      </left>
      <right/>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auto="1"/>
      </top>
      <bottom style="medium">
        <color indexed="64"/>
      </bottom>
      <diagonal/>
    </border>
    <border>
      <left/>
      <right/>
      <top style="thin">
        <color auto="1"/>
      </top>
      <bottom style="medium">
        <color auto="1"/>
      </bottom>
      <diagonal/>
    </border>
    <border>
      <left style="medium">
        <color indexed="64"/>
      </left>
      <right/>
      <top style="thin">
        <color auto="1"/>
      </top>
      <bottom style="medium">
        <color indexed="64"/>
      </bottom>
      <diagonal/>
    </border>
    <border>
      <left/>
      <right style="thin">
        <color indexed="64"/>
      </right>
      <top/>
      <bottom style="medium">
        <color auto="1"/>
      </bottom>
      <diagonal/>
    </border>
    <border>
      <left style="medium">
        <color auto="1"/>
      </left>
      <right style="medium">
        <color auto="1"/>
      </right>
      <top/>
      <bottom/>
      <diagonal/>
    </border>
    <border>
      <left style="medium">
        <color indexed="64"/>
      </left>
      <right style="medium">
        <color indexed="64"/>
      </right>
      <top style="thin">
        <color indexed="64"/>
      </top>
      <bottom/>
      <diagonal/>
    </border>
    <border>
      <left style="medium">
        <color indexed="64"/>
      </left>
      <right style="thin">
        <color indexed="64"/>
      </right>
      <top/>
      <bottom/>
      <diagonal/>
    </border>
    <border>
      <left style="medium">
        <color indexed="37"/>
      </left>
      <right/>
      <top/>
      <bottom/>
      <diagonal/>
    </border>
    <border>
      <left style="medium">
        <color auto="1"/>
      </left>
      <right style="hair">
        <color indexed="64"/>
      </right>
      <top/>
      <bottom/>
      <diagonal/>
    </border>
    <border>
      <left/>
      <right style="medium">
        <color indexed="37"/>
      </right>
      <top/>
      <bottom style="thin">
        <color indexed="37"/>
      </bottom>
      <diagonal/>
    </border>
    <border>
      <left/>
      <right/>
      <top/>
      <bottom style="thin">
        <color indexed="37"/>
      </bottom>
      <diagonal/>
    </border>
    <border>
      <left style="medium">
        <color indexed="37"/>
      </left>
      <right/>
      <top/>
      <bottom style="thin">
        <color indexed="37"/>
      </bottom>
      <diagonal/>
    </border>
    <border>
      <left style="thin">
        <color auto="1"/>
      </left>
      <right/>
      <top style="thin">
        <color auto="1"/>
      </top>
      <bottom style="medium">
        <color auto="1"/>
      </bottom>
      <diagonal/>
    </border>
    <border>
      <left/>
      <right/>
      <top style="thin">
        <color indexed="16"/>
      </top>
      <bottom/>
      <diagonal/>
    </border>
    <border>
      <left/>
      <right style="medium">
        <color indexed="64"/>
      </right>
      <top style="thin">
        <color indexed="16"/>
      </top>
      <bottom/>
      <diagonal/>
    </border>
    <border>
      <left style="thin">
        <color auto="1"/>
      </left>
      <right/>
      <top style="thin">
        <color indexed="16"/>
      </top>
      <bottom/>
      <diagonal/>
    </border>
    <border>
      <left/>
      <right/>
      <top style="thin">
        <color indexed="64"/>
      </top>
      <bottom style="thin">
        <color indexed="16"/>
      </bottom>
      <diagonal/>
    </border>
    <border>
      <left/>
      <right style="hair">
        <color indexed="64"/>
      </right>
      <top style="thin">
        <color indexed="64"/>
      </top>
      <bottom style="thin">
        <color indexed="16"/>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16"/>
      </bottom>
      <diagonal/>
    </border>
    <border>
      <left style="thin">
        <color auto="1"/>
      </left>
      <right/>
      <top style="thin">
        <color indexed="64"/>
      </top>
      <bottom style="thin">
        <color indexed="16"/>
      </bottom>
      <diagonal/>
    </border>
    <border>
      <left/>
      <right/>
      <top style="thin">
        <color indexed="64"/>
      </top>
      <bottom style="thin">
        <color indexed="16"/>
      </bottom>
      <diagonal/>
    </border>
    <border>
      <left/>
      <right style="hair">
        <color indexed="64"/>
      </right>
      <top style="thin">
        <color indexed="64"/>
      </top>
      <bottom style="thin">
        <color indexed="16"/>
      </bottom>
      <diagonal/>
    </border>
    <border>
      <left style="medium">
        <color indexed="64"/>
      </left>
      <right/>
      <top style="thin">
        <color indexed="64"/>
      </top>
      <bottom style="thin">
        <color indexed="16"/>
      </bottom>
      <diagonal/>
    </border>
    <border>
      <left style="thin">
        <color auto="1"/>
      </left>
      <right/>
      <top style="thin">
        <color indexed="64"/>
      </top>
      <bottom style="thin">
        <color indexed="16"/>
      </bottom>
      <diagonal/>
    </border>
    <border>
      <left/>
      <right/>
      <top style="thin">
        <color auto="1"/>
      </top>
      <bottom style="thin">
        <color auto="1"/>
      </bottom>
      <diagonal/>
    </border>
    <border>
      <left/>
      <right style="thin">
        <color indexed="64"/>
      </right>
      <top style="thin">
        <color indexed="64"/>
      </top>
      <bottom style="thin">
        <color auto="1"/>
      </bottom>
      <diagonal/>
    </border>
    <border>
      <left style="medium">
        <color auto="1"/>
      </left>
      <right/>
      <top style="thin">
        <color indexed="64"/>
      </top>
      <bottom style="thin">
        <color auto="1"/>
      </bottom>
      <diagonal/>
    </border>
  </borders>
  <cellStyleXfs count="48">
    <xf numFmtId="0" fontId="0" fillId="0" borderId="0"/>
    <xf numFmtId="0" fontId="6" fillId="0" borderId="0"/>
    <xf numFmtId="0" fontId="1" fillId="0" borderId="0"/>
    <xf numFmtId="0" fontId="6" fillId="0" borderId="0"/>
    <xf numFmtId="0" fontId="20" fillId="0" borderId="0"/>
    <xf numFmtId="0" fontId="23" fillId="0" borderId="0"/>
    <xf numFmtId="0" fontId="6" fillId="0" borderId="0"/>
    <xf numFmtId="0" fontId="65" fillId="0" borderId="0"/>
    <xf numFmtId="0" fontId="83" fillId="0" borderId="0" applyNumberFormat="0" applyFill="0" applyBorder="0" applyAlignment="0" applyProtection="0"/>
    <xf numFmtId="0" fontId="86" fillId="0" borderId="0" applyNumberFormat="0" applyFill="0" applyBorder="0" applyAlignment="0" applyProtection="0"/>
    <xf numFmtId="0" fontId="88" fillId="0" borderId="0"/>
    <xf numFmtId="0" fontId="23" fillId="0" borderId="0"/>
    <xf numFmtId="0" fontId="1" fillId="0" borderId="0"/>
    <xf numFmtId="0" fontId="20" fillId="0" borderId="0"/>
    <xf numFmtId="0" fontId="6" fillId="0" borderId="0"/>
    <xf numFmtId="0" fontId="6" fillId="0" borderId="0"/>
    <xf numFmtId="0" fontId="1" fillId="0" borderId="0"/>
    <xf numFmtId="0" fontId="86"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alignment vertical="top"/>
      <protection locked="0"/>
    </xf>
    <xf numFmtId="0" fontId="6" fillId="0" borderId="0"/>
    <xf numFmtId="0" fontId="168" fillId="0" borderId="0"/>
    <xf numFmtId="0" fontId="20" fillId="0" borderId="0"/>
    <xf numFmtId="0" fontId="83" fillId="0" borderId="0" applyNumberFormat="0" applyFill="0" applyBorder="0" applyAlignment="0" applyProtection="0">
      <alignment vertical="top"/>
      <protection locked="0"/>
    </xf>
    <xf numFmtId="0" fontId="1" fillId="0" borderId="0"/>
    <xf numFmtId="0" fontId="6" fillId="0" borderId="0"/>
    <xf numFmtId="0" fontId="6" fillId="0" borderId="0"/>
    <xf numFmtId="0" fontId="20" fillId="0" borderId="0"/>
    <xf numFmtId="0" fontId="6" fillId="0" borderId="0"/>
    <xf numFmtId="0" fontId="1" fillId="0" borderId="0"/>
    <xf numFmtId="0" fontId="86" fillId="0" borderId="0" applyNumberFormat="0" applyFill="0" applyBorder="0" applyAlignment="0" applyProtection="0"/>
    <xf numFmtId="0" fontId="6" fillId="0" borderId="0"/>
    <xf numFmtId="0" fontId="1" fillId="0" borderId="0"/>
    <xf numFmtId="0" fontId="6" fillId="0" borderId="0"/>
    <xf numFmtId="0" fontId="83" fillId="0" borderId="0" applyNumberFormat="0" applyFill="0" applyBorder="0" applyAlignment="0" applyProtection="0">
      <alignment vertical="top"/>
      <protection locked="0"/>
    </xf>
    <xf numFmtId="0" fontId="1" fillId="0" borderId="0"/>
    <xf numFmtId="0" fontId="6" fillId="0" borderId="0"/>
    <xf numFmtId="0" fontId="65" fillId="0" borderId="0"/>
    <xf numFmtId="0" fontId="65" fillId="0" borderId="0"/>
    <xf numFmtId="0" fontId="1" fillId="0" borderId="0"/>
    <xf numFmtId="0" fontId="83" fillId="0" borderId="0" applyNumberFormat="0" applyFill="0" applyBorder="0" applyAlignment="0" applyProtection="0"/>
    <xf numFmtId="0" fontId="1" fillId="0" borderId="0"/>
    <xf numFmtId="0" fontId="6" fillId="0" borderId="0"/>
    <xf numFmtId="0" fontId="628" fillId="0" borderId="0" applyNumberFormat="0" applyFill="0" applyBorder="0" applyAlignment="0" applyProtection="0"/>
    <xf numFmtId="0" fontId="645" fillId="0" borderId="0"/>
    <xf numFmtId="0" fontId="83" fillId="0" borderId="0" applyNumberFormat="0" applyFill="0" applyBorder="0" applyAlignment="0" applyProtection="0">
      <alignment vertical="top"/>
      <protection locked="0"/>
    </xf>
    <xf numFmtId="0" fontId="6" fillId="0" borderId="0"/>
    <xf numFmtId="204" fontId="1" fillId="0" borderId="0" applyFont="0" applyFill="0" applyBorder="0" applyAlignment="0" applyProtection="0"/>
  </cellStyleXfs>
  <cellXfs count="5002">
    <xf numFmtId="0" fontId="0" fillId="0" borderId="0" xfId="0"/>
    <xf numFmtId="0" fontId="7" fillId="2" borderId="0" xfId="1" applyFont="1" applyFill="1" applyAlignment="1">
      <alignment horizontal="center" vertical="center"/>
    </xf>
    <xf numFmtId="2" fontId="8" fillId="0" borderId="1" xfId="2" applyNumberFormat="1" applyFont="1" applyBorder="1" applyAlignment="1">
      <alignment horizontal="center" textRotation="90"/>
    </xf>
    <xf numFmtId="164" fontId="9" fillId="3" borderId="0" xfId="1" applyNumberFormat="1" applyFont="1" applyFill="1" applyAlignment="1" applyProtection="1">
      <alignment horizontal="left" vertical="center"/>
      <protection hidden="1"/>
    </xf>
    <xf numFmtId="165" fontId="10" fillId="3" borderId="0" xfId="1" applyNumberFormat="1" applyFont="1" applyFill="1" applyAlignment="1" applyProtection="1">
      <alignment horizontal="center" vertical="center"/>
      <protection hidden="1"/>
    </xf>
    <xf numFmtId="0" fontId="11" fillId="3" borderId="0" xfId="1" applyFont="1" applyFill="1" applyAlignment="1">
      <alignment horizontal="center" vertical="center"/>
    </xf>
    <xf numFmtId="2" fontId="8" fillId="0" borderId="0" xfId="2" applyNumberFormat="1" applyFont="1" applyAlignment="1">
      <alignment horizontal="center" textRotation="90"/>
    </xf>
    <xf numFmtId="0" fontId="12" fillId="4" borderId="0" xfId="3" applyFont="1" applyFill="1" applyAlignment="1">
      <alignment vertical="center"/>
    </xf>
    <xf numFmtId="0" fontId="12" fillId="4" borderId="0" xfId="3" applyFont="1" applyFill="1"/>
    <xf numFmtId="0" fontId="12" fillId="4" borderId="0" xfId="3" applyFont="1" applyFill="1" applyAlignment="1">
      <alignment horizontal="center" vertical="center"/>
    </xf>
    <xf numFmtId="0" fontId="13" fillId="5" borderId="2" xfId="1" applyFont="1" applyFill="1" applyBorder="1" applyAlignment="1" applyProtection="1">
      <alignment horizontal="center" vertical="center" wrapText="1"/>
      <protection hidden="1"/>
    </xf>
    <xf numFmtId="0" fontId="14" fillId="6" borderId="3" xfId="1" applyFont="1" applyFill="1" applyBorder="1" applyAlignment="1">
      <alignment horizontal="right" vertical="center"/>
    </xf>
    <xf numFmtId="0" fontId="15" fillId="7" borderId="4" xfId="1" applyFont="1" applyFill="1" applyBorder="1" applyAlignment="1">
      <alignment vertical="center"/>
    </xf>
    <xf numFmtId="0" fontId="16" fillId="4" borderId="4" xfId="1" applyFont="1" applyFill="1" applyBorder="1" applyAlignment="1">
      <alignment vertical="center"/>
    </xf>
    <xf numFmtId="0" fontId="17" fillId="6" borderId="4" xfId="1" applyFont="1" applyFill="1" applyBorder="1" applyAlignment="1">
      <alignment horizontal="left" vertical="center"/>
    </xf>
    <xf numFmtId="0" fontId="18" fillId="6" borderId="4" xfId="1" applyFont="1" applyFill="1" applyBorder="1" applyAlignment="1">
      <alignment vertical="center"/>
    </xf>
    <xf numFmtId="0" fontId="18" fillId="6" borderId="6" xfId="1" applyFont="1" applyFill="1" applyBorder="1" applyAlignment="1">
      <alignment horizontal="right" vertical="center"/>
    </xf>
    <xf numFmtId="0" fontId="20" fillId="4" borderId="0" xfId="4" applyFill="1"/>
    <xf numFmtId="0" fontId="14" fillId="6" borderId="0" xfId="1" applyFont="1" applyFill="1" applyAlignment="1">
      <alignment horizontal="center" vertical="center"/>
    </xf>
    <xf numFmtId="0" fontId="22" fillId="7" borderId="0" xfId="1" applyFont="1" applyFill="1" applyAlignment="1">
      <alignment vertical="center"/>
    </xf>
    <xf numFmtId="0" fontId="24" fillId="10" borderId="0" xfId="5" applyFont="1" applyFill="1" applyAlignment="1">
      <alignment vertical="center" wrapText="1"/>
    </xf>
    <xf numFmtId="0" fontId="25" fillId="6" borderId="0" xfId="1" applyFont="1" applyFill="1" applyAlignment="1">
      <alignment horizontal="center" vertical="center"/>
    </xf>
    <xf numFmtId="0" fontId="17" fillId="6" borderId="0" xfId="1" applyFont="1" applyFill="1" applyAlignment="1">
      <alignment vertical="center"/>
    </xf>
    <xf numFmtId="0" fontId="17" fillId="6" borderId="0" xfId="1" applyFont="1" applyFill="1" applyAlignment="1">
      <alignment horizontal="right" vertical="center"/>
    </xf>
    <xf numFmtId="0" fontId="21" fillId="11" borderId="11" xfId="1" applyFont="1" applyFill="1" applyBorder="1" applyAlignment="1" applyProtection="1">
      <alignment horizontal="right" vertical="center"/>
      <protection locked="0"/>
    </xf>
    <xf numFmtId="0" fontId="18" fillId="4" borderId="0" xfId="1" applyFont="1" applyFill="1" applyAlignment="1">
      <alignment vertical="center"/>
    </xf>
    <xf numFmtId="0" fontId="25" fillId="4" borderId="0" xfId="1" applyFont="1" applyFill="1" applyAlignment="1">
      <alignment horizontal="center" vertical="center"/>
    </xf>
    <xf numFmtId="0" fontId="20" fillId="0" borderId="0" xfId="4"/>
    <xf numFmtId="0" fontId="14" fillId="4" borderId="16" xfId="1" applyFont="1" applyFill="1" applyBorder="1" applyAlignment="1">
      <alignment horizontal="right" vertical="center"/>
    </xf>
    <xf numFmtId="0" fontId="22" fillId="4" borderId="0" xfId="1" applyFont="1" applyFill="1" applyAlignment="1">
      <alignment horizontal="left" vertical="center"/>
    </xf>
    <xf numFmtId="0" fontId="14" fillId="4" borderId="0" xfId="1" applyFont="1" applyFill="1" applyAlignment="1">
      <alignment vertical="center"/>
    </xf>
    <xf numFmtId="0" fontId="18" fillId="6" borderId="0" xfId="1" applyFont="1" applyFill="1" applyAlignment="1">
      <alignment vertical="center"/>
    </xf>
    <xf numFmtId="0" fontId="25" fillId="4" borderId="0" xfId="1" applyFont="1" applyFill="1" applyAlignment="1">
      <alignment vertical="center"/>
    </xf>
    <xf numFmtId="0" fontId="25" fillId="6" borderId="0" xfId="1" applyFont="1" applyFill="1" applyAlignment="1">
      <alignment horizontal="right" vertical="center"/>
    </xf>
    <xf numFmtId="2" fontId="21" fillId="14" borderId="12" xfId="1" applyNumberFormat="1" applyFont="1" applyFill="1" applyBorder="1" applyAlignment="1" applyProtection="1">
      <alignment vertical="center"/>
      <protection locked="0"/>
    </xf>
    <xf numFmtId="0" fontId="29" fillId="4" borderId="13" xfId="3" applyFont="1" applyFill="1" applyBorder="1" applyAlignment="1">
      <alignment horizontal="center" vertical="center"/>
    </xf>
    <xf numFmtId="0" fontId="25" fillId="6" borderId="0" xfId="1" applyFont="1" applyFill="1" applyAlignment="1">
      <alignment vertical="center"/>
    </xf>
    <xf numFmtId="1" fontId="18" fillId="6" borderId="0" xfId="1" applyNumberFormat="1" applyFont="1" applyFill="1" applyAlignment="1">
      <alignment horizontal="center" vertical="center"/>
    </xf>
    <xf numFmtId="0" fontId="18" fillId="6" borderId="0" xfId="1" applyFont="1" applyFill="1" applyAlignment="1">
      <alignment horizontal="center" vertical="center"/>
    </xf>
    <xf numFmtId="0" fontId="18" fillId="6" borderId="12" xfId="1" applyFont="1" applyFill="1" applyBorder="1" applyAlignment="1">
      <alignment vertical="center"/>
    </xf>
    <xf numFmtId="0" fontId="33" fillId="15" borderId="0" xfId="1" applyFont="1" applyFill="1" applyAlignment="1" applyProtection="1">
      <alignment vertical="center"/>
      <protection hidden="1"/>
    </xf>
    <xf numFmtId="0" fontId="34" fillId="15" borderId="0" xfId="1" applyFont="1" applyFill="1" applyAlignment="1" applyProtection="1">
      <alignment horizontal="center" vertical="center"/>
      <protection hidden="1"/>
    </xf>
    <xf numFmtId="0" fontId="35" fillId="15" borderId="0" xfId="1" applyFont="1" applyFill="1" applyAlignment="1" applyProtection="1">
      <alignment horizontal="center" vertical="center"/>
      <protection hidden="1"/>
    </xf>
    <xf numFmtId="0" fontId="7" fillId="2" borderId="19" xfId="1" applyFont="1" applyFill="1" applyBorder="1" applyAlignment="1">
      <alignment horizontal="right" vertical="center"/>
    </xf>
    <xf numFmtId="0" fontId="43" fillId="15" borderId="0" xfId="4" applyFont="1" applyFill="1" applyAlignment="1">
      <alignment horizontal="center"/>
    </xf>
    <xf numFmtId="0" fontId="44" fillId="2" borderId="12" xfId="1" applyFont="1" applyFill="1" applyBorder="1" applyAlignment="1">
      <alignment horizontal="center" vertical="center"/>
    </xf>
    <xf numFmtId="0" fontId="45" fillId="13" borderId="13" xfId="3" applyFont="1" applyFill="1" applyBorder="1" applyAlignment="1">
      <alignment horizontal="left" vertical="center"/>
    </xf>
    <xf numFmtId="0" fontId="45" fillId="13" borderId="0" xfId="3" applyFont="1" applyFill="1" applyAlignment="1">
      <alignment horizontal="right" vertical="center"/>
    </xf>
    <xf numFmtId="0" fontId="45" fillId="13" borderId="12" xfId="3" applyFont="1" applyFill="1" applyBorder="1" applyAlignment="1">
      <alignment horizontal="center" vertical="center"/>
    </xf>
    <xf numFmtId="167" fontId="9" fillId="18" borderId="0" xfId="1" applyNumberFormat="1" applyFont="1" applyFill="1" applyAlignment="1">
      <alignment horizontal="center" vertical="center"/>
    </xf>
    <xf numFmtId="0" fontId="13" fillId="5" borderId="16" xfId="1" applyFont="1" applyFill="1" applyBorder="1" applyAlignment="1" applyProtection="1">
      <alignment horizontal="center" vertical="center" wrapText="1"/>
      <protection hidden="1"/>
    </xf>
    <xf numFmtId="0" fontId="40" fillId="19" borderId="0" xfId="1" applyFont="1" applyFill="1" applyAlignment="1" applyProtection="1">
      <alignment horizontal="left" vertical="center"/>
      <protection hidden="1"/>
    </xf>
    <xf numFmtId="0" fontId="13" fillId="20" borderId="16" xfId="1" applyFont="1" applyFill="1" applyBorder="1" applyAlignment="1" applyProtection="1">
      <alignment horizontal="center" vertical="center" wrapText="1"/>
      <protection hidden="1"/>
    </xf>
    <xf numFmtId="0" fontId="20" fillId="4" borderId="16" xfId="4" applyFill="1" applyBorder="1"/>
    <xf numFmtId="0" fontId="4" fillId="4" borderId="0" xfId="5" applyFont="1" applyFill="1" applyAlignment="1">
      <alignment horizontal="right" vertical="center"/>
    </xf>
    <xf numFmtId="167" fontId="46" fillId="21" borderId="0" xfId="1" applyNumberFormat="1" applyFont="1" applyFill="1" applyAlignment="1">
      <alignment horizontal="right" vertical="center"/>
    </xf>
    <xf numFmtId="0" fontId="46" fillId="4" borderId="0" xfId="1" applyFont="1" applyFill="1" applyAlignment="1">
      <alignment vertical="center"/>
    </xf>
    <xf numFmtId="0" fontId="46" fillId="4" borderId="0" xfId="1" applyFont="1" applyFill="1" applyAlignment="1" applyProtection="1">
      <alignment horizontal="left" vertical="center"/>
      <protection hidden="1"/>
    </xf>
    <xf numFmtId="0" fontId="1" fillId="4" borderId="12" xfId="1" applyFont="1" applyFill="1" applyBorder="1" applyAlignment="1">
      <alignment vertical="center"/>
    </xf>
    <xf numFmtId="0" fontId="47" fillId="13" borderId="13" xfId="3" applyFont="1" applyFill="1" applyBorder="1" applyAlignment="1">
      <alignment vertical="center"/>
    </xf>
    <xf numFmtId="0" fontId="47" fillId="13" borderId="0" xfId="3" applyFont="1" applyFill="1" applyAlignment="1">
      <alignment horizontal="right" vertical="center"/>
    </xf>
    <xf numFmtId="0" fontId="48" fillId="3" borderId="16" xfId="1" applyFont="1" applyFill="1" applyBorder="1" applyAlignment="1" applyProtection="1">
      <alignment horizontal="center" vertical="center" wrapText="1"/>
      <protection hidden="1"/>
    </xf>
    <xf numFmtId="0" fontId="40" fillId="23" borderId="0" xfId="1" applyFont="1" applyFill="1" applyAlignment="1" applyProtection="1">
      <alignment horizontal="centerContinuous" vertical="center"/>
      <protection hidden="1"/>
    </xf>
    <xf numFmtId="0" fontId="40" fillId="23" borderId="12" xfId="1" applyFont="1" applyFill="1" applyBorder="1" applyAlignment="1" applyProtection="1">
      <alignment horizontal="centerContinuous" vertical="center"/>
      <protection hidden="1"/>
    </xf>
    <xf numFmtId="0" fontId="51" fillId="4" borderId="13" xfId="0" applyFont="1" applyFill="1" applyBorder="1" applyAlignment="1">
      <alignment horizontal="center" vertical="center"/>
    </xf>
    <xf numFmtId="0" fontId="1" fillId="4" borderId="0" xfId="4" applyFont="1" applyFill="1" applyAlignment="1">
      <alignment horizontal="center" vertical="center"/>
    </xf>
    <xf numFmtId="0" fontId="51" fillId="4" borderId="16" xfId="0" applyFont="1" applyFill="1" applyBorder="1" applyAlignment="1">
      <alignment horizontal="center" vertical="center"/>
    </xf>
    <xf numFmtId="0" fontId="1" fillId="4" borderId="10" xfId="4" applyFont="1" applyFill="1" applyBorder="1" applyAlignment="1">
      <alignment horizontal="center" vertical="center"/>
    </xf>
    <xf numFmtId="0" fontId="1" fillId="4" borderId="12" xfId="4" applyFont="1" applyFill="1" applyBorder="1" applyAlignment="1">
      <alignment horizontal="center" vertical="center"/>
    </xf>
    <xf numFmtId="0" fontId="52" fillId="4" borderId="0" xfId="0" applyFont="1" applyFill="1" applyAlignment="1">
      <alignment horizontal="right" vertical="center"/>
    </xf>
    <xf numFmtId="0" fontId="50" fillId="6" borderId="21" xfId="0" applyFont="1" applyFill="1" applyBorder="1" applyAlignment="1">
      <alignment horizontal="center" vertical="center"/>
    </xf>
    <xf numFmtId="0" fontId="51" fillId="6" borderId="0" xfId="0" applyFont="1" applyFill="1" applyAlignment="1">
      <alignment horizontal="center" vertical="center"/>
    </xf>
    <xf numFmtId="0" fontId="53" fillId="6" borderId="0" xfId="0" applyFont="1" applyFill="1" applyAlignment="1">
      <alignment horizontal="center" vertical="center"/>
    </xf>
    <xf numFmtId="0" fontId="41" fillId="6" borderId="12" xfId="0" applyFont="1" applyFill="1" applyBorder="1" applyAlignment="1">
      <alignment horizontal="center" vertical="center" wrapText="1"/>
    </xf>
    <xf numFmtId="0" fontId="54" fillId="4" borderId="13" xfId="1" applyFont="1" applyFill="1" applyBorder="1" applyAlignment="1">
      <alignment horizontal="center"/>
    </xf>
    <xf numFmtId="0" fontId="54" fillId="4" borderId="0" xfId="1" applyFont="1" applyFill="1" applyAlignment="1">
      <alignment horizontal="center"/>
    </xf>
    <xf numFmtId="0" fontId="54" fillId="4" borderId="12" xfId="1" applyFont="1" applyFill="1" applyBorder="1" applyAlignment="1">
      <alignment horizontal="center"/>
    </xf>
    <xf numFmtId="168" fontId="35" fillId="24" borderId="22" xfId="0" applyNumberFormat="1" applyFont="1" applyFill="1" applyBorder="1" applyAlignment="1">
      <alignment vertical="center"/>
    </xf>
    <xf numFmtId="168" fontId="35" fillId="24" borderId="23" xfId="0" applyNumberFormat="1" applyFont="1" applyFill="1" applyBorder="1" applyAlignment="1">
      <alignment vertical="center"/>
    </xf>
    <xf numFmtId="168" fontId="35" fillId="24" borderId="24" xfId="0" applyNumberFormat="1" applyFont="1" applyFill="1" applyBorder="1" applyAlignment="1">
      <alignment vertical="center"/>
    </xf>
    <xf numFmtId="168" fontId="35" fillId="24" borderId="25" xfId="0" applyNumberFormat="1" applyFont="1" applyFill="1" applyBorder="1" applyAlignment="1">
      <alignment vertical="center"/>
    </xf>
    <xf numFmtId="168" fontId="35" fillId="24" borderId="26" xfId="0" applyNumberFormat="1" applyFont="1" applyFill="1" applyBorder="1" applyAlignment="1">
      <alignment vertical="center"/>
    </xf>
    <xf numFmtId="0" fontId="33" fillId="22" borderId="13" xfId="1" applyFont="1" applyFill="1" applyBorder="1" applyAlignment="1" applyProtection="1">
      <alignment horizontal="right" vertical="center"/>
      <protection hidden="1"/>
    </xf>
    <xf numFmtId="0" fontId="50" fillId="25" borderId="27" xfId="0" applyFont="1" applyFill="1" applyBorder="1" applyAlignment="1">
      <alignment horizontal="center" vertical="center"/>
    </xf>
    <xf numFmtId="0" fontId="51" fillId="25" borderId="27" xfId="0" applyFont="1" applyFill="1" applyBorder="1" applyAlignment="1">
      <alignment horizontal="center" vertical="center"/>
    </xf>
    <xf numFmtId="0" fontId="55" fillId="25" borderId="27" xfId="0" applyFont="1" applyFill="1" applyBorder="1" applyAlignment="1">
      <alignment horizontal="center" vertical="center"/>
    </xf>
    <xf numFmtId="0" fontId="51" fillId="25" borderId="28" xfId="0" applyFont="1" applyFill="1" applyBorder="1" applyAlignment="1">
      <alignment horizontal="center" vertical="center"/>
    </xf>
    <xf numFmtId="1" fontId="33" fillId="6" borderId="29" xfId="0" applyNumberFormat="1" applyFont="1" applyFill="1" applyBorder="1" applyAlignment="1">
      <alignment horizontal="center" vertical="center"/>
    </xf>
    <xf numFmtId="0" fontId="57" fillId="15" borderId="21" xfId="4" applyFont="1" applyFill="1" applyBorder="1" applyAlignment="1" applyProtection="1">
      <alignment horizontal="center" vertical="center"/>
      <protection locked="0"/>
    </xf>
    <xf numFmtId="165" fontId="58" fillId="15" borderId="21" xfId="4" applyNumberFormat="1" applyFont="1" applyFill="1" applyBorder="1" applyAlignment="1">
      <alignment horizontal="left" vertical="center" wrapText="1"/>
    </xf>
    <xf numFmtId="169" fontId="57" fillId="15" borderId="21" xfId="6" applyNumberFormat="1" applyFont="1" applyFill="1" applyBorder="1" applyAlignment="1">
      <alignment horizontal="center" vertical="center"/>
    </xf>
    <xf numFmtId="169" fontId="57" fillId="24" borderId="16" xfId="6" applyNumberFormat="1" applyFont="1" applyFill="1" applyBorder="1" applyAlignment="1">
      <alignment horizontal="center" vertical="center"/>
    </xf>
    <xf numFmtId="0" fontId="33" fillId="24" borderId="0" xfId="1" applyFont="1" applyFill="1" applyAlignment="1" applyProtection="1">
      <alignment horizontal="center" vertical="center" wrapText="1"/>
      <protection hidden="1"/>
    </xf>
    <xf numFmtId="0" fontId="33" fillId="3" borderId="30" xfId="1" applyFont="1" applyFill="1" applyBorder="1" applyAlignment="1">
      <alignment horizontal="center" vertical="center" wrapText="1"/>
    </xf>
    <xf numFmtId="0" fontId="33" fillId="3" borderId="10" xfId="1" applyFont="1" applyFill="1" applyBorder="1" applyAlignment="1">
      <alignment horizontal="center" vertical="center" wrapText="1"/>
    </xf>
    <xf numFmtId="0" fontId="33" fillId="3" borderId="16" xfId="1" applyFont="1" applyFill="1" applyBorder="1" applyAlignment="1">
      <alignment horizontal="center" vertical="center" wrapText="1"/>
    </xf>
    <xf numFmtId="0" fontId="33" fillId="3" borderId="26" xfId="1" applyFont="1" applyFill="1" applyBorder="1" applyAlignment="1">
      <alignment horizontal="center" vertical="center" wrapText="1"/>
    </xf>
    <xf numFmtId="165" fontId="59" fillId="24" borderId="0" xfId="1" applyNumberFormat="1" applyFont="1" applyFill="1" applyAlignment="1">
      <alignment vertical="center" wrapText="1"/>
    </xf>
    <xf numFmtId="0" fontId="40" fillId="24" borderId="26" xfId="1" applyFont="1" applyFill="1" applyBorder="1" applyAlignment="1" applyProtection="1">
      <alignment horizontal="center" vertical="center" wrapText="1"/>
      <protection hidden="1"/>
    </xf>
    <xf numFmtId="0" fontId="33" fillId="26" borderId="30" xfId="1" applyFont="1" applyFill="1" applyBorder="1" applyAlignment="1">
      <alignment horizontal="center" vertical="center"/>
    </xf>
    <xf numFmtId="169" fontId="41" fillId="27" borderId="31" xfId="1" applyNumberFormat="1" applyFont="1" applyFill="1" applyBorder="1" applyAlignment="1">
      <alignment horizontal="left" vertical="center"/>
    </xf>
    <xf numFmtId="169" fontId="33" fillId="26" borderId="32" xfId="1" applyNumberFormat="1" applyFont="1" applyFill="1" applyBorder="1" applyAlignment="1">
      <alignment horizontal="center" vertical="center"/>
    </xf>
    <xf numFmtId="0" fontId="20" fillId="24" borderId="0" xfId="4" applyFill="1"/>
    <xf numFmtId="0" fontId="60" fillId="4" borderId="0" xfId="0" applyFont="1" applyFill="1" applyAlignment="1">
      <alignment horizontal="right" vertical="center"/>
    </xf>
    <xf numFmtId="167" fontId="61" fillId="28" borderId="0" xfId="1" applyNumberFormat="1" applyFont="1" applyFill="1" applyAlignment="1">
      <alignment horizontal="center" vertical="center"/>
    </xf>
    <xf numFmtId="0" fontId="41" fillId="15" borderId="12" xfId="0" applyFont="1" applyFill="1" applyBorder="1" applyAlignment="1">
      <alignment horizontal="center" vertical="center" wrapText="1"/>
    </xf>
    <xf numFmtId="1" fontId="12" fillId="29" borderId="31" xfId="1" applyNumberFormat="1" applyFont="1" applyFill="1" applyBorder="1" applyAlignment="1">
      <alignment horizontal="center" vertical="center"/>
    </xf>
    <xf numFmtId="169" fontId="35" fillId="29" borderId="31" xfId="1" applyNumberFormat="1" applyFont="1" applyFill="1" applyBorder="1" applyAlignment="1">
      <alignment horizontal="center" vertical="center"/>
    </xf>
    <xf numFmtId="169" fontId="12" fillId="30" borderId="31" xfId="1" applyNumberFormat="1" applyFont="1" applyFill="1" applyBorder="1" applyAlignment="1">
      <alignment horizontal="center" vertical="center"/>
    </xf>
    <xf numFmtId="0" fontId="9" fillId="31" borderId="16" xfId="1" applyFont="1" applyFill="1" applyBorder="1" applyAlignment="1">
      <alignment horizontal="center" vertical="center"/>
    </xf>
    <xf numFmtId="0" fontId="62" fillId="4" borderId="0" xfId="4" applyFont="1" applyFill="1" applyAlignment="1">
      <alignment horizontal="left" vertical="center"/>
    </xf>
    <xf numFmtId="170" fontId="17" fillId="32" borderId="30" xfId="1" applyNumberFormat="1" applyFont="1" applyFill="1" applyBorder="1" applyAlignment="1">
      <alignment horizontal="center" vertical="center"/>
    </xf>
    <xf numFmtId="170" fontId="17" fillId="32" borderId="31" xfId="1" applyNumberFormat="1" applyFont="1" applyFill="1" applyBorder="1" applyAlignment="1">
      <alignment horizontal="center" vertical="center"/>
    </xf>
    <xf numFmtId="170" fontId="17" fillId="32" borderId="35" xfId="1" applyNumberFormat="1" applyFont="1" applyFill="1" applyBorder="1" applyAlignment="1">
      <alignment horizontal="center" vertical="center"/>
    </xf>
    <xf numFmtId="170" fontId="17" fillId="32" borderId="36" xfId="1" applyNumberFormat="1" applyFont="1" applyFill="1" applyBorder="1" applyAlignment="1">
      <alignment horizontal="center" vertical="center"/>
    </xf>
    <xf numFmtId="170" fontId="17" fillId="32" borderId="32" xfId="1" applyNumberFormat="1" applyFont="1" applyFill="1" applyBorder="1" applyAlignment="1">
      <alignment horizontal="center" vertical="center"/>
    </xf>
    <xf numFmtId="171" fontId="63" fillId="33" borderId="37" xfId="1" applyNumberFormat="1" applyFont="1" applyFill="1" applyBorder="1" applyAlignment="1" applyProtection="1">
      <alignment horizontal="center" vertical="center"/>
      <protection locked="0"/>
    </xf>
    <xf numFmtId="169" fontId="33" fillId="32" borderId="32" xfId="1" applyNumberFormat="1" applyFont="1" applyFill="1" applyBorder="1" applyAlignment="1">
      <alignment horizontal="center" vertical="center"/>
    </xf>
    <xf numFmtId="1" fontId="33" fillId="32" borderId="30" xfId="1" applyNumberFormat="1" applyFont="1" applyFill="1" applyBorder="1" applyAlignment="1">
      <alignment horizontal="center" vertical="center"/>
    </xf>
    <xf numFmtId="0" fontId="41" fillId="32" borderId="31" xfId="1" applyFont="1" applyFill="1" applyBorder="1" applyAlignment="1">
      <alignment horizontal="left" vertical="center"/>
    </xf>
    <xf numFmtId="164" fontId="64" fillId="34" borderId="31" xfId="1" applyNumberFormat="1" applyFont="1" applyFill="1" applyBorder="1" applyAlignment="1">
      <alignment horizontal="center" vertical="center"/>
    </xf>
    <xf numFmtId="164" fontId="33" fillId="29" borderId="31" xfId="1" applyNumberFormat="1" applyFont="1" applyFill="1" applyBorder="1" applyAlignment="1">
      <alignment horizontal="center" vertical="center"/>
    </xf>
    <xf numFmtId="0" fontId="66" fillId="4" borderId="16" xfId="7" applyFont="1" applyFill="1" applyBorder="1" applyAlignment="1">
      <alignment horizontal="center" vertical="center"/>
    </xf>
    <xf numFmtId="0" fontId="34" fillId="4" borderId="0" xfId="0" applyFont="1" applyFill="1" applyAlignment="1">
      <alignment horizontal="right" vertical="center"/>
    </xf>
    <xf numFmtId="170" fontId="9" fillId="18" borderId="0" xfId="1" applyNumberFormat="1" applyFont="1" applyFill="1" applyAlignment="1">
      <alignment horizontal="center" vertical="center"/>
    </xf>
    <xf numFmtId="170" fontId="9" fillId="18" borderId="12" xfId="1" applyNumberFormat="1" applyFont="1" applyFill="1" applyBorder="1" applyAlignment="1">
      <alignment horizontal="center" vertical="center"/>
    </xf>
    <xf numFmtId="3" fontId="67" fillId="15" borderId="13" xfId="6" applyNumberFormat="1" applyFont="1" applyFill="1" applyBorder="1" applyAlignment="1" applyProtection="1">
      <alignment horizontal="center" vertical="center"/>
      <protection locked="0"/>
    </xf>
    <xf numFmtId="172" fontId="68" fillId="15" borderId="0" xfId="6" applyNumberFormat="1" applyFont="1" applyFill="1" applyAlignment="1" applyProtection="1">
      <alignment horizontal="center" vertical="center"/>
      <protection locked="0"/>
    </xf>
    <xf numFmtId="169" fontId="69" fillId="15" borderId="12" xfId="5" applyNumberFormat="1" applyFont="1" applyFill="1" applyBorder="1" applyAlignment="1">
      <alignment horizontal="center" vertical="center"/>
    </xf>
    <xf numFmtId="169" fontId="71" fillId="35" borderId="28" xfId="6" applyNumberFormat="1" applyFont="1" applyFill="1" applyBorder="1" applyAlignment="1">
      <alignment horizontal="center" vertical="center"/>
    </xf>
    <xf numFmtId="169" fontId="12" fillId="36" borderId="31" xfId="1" applyNumberFormat="1" applyFont="1" applyFill="1" applyBorder="1" applyAlignment="1">
      <alignment horizontal="center" vertical="center"/>
    </xf>
    <xf numFmtId="0" fontId="9" fillId="37" borderId="16" xfId="1" applyFont="1" applyFill="1" applyBorder="1" applyAlignment="1">
      <alignment horizontal="center" vertical="center"/>
    </xf>
    <xf numFmtId="170" fontId="17" fillId="38" borderId="30" xfId="1" applyNumberFormat="1" applyFont="1" applyFill="1" applyBorder="1" applyAlignment="1">
      <alignment horizontal="center" vertical="center"/>
    </xf>
    <xf numFmtId="170" fontId="17" fillId="38" borderId="31" xfId="1" applyNumberFormat="1" applyFont="1" applyFill="1" applyBorder="1" applyAlignment="1">
      <alignment horizontal="center" vertical="center"/>
    </xf>
    <xf numFmtId="170" fontId="17" fillId="38" borderId="35" xfId="1" applyNumberFormat="1" applyFont="1" applyFill="1" applyBorder="1" applyAlignment="1">
      <alignment horizontal="center" vertical="center"/>
    </xf>
    <xf numFmtId="170" fontId="17" fillId="38" borderId="36" xfId="1" applyNumberFormat="1" applyFont="1" applyFill="1" applyBorder="1" applyAlignment="1">
      <alignment horizontal="center" vertical="center"/>
    </xf>
    <xf numFmtId="170" fontId="17" fillId="38" borderId="32" xfId="1" applyNumberFormat="1" applyFont="1" applyFill="1" applyBorder="1" applyAlignment="1">
      <alignment horizontal="center" vertical="center"/>
    </xf>
    <xf numFmtId="169" fontId="33" fillId="38" borderId="32" xfId="1" applyNumberFormat="1" applyFont="1" applyFill="1" applyBorder="1" applyAlignment="1">
      <alignment horizontal="center" vertical="center"/>
    </xf>
    <xf numFmtId="2" fontId="33" fillId="38" borderId="30" xfId="1" applyNumberFormat="1" applyFont="1" applyFill="1" applyBorder="1" applyAlignment="1">
      <alignment horizontal="center" vertical="center"/>
    </xf>
    <xf numFmtId="0" fontId="41" fillId="38" borderId="31" xfId="1" applyFont="1" applyFill="1" applyBorder="1" applyAlignment="1">
      <alignment horizontal="left" vertical="center"/>
    </xf>
    <xf numFmtId="0" fontId="20" fillId="0" borderId="16" xfId="4" applyBorder="1"/>
    <xf numFmtId="173" fontId="72" fillId="39" borderId="38" xfId="0" applyNumberFormat="1" applyFont="1" applyFill="1" applyBorder="1" applyAlignment="1" applyProtection="1">
      <alignment horizontal="center" vertical="center"/>
      <protection locked="0"/>
    </xf>
    <xf numFmtId="0" fontId="64" fillId="4" borderId="0" xfId="0" applyFont="1" applyFill="1" applyAlignment="1">
      <alignment horizontal="left" vertical="center"/>
    </xf>
    <xf numFmtId="0" fontId="60" fillId="4" borderId="0" xfId="4" applyFont="1" applyFill="1"/>
    <xf numFmtId="0" fontId="20" fillId="15" borderId="12" xfId="4" applyFill="1" applyBorder="1"/>
    <xf numFmtId="0" fontId="48" fillId="13" borderId="13" xfId="3" applyFont="1" applyFill="1" applyBorder="1" applyAlignment="1">
      <alignment vertical="center"/>
    </xf>
    <xf numFmtId="0" fontId="12" fillId="13" borderId="0" xfId="3" applyFont="1" applyFill="1" applyAlignment="1">
      <alignment horizontal="center" vertical="center"/>
    </xf>
    <xf numFmtId="0" fontId="48" fillId="13" borderId="12" xfId="3" applyFont="1" applyFill="1" applyBorder="1" applyAlignment="1">
      <alignment vertical="center"/>
    </xf>
    <xf numFmtId="2" fontId="33" fillId="32" borderId="30" xfId="1" applyNumberFormat="1" applyFont="1" applyFill="1" applyBorder="1" applyAlignment="1">
      <alignment horizontal="center" vertical="center"/>
    </xf>
    <xf numFmtId="167" fontId="34" fillId="21" borderId="0" xfId="1" applyNumberFormat="1" applyFont="1" applyFill="1" applyAlignment="1">
      <alignment horizontal="center" vertical="center"/>
    </xf>
    <xf numFmtId="0" fontId="41" fillId="22" borderId="12" xfId="0" applyFont="1" applyFill="1" applyBorder="1" applyAlignment="1">
      <alignment horizontal="center" vertical="center" wrapText="1"/>
    </xf>
    <xf numFmtId="0" fontId="0" fillId="4" borderId="0" xfId="0" applyFill="1"/>
    <xf numFmtId="164" fontId="64" fillId="28" borderId="31" xfId="1" applyNumberFormat="1" applyFont="1" applyFill="1" applyBorder="1" applyAlignment="1">
      <alignment horizontal="center" vertical="center"/>
    </xf>
    <xf numFmtId="170" fontId="34" fillId="40" borderId="0" xfId="1" applyNumberFormat="1" applyFont="1" applyFill="1" applyAlignment="1">
      <alignment horizontal="center" vertical="center"/>
    </xf>
    <xf numFmtId="166" fontId="46" fillId="41" borderId="12" xfId="1" applyNumberFormat="1" applyFont="1" applyFill="1" applyBorder="1" applyAlignment="1">
      <alignment horizontal="center" vertical="center"/>
    </xf>
    <xf numFmtId="174" fontId="48" fillId="4" borderId="0" xfId="0" applyNumberFormat="1" applyFont="1" applyFill="1" applyAlignment="1">
      <alignment horizontal="center" vertical="center"/>
    </xf>
    <xf numFmtId="0" fontId="73" fillId="22" borderId="12" xfId="1" applyFont="1" applyFill="1" applyBorder="1" applyAlignment="1">
      <alignment horizontal="center" vertical="center"/>
    </xf>
    <xf numFmtId="0" fontId="66" fillId="4" borderId="39" xfId="7" applyFont="1" applyFill="1" applyBorder="1" applyAlignment="1">
      <alignment horizontal="center" vertical="center"/>
    </xf>
    <xf numFmtId="0" fontId="62" fillId="4" borderId="40" xfId="4" applyFont="1" applyFill="1" applyBorder="1" applyAlignment="1">
      <alignment horizontal="left" vertical="center"/>
    </xf>
    <xf numFmtId="0" fontId="34" fillId="4" borderId="40" xfId="0" applyFont="1" applyFill="1" applyBorder="1" applyAlignment="1">
      <alignment horizontal="right" vertical="center"/>
    </xf>
    <xf numFmtId="168" fontId="48" fillId="4" borderId="40" xfId="0" applyNumberFormat="1" applyFont="1" applyFill="1" applyBorder="1" applyAlignment="1">
      <alignment horizontal="center" vertical="center"/>
    </xf>
    <xf numFmtId="168" fontId="46" fillId="22" borderId="41" xfId="0" applyNumberFormat="1" applyFont="1" applyFill="1" applyBorder="1" applyAlignment="1">
      <alignment horizontal="center" vertical="center"/>
    </xf>
    <xf numFmtId="0" fontId="74" fillId="42" borderId="17" xfId="1" applyFont="1" applyFill="1" applyBorder="1" applyAlignment="1" applyProtection="1">
      <alignment horizontal="center" vertical="center"/>
      <protection hidden="1"/>
    </xf>
    <xf numFmtId="0" fontId="29" fillId="4" borderId="20" xfId="1" applyFont="1" applyFill="1" applyBorder="1" applyAlignment="1" applyProtection="1">
      <alignment vertical="center"/>
      <protection hidden="1"/>
    </xf>
    <xf numFmtId="0" fontId="50" fillId="4" borderId="18" xfId="4" applyFont="1" applyFill="1" applyBorder="1" applyAlignment="1">
      <alignment vertical="center"/>
    </xf>
    <xf numFmtId="0" fontId="50" fillId="4" borderId="19" xfId="4" applyFont="1" applyFill="1" applyBorder="1" applyAlignment="1">
      <alignment vertical="center"/>
    </xf>
    <xf numFmtId="0" fontId="75" fillId="4" borderId="42" xfId="1" applyFont="1" applyFill="1" applyBorder="1" applyAlignment="1" applyProtection="1">
      <alignment horizontal="center" vertical="center"/>
      <protection hidden="1"/>
    </xf>
    <xf numFmtId="0" fontId="62" fillId="4" borderId="12" xfId="4" applyFont="1" applyFill="1" applyBorder="1" applyAlignment="1">
      <alignment horizontal="left" vertical="center"/>
    </xf>
    <xf numFmtId="0" fontId="12" fillId="13" borderId="13" xfId="3" applyFont="1" applyFill="1" applyBorder="1"/>
    <xf numFmtId="0" fontId="12" fillId="13" borderId="0" xfId="3" applyFont="1" applyFill="1"/>
    <xf numFmtId="0" fontId="12" fillId="13" borderId="12" xfId="3" applyFont="1" applyFill="1" applyBorder="1"/>
    <xf numFmtId="0" fontId="76" fillId="13" borderId="13" xfId="3" applyFont="1" applyFill="1" applyBorder="1" applyAlignment="1">
      <alignment vertical="center"/>
    </xf>
    <xf numFmtId="0" fontId="76" fillId="13" borderId="0" xfId="3" applyFont="1" applyFill="1" applyAlignment="1">
      <alignment horizontal="right" vertical="center"/>
    </xf>
    <xf numFmtId="0" fontId="76" fillId="13" borderId="12" xfId="3" applyFont="1" applyFill="1" applyBorder="1" applyAlignment="1">
      <alignment horizontal="center" vertical="center"/>
    </xf>
    <xf numFmtId="1" fontId="9" fillId="13" borderId="12" xfId="3" applyNumberFormat="1" applyFont="1" applyFill="1" applyBorder="1" applyAlignment="1">
      <alignment horizontal="center" vertical="center"/>
    </xf>
    <xf numFmtId="0" fontId="77" fillId="13" borderId="43" xfId="3" applyFont="1" applyFill="1" applyBorder="1" applyAlignment="1">
      <alignment vertical="center" wrapText="1"/>
    </xf>
    <xf numFmtId="0" fontId="77" fillId="13" borderId="44" xfId="3" applyFont="1" applyFill="1" applyBorder="1" applyAlignment="1">
      <alignment vertical="center" wrapText="1"/>
    </xf>
    <xf numFmtId="0" fontId="77" fillId="13" borderId="45" xfId="3" applyFont="1" applyFill="1" applyBorder="1" applyAlignment="1">
      <alignment vertical="center" wrapText="1"/>
    </xf>
    <xf numFmtId="1" fontId="21" fillId="11" borderId="47" xfId="1" applyNumberFormat="1" applyFont="1" applyFill="1" applyBorder="1" applyAlignment="1" applyProtection="1">
      <alignment horizontal="center" vertical="center"/>
      <protection locked="0"/>
    </xf>
    <xf numFmtId="0" fontId="77" fillId="13" borderId="48" xfId="2" applyFont="1" applyFill="1" applyBorder="1"/>
    <xf numFmtId="0" fontId="77" fillId="13" borderId="18" xfId="2" applyFont="1" applyFill="1" applyBorder="1"/>
    <xf numFmtId="0" fontId="77" fillId="13" borderId="19" xfId="2" applyFont="1" applyFill="1" applyBorder="1" applyAlignment="1">
      <alignment horizontal="right" vertical="center"/>
    </xf>
    <xf numFmtId="0" fontId="77" fillId="13" borderId="13" xfId="3" applyFont="1" applyFill="1" applyBorder="1" applyAlignment="1">
      <alignment vertical="center"/>
    </xf>
    <xf numFmtId="0" fontId="77" fillId="13" borderId="0" xfId="3" applyFont="1" applyFill="1" applyAlignment="1">
      <alignment vertical="center"/>
    </xf>
    <xf numFmtId="0" fontId="77" fillId="13" borderId="12" xfId="3" applyFont="1" applyFill="1" applyBorder="1" applyAlignment="1">
      <alignment vertical="center"/>
    </xf>
    <xf numFmtId="0" fontId="76" fillId="13" borderId="0" xfId="3" applyFont="1" applyFill="1" applyAlignment="1">
      <alignment vertical="center"/>
    </xf>
    <xf numFmtId="0" fontId="76" fillId="13" borderId="12" xfId="3" applyFont="1" applyFill="1" applyBorder="1" applyAlignment="1">
      <alignment vertical="center"/>
    </xf>
    <xf numFmtId="0" fontId="62" fillId="4" borderId="49" xfId="4" applyFont="1" applyFill="1" applyBorder="1" applyAlignment="1">
      <alignment horizontal="left" vertical="center"/>
    </xf>
    <xf numFmtId="0" fontId="1" fillId="13" borderId="13" xfId="2" applyFill="1" applyBorder="1"/>
    <xf numFmtId="0" fontId="78" fillId="13" borderId="0" xfId="1" applyFont="1" applyFill="1" applyAlignment="1">
      <alignment horizontal="right"/>
    </xf>
    <xf numFmtId="0" fontId="78" fillId="13" borderId="12" xfId="3" applyFont="1" applyFill="1" applyBorder="1" applyAlignment="1">
      <alignment horizontal="center" vertical="center"/>
    </xf>
    <xf numFmtId="0" fontId="60" fillId="13" borderId="13" xfId="0" applyFont="1" applyFill="1" applyBorder="1" applyAlignment="1">
      <alignment horizontal="left" vertical="center"/>
    </xf>
    <xf numFmtId="0" fontId="48" fillId="13" borderId="0" xfId="6" applyFont="1" applyFill="1" applyAlignment="1">
      <alignment vertical="center"/>
    </xf>
    <xf numFmtId="0" fontId="48" fillId="13" borderId="12" xfId="6" applyFont="1" applyFill="1" applyBorder="1" applyAlignment="1">
      <alignment vertical="center"/>
    </xf>
    <xf numFmtId="0" fontId="48" fillId="13" borderId="13" xfId="6" applyFont="1" applyFill="1" applyBorder="1" applyAlignment="1">
      <alignment vertical="center"/>
    </xf>
    <xf numFmtId="0" fontId="79" fillId="13" borderId="0" xfId="6" applyFont="1" applyFill="1" applyAlignment="1">
      <alignment horizontal="right" vertical="center"/>
    </xf>
    <xf numFmtId="0" fontId="79" fillId="13" borderId="12" xfId="3" applyFont="1" applyFill="1" applyBorder="1" applyAlignment="1">
      <alignment horizontal="center" vertical="center"/>
    </xf>
    <xf numFmtId="0" fontId="79" fillId="13" borderId="0" xfId="1" applyFont="1" applyFill="1" applyAlignment="1">
      <alignment horizontal="right"/>
    </xf>
    <xf numFmtId="0" fontId="64" fillId="13" borderId="13" xfId="0" applyFont="1" applyFill="1" applyBorder="1" applyAlignment="1">
      <alignment horizontal="left" vertical="center"/>
    </xf>
    <xf numFmtId="0" fontId="79" fillId="39" borderId="12" xfId="3" applyFont="1" applyFill="1" applyBorder="1" applyAlignment="1">
      <alignment horizontal="center" vertical="center"/>
    </xf>
    <xf numFmtId="0" fontId="9" fillId="13" borderId="13" xfId="6" applyFont="1" applyFill="1" applyBorder="1" applyAlignment="1">
      <alignment vertical="center" wrapText="1"/>
    </xf>
    <xf numFmtId="0" fontId="9" fillId="13" borderId="0" xfId="6" applyFont="1" applyFill="1" applyAlignment="1">
      <alignment vertical="center" wrapText="1"/>
    </xf>
    <xf numFmtId="0" fontId="9" fillId="13" borderId="12" xfId="6" applyFont="1" applyFill="1" applyBorder="1" applyAlignment="1">
      <alignment vertical="center" wrapText="1"/>
    </xf>
    <xf numFmtId="0" fontId="33" fillId="13" borderId="48" xfId="1" applyFont="1" applyFill="1" applyBorder="1" applyAlignment="1">
      <alignment vertical="center"/>
    </xf>
    <xf numFmtId="0" fontId="12" fillId="13" borderId="18" xfId="3" applyFont="1" applyFill="1" applyBorder="1"/>
    <xf numFmtId="0" fontId="12" fillId="13" borderId="19" xfId="3" applyFont="1" applyFill="1" applyBorder="1"/>
    <xf numFmtId="0" fontId="34" fillId="13" borderId="13" xfId="1" applyFont="1" applyFill="1" applyBorder="1" applyAlignment="1">
      <alignment vertical="center"/>
    </xf>
    <xf numFmtId="0" fontId="80" fillId="6" borderId="0" xfId="1" applyFont="1" applyFill="1" applyAlignment="1">
      <alignment vertical="center"/>
    </xf>
    <xf numFmtId="0" fontId="33" fillId="6" borderId="0" xfId="1" applyFont="1" applyFill="1" applyAlignment="1">
      <alignment vertical="center"/>
    </xf>
    <xf numFmtId="0" fontId="66" fillId="6" borderId="0" xfId="1" applyFont="1" applyFill="1" applyAlignment="1">
      <alignment vertical="center"/>
    </xf>
    <xf numFmtId="0" fontId="62" fillId="6" borderId="0" xfId="1" applyFont="1" applyFill="1" applyAlignment="1">
      <alignment vertical="center"/>
    </xf>
    <xf numFmtId="0" fontId="82" fillId="4" borderId="0" xfId="1" applyFont="1" applyFill="1" applyAlignment="1" applyProtection="1">
      <alignment horizontal="right" vertical="center"/>
      <protection hidden="1"/>
    </xf>
    <xf numFmtId="0" fontId="14" fillId="4" borderId="0" xfId="1" applyFont="1" applyFill="1" applyAlignment="1" applyProtection="1">
      <alignment horizontal="right" vertical="center"/>
      <protection hidden="1"/>
    </xf>
    <xf numFmtId="49" fontId="84" fillId="4" borderId="0" xfId="8" applyNumberFormat="1" applyFont="1" applyFill="1" applyBorder="1" applyAlignment="1">
      <alignment vertical="center"/>
    </xf>
    <xf numFmtId="0" fontId="57" fillId="44" borderId="28" xfId="4" applyFont="1" applyFill="1" applyBorder="1" applyAlignment="1" applyProtection="1">
      <alignment horizontal="center" vertical="center"/>
      <protection locked="0"/>
    </xf>
    <xf numFmtId="165" fontId="58" fillId="44" borderId="28" xfId="4" applyNumberFormat="1" applyFont="1" applyFill="1" applyBorder="1" applyAlignment="1">
      <alignment horizontal="left" vertical="center" wrapText="1"/>
    </xf>
    <xf numFmtId="169" fontId="57" fillId="44" borderId="28" xfId="6" applyNumberFormat="1" applyFont="1" applyFill="1" applyBorder="1" applyAlignment="1">
      <alignment horizontal="center" vertical="center"/>
    </xf>
    <xf numFmtId="169" fontId="12" fillId="45" borderId="36" xfId="1" applyNumberFormat="1" applyFont="1" applyFill="1" applyBorder="1" applyAlignment="1">
      <alignment horizontal="center" vertical="center"/>
    </xf>
    <xf numFmtId="169" fontId="12" fillId="45" borderId="16" xfId="1" applyNumberFormat="1" applyFont="1" applyFill="1" applyBorder="1" applyAlignment="1">
      <alignment horizontal="center" vertical="center"/>
    </xf>
    <xf numFmtId="0" fontId="85" fillId="44" borderId="0" xfId="4" applyFont="1" applyFill="1" applyAlignment="1">
      <alignment horizontal="left" vertical="center"/>
    </xf>
    <xf numFmtId="169" fontId="17" fillId="45" borderId="30" xfId="1" applyNumberFormat="1" applyFont="1" applyFill="1" applyBorder="1" applyAlignment="1">
      <alignment horizontal="center" vertical="center"/>
    </xf>
    <xf numFmtId="169" fontId="17" fillId="45" borderId="31" xfId="1" applyNumberFormat="1" applyFont="1" applyFill="1" applyBorder="1" applyAlignment="1">
      <alignment horizontal="center" vertical="center"/>
    </xf>
    <xf numFmtId="169" fontId="17" fillId="45" borderId="35" xfId="1" applyNumberFormat="1" applyFont="1" applyFill="1" applyBorder="1" applyAlignment="1">
      <alignment horizontal="center" vertical="center"/>
    </xf>
    <xf numFmtId="169" fontId="17" fillId="45" borderId="36" xfId="1" applyNumberFormat="1" applyFont="1" applyFill="1" applyBorder="1" applyAlignment="1">
      <alignment horizontal="center" vertical="center"/>
    </xf>
    <xf numFmtId="169" fontId="17" fillId="45" borderId="32" xfId="1" applyNumberFormat="1" applyFont="1" applyFill="1" applyBorder="1" applyAlignment="1">
      <alignment horizontal="center" vertical="center"/>
    </xf>
    <xf numFmtId="169" fontId="33" fillId="45" borderId="32" xfId="1" applyNumberFormat="1" applyFont="1" applyFill="1" applyBorder="1" applyAlignment="1">
      <alignment horizontal="center" vertical="center"/>
    </xf>
    <xf numFmtId="0" fontId="33" fillId="45" borderId="30" xfId="1" applyFont="1" applyFill="1" applyBorder="1" applyAlignment="1">
      <alignment horizontal="center" vertical="center"/>
    </xf>
    <xf numFmtId="0" fontId="41" fillId="45" borderId="31" xfId="1" applyFont="1" applyFill="1" applyBorder="1" applyAlignment="1">
      <alignment horizontal="left" vertical="center"/>
    </xf>
    <xf numFmtId="164" fontId="64" fillId="45" borderId="31" xfId="1" applyNumberFormat="1" applyFont="1" applyFill="1" applyBorder="1" applyAlignment="1">
      <alignment horizontal="center" vertical="center"/>
    </xf>
    <xf numFmtId="164" fontId="33" fillId="45" borderId="31" xfId="1" applyNumberFormat="1" applyFont="1" applyFill="1" applyBorder="1" applyAlignment="1">
      <alignment horizontal="center" vertical="center"/>
    </xf>
    <xf numFmtId="0" fontId="87" fillId="0" borderId="0" xfId="9" applyFont="1" applyBorder="1" applyAlignment="1">
      <alignment vertical="center"/>
    </xf>
    <xf numFmtId="0" fontId="57" fillId="46" borderId="20" xfId="4" applyFont="1" applyFill="1" applyBorder="1" applyAlignment="1" applyProtection="1">
      <alignment horizontal="center" vertical="center"/>
      <protection locked="0"/>
    </xf>
    <xf numFmtId="165" fontId="58" fillId="46" borderId="20" xfId="4" applyNumberFormat="1" applyFont="1" applyFill="1" applyBorder="1" applyAlignment="1">
      <alignment horizontal="left" vertical="center" wrapText="1"/>
    </xf>
    <xf numFmtId="169" fontId="57" fillId="46" borderId="20" xfId="6" applyNumberFormat="1" applyFont="1" applyFill="1" applyBorder="1" applyAlignment="1">
      <alignment horizontal="center" vertical="center"/>
    </xf>
    <xf numFmtId="169" fontId="33" fillId="26" borderId="53" xfId="1" applyNumberFormat="1" applyFont="1" applyFill="1" applyBorder="1" applyAlignment="1">
      <alignment horizontal="center" vertical="center"/>
    </xf>
    <xf numFmtId="169" fontId="12" fillId="26" borderId="0" xfId="1" applyNumberFormat="1" applyFont="1" applyFill="1" applyAlignment="1">
      <alignment horizontal="center" vertical="center"/>
    </xf>
    <xf numFmtId="0" fontId="85" fillId="0" borderId="0" xfId="4" applyFont="1" applyAlignment="1">
      <alignment horizontal="left" vertical="center"/>
    </xf>
    <xf numFmtId="170" fontId="17" fillId="26" borderId="54" xfId="1" applyNumberFormat="1" applyFont="1" applyFill="1" applyBorder="1" applyAlignment="1">
      <alignment horizontal="center" vertical="center"/>
    </xf>
    <xf numFmtId="170" fontId="17" fillId="26" borderId="55" xfId="1" applyNumberFormat="1" applyFont="1" applyFill="1" applyBorder="1" applyAlignment="1">
      <alignment horizontal="center" vertical="center"/>
    </xf>
    <xf numFmtId="170" fontId="17" fillId="26" borderId="56" xfId="1" applyNumberFormat="1" applyFont="1" applyFill="1" applyBorder="1" applyAlignment="1">
      <alignment horizontal="center" vertical="center"/>
    </xf>
    <xf numFmtId="170" fontId="17" fillId="26" borderId="53" xfId="1" applyNumberFormat="1" applyFont="1" applyFill="1" applyBorder="1" applyAlignment="1">
      <alignment horizontal="center" vertical="center"/>
    </xf>
    <xf numFmtId="170" fontId="17" fillId="26" borderId="57" xfId="1" applyNumberFormat="1" applyFont="1" applyFill="1" applyBorder="1" applyAlignment="1">
      <alignment horizontal="center" vertical="center"/>
    </xf>
    <xf numFmtId="169" fontId="33" fillId="26" borderId="57" xfId="1" applyNumberFormat="1" applyFont="1" applyFill="1" applyBorder="1" applyAlignment="1">
      <alignment horizontal="center" vertical="center"/>
    </xf>
    <xf numFmtId="0" fontId="33" fillId="26" borderId="54" xfId="1" applyFont="1" applyFill="1" applyBorder="1" applyAlignment="1">
      <alignment horizontal="center" vertical="center"/>
    </xf>
    <xf numFmtId="0" fontId="41" fillId="26" borderId="55" xfId="1" applyFont="1" applyFill="1" applyBorder="1" applyAlignment="1">
      <alignment horizontal="left" vertical="center"/>
    </xf>
    <xf numFmtId="0" fontId="33" fillId="26" borderId="55" xfId="1" applyFont="1" applyFill="1" applyBorder="1" applyAlignment="1">
      <alignment horizontal="center" vertical="center"/>
    </xf>
    <xf numFmtId="164" fontId="33" fillId="26" borderId="55" xfId="1" applyNumberFormat="1" applyFont="1" applyFill="1" applyBorder="1" applyAlignment="1">
      <alignment horizontal="center" vertical="center"/>
    </xf>
    <xf numFmtId="0" fontId="75" fillId="4" borderId="58" xfId="1" applyFont="1" applyFill="1" applyBorder="1" applyAlignment="1" applyProtection="1">
      <alignment horizontal="center" vertical="center"/>
      <protection hidden="1"/>
    </xf>
    <xf numFmtId="0" fontId="35" fillId="12" borderId="60" xfId="3" applyFont="1" applyFill="1" applyBorder="1" applyAlignment="1">
      <alignment horizontal="center" vertical="center"/>
    </xf>
    <xf numFmtId="0" fontId="34" fillId="12" borderId="61" xfId="3" applyFont="1" applyFill="1" applyBorder="1" applyAlignment="1">
      <alignment horizontal="center" vertical="center"/>
    </xf>
    <xf numFmtId="0" fontId="34" fillId="12" borderId="62" xfId="3" applyFont="1" applyFill="1" applyBorder="1" applyAlignment="1">
      <alignment horizontal="center" vertical="center"/>
    </xf>
    <xf numFmtId="0" fontId="48" fillId="4" borderId="0" xfId="4" applyFont="1" applyFill="1" applyAlignment="1">
      <alignment vertical="center"/>
    </xf>
    <xf numFmtId="0" fontId="34" fillId="13" borderId="13" xfId="1" applyFont="1" applyFill="1" applyBorder="1" applyAlignment="1">
      <alignment vertical="center" wrapText="1"/>
    </xf>
    <xf numFmtId="0" fontId="34" fillId="13" borderId="0" xfId="1" applyFont="1" applyFill="1" applyAlignment="1">
      <alignment vertical="center" wrapText="1"/>
    </xf>
    <xf numFmtId="0" fontId="34" fillId="13" borderId="12" xfId="1" applyFont="1" applyFill="1" applyBorder="1" applyAlignment="1">
      <alignment vertical="center" wrapText="1"/>
    </xf>
    <xf numFmtId="0" fontId="12" fillId="4" borderId="0" xfId="10" applyFont="1" applyFill="1" applyAlignment="1">
      <alignment vertical="center"/>
    </xf>
    <xf numFmtId="0" fontId="90" fillId="4" borderId="0" xfId="4" applyFont="1" applyFill="1"/>
    <xf numFmtId="0" fontId="59" fillId="19" borderId="12" xfId="1" applyFont="1" applyFill="1" applyBorder="1" applyAlignment="1" applyProtection="1">
      <alignment horizontal="center" vertical="center"/>
      <protection hidden="1"/>
    </xf>
    <xf numFmtId="0" fontId="91" fillId="4" borderId="0" xfId="10" applyFont="1" applyFill="1" applyAlignment="1" applyProtection="1">
      <alignment vertical="center"/>
      <protection locked="0"/>
    </xf>
    <xf numFmtId="0" fontId="7" fillId="19" borderId="13" xfId="1" applyFont="1" applyFill="1" applyBorder="1" applyAlignment="1">
      <alignment vertical="center" wrapText="1"/>
    </xf>
    <xf numFmtId="0" fontId="59" fillId="19" borderId="0" xfId="1" applyFont="1" applyFill="1" applyAlignment="1" applyProtection="1">
      <alignment horizontal="right" vertical="center"/>
      <protection hidden="1"/>
    </xf>
    <xf numFmtId="0" fontId="92" fillId="4" borderId="71" xfId="10" applyFont="1" applyFill="1" applyBorder="1" applyAlignment="1" applyProtection="1">
      <alignment horizontal="center" wrapText="1"/>
      <protection locked="0"/>
    </xf>
    <xf numFmtId="0" fontId="20" fillId="4" borderId="72" xfId="4" applyFill="1" applyBorder="1"/>
    <xf numFmtId="0" fontId="93" fillId="4" borderId="72" xfId="10" applyFont="1" applyFill="1" applyBorder="1" applyAlignment="1" applyProtection="1">
      <alignment vertical="center"/>
      <protection locked="0"/>
    </xf>
    <xf numFmtId="0" fontId="94" fillId="4" borderId="72" xfId="10" applyFont="1" applyFill="1" applyBorder="1" applyAlignment="1" applyProtection="1">
      <alignment vertical="center"/>
      <protection locked="0"/>
    </xf>
    <xf numFmtId="0" fontId="94" fillId="4" borderId="72" xfId="10" applyFont="1" applyFill="1" applyBorder="1" applyAlignment="1" applyProtection="1">
      <alignment horizontal="center" vertical="center"/>
      <protection locked="0"/>
    </xf>
    <xf numFmtId="0" fontId="94" fillId="4" borderId="72" xfId="10" applyFont="1" applyFill="1" applyBorder="1" applyAlignment="1" applyProtection="1">
      <alignment horizontal="right" vertical="center"/>
      <protection locked="0"/>
    </xf>
    <xf numFmtId="2" fontId="94" fillId="4" borderId="72" xfId="10" applyNumberFormat="1" applyFont="1" applyFill="1" applyBorder="1" applyAlignment="1" applyProtection="1">
      <alignment horizontal="center" vertical="center"/>
      <protection locked="0"/>
    </xf>
    <xf numFmtId="0" fontId="94" fillId="4" borderId="73" xfId="10" applyFont="1" applyFill="1" applyBorder="1" applyAlignment="1" applyProtection="1">
      <alignment vertical="center"/>
      <protection locked="0"/>
    </xf>
    <xf numFmtId="0" fontId="59" fillId="19" borderId="0" xfId="1" applyFont="1" applyFill="1" applyAlignment="1" applyProtection="1">
      <alignment horizontal="left" vertical="center"/>
      <protection hidden="1"/>
    </xf>
    <xf numFmtId="0" fontId="7" fillId="19" borderId="12" xfId="1" applyFont="1" applyFill="1" applyBorder="1" applyAlignment="1">
      <alignment vertical="center" wrapText="1"/>
    </xf>
    <xf numFmtId="0" fontId="1" fillId="13" borderId="0" xfId="2" applyFill="1"/>
    <xf numFmtId="0" fontId="1" fillId="13" borderId="15" xfId="2" applyFill="1" applyBorder="1"/>
    <xf numFmtId="0" fontId="20" fillId="4" borderId="69" xfId="4" applyFill="1" applyBorder="1"/>
    <xf numFmtId="0" fontId="12" fillId="12" borderId="76" xfId="3" applyFont="1" applyFill="1" applyBorder="1" applyAlignment="1">
      <alignment horizontal="center" vertical="center"/>
    </xf>
    <xf numFmtId="0" fontId="12" fillId="12" borderId="77" xfId="3" applyFont="1" applyFill="1" applyBorder="1" applyAlignment="1">
      <alignment horizontal="center" vertical="center"/>
    </xf>
    <xf numFmtId="0" fontId="12" fillId="12" borderId="78" xfId="3" applyFont="1" applyFill="1" applyBorder="1" applyAlignment="1">
      <alignment horizontal="center" vertical="center"/>
    </xf>
    <xf numFmtId="0" fontId="75" fillId="21" borderId="74" xfId="10" applyFont="1" applyFill="1" applyBorder="1" applyAlignment="1" applyProtection="1">
      <alignment vertical="center" wrapText="1"/>
      <protection locked="0"/>
    </xf>
    <xf numFmtId="0" fontId="48" fillId="21" borderId="0" xfId="10" applyFont="1" applyFill="1" applyAlignment="1" applyProtection="1">
      <alignment horizontal="center" vertical="center" wrapText="1"/>
      <protection locked="0"/>
    </xf>
    <xf numFmtId="0" fontId="95" fillId="21" borderId="0" xfId="10" applyFont="1" applyFill="1" applyAlignment="1" applyProtection="1">
      <alignment vertical="center" wrapText="1"/>
      <protection locked="0"/>
    </xf>
    <xf numFmtId="0" fontId="48" fillId="21" borderId="0" xfId="10" applyFont="1" applyFill="1" applyAlignment="1" applyProtection="1">
      <alignment vertical="center"/>
      <protection locked="0"/>
    </xf>
    <xf numFmtId="0" fontId="20" fillId="0" borderId="72" xfId="4" applyBorder="1"/>
    <xf numFmtId="0" fontId="9" fillId="0" borderId="0" xfId="10" applyFont="1" applyAlignment="1" applyProtection="1">
      <alignment horizontal="right" vertical="center"/>
      <protection locked="0"/>
    </xf>
    <xf numFmtId="0" fontId="20" fillId="4" borderId="75" xfId="4" applyFill="1" applyBorder="1"/>
    <xf numFmtId="2" fontId="9" fillId="4" borderId="74" xfId="5" applyNumberFormat="1" applyFont="1" applyFill="1" applyBorder="1" applyAlignment="1">
      <alignment horizontal="right" vertical="center"/>
    </xf>
    <xf numFmtId="1" fontId="33" fillId="4" borderId="0" xfId="5" applyNumberFormat="1" applyFont="1" applyFill="1" applyAlignment="1">
      <alignment horizontal="center" vertical="center"/>
    </xf>
    <xf numFmtId="167" fontId="33" fillId="21" borderId="0" xfId="1" applyNumberFormat="1" applyFont="1" applyFill="1" applyAlignment="1">
      <alignment horizontal="center" vertical="center"/>
    </xf>
    <xf numFmtId="166" fontId="12" fillId="40" borderId="0" xfId="1" applyNumberFormat="1" applyFont="1" applyFill="1" applyAlignment="1">
      <alignment horizontal="center" vertical="center"/>
    </xf>
    <xf numFmtId="167" fontId="34" fillId="21" borderId="0" xfId="1" applyNumberFormat="1" applyFont="1" applyFill="1" applyAlignment="1">
      <alignment vertical="center"/>
    </xf>
    <xf numFmtId="176" fontId="9" fillId="4" borderId="0" xfId="2" applyNumberFormat="1" applyFont="1" applyFill="1" applyAlignment="1">
      <alignment horizontal="center" vertical="center"/>
    </xf>
    <xf numFmtId="1" fontId="9" fillId="4" borderId="0" xfId="10" applyNumberFormat="1" applyFont="1" applyFill="1" applyAlignment="1" applyProtection="1">
      <alignment horizontal="center" vertical="center"/>
      <protection locked="0"/>
    </xf>
    <xf numFmtId="175" fontId="96" fillId="4" borderId="0" xfId="10" applyNumberFormat="1" applyFont="1" applyFill="1" applyAlignment="1" applyProtection="1">
      <alignment horizontal="center" vertical="center"/>
      <protection locked="0"/>
    </xf>
    <xf numFmtId="176" fontId="96" fillId="4" borderId="0" xfId="2" applyNumberFormat="1" applyFont="1" applyFill="1" applyAlignment="1">
      <alignment horizontal="center" vertical="center"/>
    </xf>
    <xf numFmtId="1" fontId="96" fillId="4" borderId="75" xfId="10" applyNumberFormat="1" applyFont="1" applyFill="1" applyBorder="1" applyAlignment="1" applyProtection="1">
      <alignment horizontal="center" vertical="center"/>
      <protection locked="0"/>
    </xf>
    <xf numFmtId="0" fontId="1" fillId="4" borderId="0" xfId="2" applyFill="1"/>
    <xf numFmtId="177" fontId="9" fillId="4" borderId="74" xfId="5" applyNumberFormat="1" applyFont="1" applyFill="1" applyBorder="1" applyAlignment="1">
      <alignment horizontal="right" vertical="center"/>
    </xf>
    <xf numFmtId="174" fontId="97" fillId="4" borderId="0" xfId="10" applyNumberFormat="1" applyFont="1" applyFill="1" applyAlignment="1" applyProtection="1">
      <alignment vertical="center"/>
      <protection locked="0"/>
    </xf>
    <xf numFmtId="0" fontId="12" fillId="22" borderId="18" xfId="1" applyFont="1" applyFill="1" applyBorder="1" applyAlignment="1" applyProtection="1">
      <alignment horizontal="center" vertical="center" wrapText="1"/>
      <protection hidden="1"/>
    </xf>
    <xf numFmtId="0" fontId="12" fillId="22" borderId="79" xfId="1" applyFont="1" applyFill="1" applyBorder="1" applyAlignment="1" applyProtection="1">
      <alignment horizontal="center" vertical="center" wrapText="1"/>
      <protection hidden="1"/>
    </xf>
    <xf numFmtId="171" fontId="9" fillId="4" borderId="74" xfId="11" applyNumberFormat="1" applyFont="1" applyFill="1" applyBorder="1" applyAlignment="1" applyProtection="1">
      <alignment horizontal="right" vertical="center"/>
      <protection locked="0"/>
    </xf>
    <xf numFmtId="0" fontId="12" fillId="4" borderId="16" xfId="1" applyFont="1" applyFill="1" applyBorder="1" applyAlignment="1" applyProtection="1">
      <alignment horizontal="center" vertical="center" wrapText="1"/>
      <protection hidden="1"/>
    </xf>
    <xf numFmtId="0" fontId="12" fillId="4" borderId="0" xfId="1" applyFont="1" applyFill="1" applyAlignment="1" applyProtection="1">
      <alignment horizontal="center" vertical="center" wrapText="1"/>
      <protection hidden="1"/>
    </xf>
    <xf numFmtId="0" fontId="9" fillId="4" borderId="10" xfId="1" applyFont="1" applyFill="1" applyBorder="1" applyAlignment="1" applyProtection="1">
      <alignment horizontal="center" wrapText="1"/>
      <protection hidden="1"/>
    </xf>
    <xf numFmtId="169" fontId="99" fillId="32" borderId="0" xfId="1" applyNumberFormat="1" applyFont="1" applyFill="1" applyAlignment="1">
      <alignment horizontal="center" vertical="center"/>
    </xf>
    <xf numFmtId="169" fontId="99" fillId="32" borderId="10" xfId="1" applyNumberFormat="1" applyFont="1" applyFill="1" applyBorder="1" applyAlignment="1">
      <alignment horizontal="center" vertical="center"/>
    </xf>
    <xf numFmtId="1" fontId="64" fillId="39" borderId="80" xfId="1" applyNumberFormat="1" applyFont="1" applyFill="1" applyBorder="1" applyAlignment="1" applyProtection="1">
      <alignment horizontal="center" vertical="center"/>
      <protection hidden="1"/>
    </xf>
    <xf numFmtId="177" fontId="101" fillId="39" borderId="40" xfId="1" applyNumberFormat="1" applyFont="1" applyFill="1" applyBorder="1" applyAlignment="1" applyProtection="1">
      <alignment horizontal="center" vertical="center"/>
      <protection hidden="1"/>
    </xf>
    <xf numFmtId="165" fontId="33" fillId="47" borderId="81" xfId="3" applyNumberFormat="1" applyFont="1" applyFill="1" applyBorder="1" applyAlignment="1">
      <alignment horizontal="center" vertical="center"/>
    </xf>
    <xf numFmtId="171" fontId="102" fillId="33" borderId="0" xfId="1" applyNumberFormat="1" applyFont="1" applyFill="1" applyAlignment="1" applyProtection="1">
      <alignment horizontal="center" vertical="center"/>
      <protection locked="0"/>
    </xf>
    <xf numFmtId="171" fontId="102" fillId="33" borderId="10" xfId="1" applyNumberFormat="1" applyFont="1" applyFill="1" applyBorder="1" applyAlignment="1" applyProtection="1">
      <alignment horizontal="center" vertical="center"/>
      <protection locked="0"/>
    </xf>
    <xf numFmtId="169" fontId="12" fillId="3" borderId="40" xfId="5" applyNumberFormat="1" applyFont="1" applyFill="1" applyBorder="1" applyAlignment="1">
      <alignment horizontal="center" vertical="center"/>
    </xf>
    <xf numFmtId="169" fontId="12" fillId="3" borderId="81" xfId="5" applyNumberFormat="1" applyFont="1" applyFill="1" applyBorder="1" applyAlignment="1">
      <alignment horizontal="center" vertical="center"/>
    </xf>
    <xf numFmtId="0" fontId="20" fillId="4" borderId="74" xfId="4" applyFill="1" applyBorder="1"/>
    <xf numFmtId="0" fontId="46" fillId="4" borderId="0" xfId="4" applyFont="1" applyFill="1" applyAlignment="1">
      <alignment horizontal="right" vertical="center"/>
    </xf>
    <xf numFmtId="166" fontId="33" fillId="40" borderId="0" xfId="1" applyNumberFormat="1" applyFont="1" applyFill="1" applyAlignment="1">
      <alignment horizontal="center" vertical="center"/>
    </xf>
    <xf numFmtId="0" fontId="46" fillId="0" borderId="0" xfId="4" applyFont="1" applyAlignment="1">
      <alignment vertical="center"/>
    </xf>
    <xf numFmtId="176" fontId="103" fillId="4" borderId="0" xfId="4" applyNumberFormat="1" applyFont="1" applyFill="1" applyAlignment="1">
      <alignment horizontal="center" vertical="center"/>
    </xf>
    <xf numFmtId="0" fontId="46" fillId="4" borderId="75" xfId="4" applyFont="1" applyFill="1" applyBorder="1"/>
    <xf numFmtId="166" fontId="9" fillId="40" borderId="0" xfId="1" applyNumberFormat="1" applyFont="1" applyFill="1" applyAlignment="1">
      <alignment horizontal="center" vertical="center"/>
    </xf>
    <xf numFmtId="0" fontId="20" fillId="4" borderId="82" xfId="4" applyFill="1" applyBorder="1"/>
    <xf numFmtId="0" fontId="20" fillId="4" borderId="83" xfId="4" applyFill="1" applyBorder="1"/>
    <xf numFmtId="0" fontId="20" fillId="4" borderId="84" xfId="4" applyFill="1" applyBorder="1"/>
    <xf numFmtId="0" fontId="92" fillId="4" borderId="74" xfId="10" applyFont="1" applyFill="1" applyBorder="1" applyAlignment="1" applyProtection="1">
      <alignment horizontal="center" wrapText="1"/>
      <protection locked="0"/>
    </xf>
    <xf numFmtId="0" fontId="93" fillId="4" borderId="0" xfId="10" applyFont="1" applyFill="1" applyAlignment="1" applyProtection="1">
      <alignment vertical="center"/>
      <protection locked="0"/>
    </xf>
    <xf numFmtId="0" fontId="94" fillId="4" borderId="0" xfId="10" applyFont="1" applyFill="1" applyAlignment="1" applyProtection="1">
      <alignment vertical="center"/>
      <protection locked="0"/>
    </xf>
    <xf numFmtId="0" fontId="94" fillId="4" borderId="0" xfId="10" applyFont="1" applyFill="1" applyAlignment="1" applyProtection="1">
      <alignment horizontal="center" vertical="center"/>
      <protection locked="0"/>
    </xf>
    <xf numFmtId="0" fontId="105" fillId="4" borderId="0" xfId="10" applyFont="1" applyFill="1" applyAlignment="1" applyProtection="1">
      <alignment horizontal="right" vertical="center"/>
      <protection locked="0"/>
    </xf>
    <xf numFmtId="0" fontId="94" fillId="4" borderId="0" xfId="10" applyFont="1" applyFill="1" applyAlignment="1" applyProtection="1">
      <alignment horizontal="right" vertical="center"/>
      <protection locked="0"/>
    </xf>
    <xf numFmtId="174" fontId="94" fillId="4" borderId="0" xfId="10" applyNumberFormat="1" applyFont="1" applyFill="1" applyAlignment="1" applyProtection="1">
      <alignment horizontal="center" vertical="center"/>
      <protection locked="0"/>
    </xf>
    <xf numFmtId="0" fontId="105" fillId="4" borderId="75" xfId="10" applyFont="1" applyFill="1" applyBorder="1" applyAlignment="1" applyProtection="1">
      <alignment vertical="center"/>
      <protection locked="0"/>
    </xf>
    <xf numFmtId="1" fontId="33" fillId="4" borderId="0" xfId="10" applyNumberFormat="1" applyFont="1" applyFill="1" applyAlignment="1" applyProtection="1">
      <alignment vertical="center" wrapText="1"/>
      <protection locked="0"/>
    </xf>
    <xf numFmtId="175" fontId="18" fillId="4" borderId="0" xfId="10" applyNumberFormat="1" applyFont="1" applyFill="1" applyAlignment="1" applyProtection="1">
      <alignment vertical="center"/>
      <protection locked="0"/>
    </xf>
    <xf numFmtId="0" fontId="20" fillId="0" borderId="69" xfId="4" applyBorder="1"/>
    <xf numFmtId="1" fontId="33" fillId="4" borderId="69" xfId="10" applyNumberFormat="1" applyFont="1" applyFill="1" applyBorder="1" applyAlignment="1" applyProtection="1">
      <alignment vertical="center" wrapText="1"/>
      <protection locked="0"/>
    </xf>
    <xf numFmtId="175" fontId="18" fillId="4" borderId="69" xfId="10" applyNumberFormat="1" applyFont="1" applyFill="1" applyBorder="1" applyAlignment="1" applyProtection="1">
      <alignment vertical="center"/>
      <protection locked="0"/>
    </xf>
    <xf numFmtId="0" fontId="99" fillId="0" borderId="0" xfId="10" applyFont="1" applyAlignment="1" applyProtection="1">
      <alignment horizontal="left" vertical="center"/>
      <protection locked="0"/>
    </xf>
    <xf numFmtId="0" fontId="20" fillId="0" borderId="75" xfId="4" applyBorder="1"/>
    <xf numFmtId="174" fontId="75" fillId="28" borderId="0" xfId="1" applyNumberFormat="1" applyFont="1" applyFill="1" applyAlignment="1">
      <alignment horizontal="center" vertical="center"/>
    </xf>
    <xf numFmtId="1" fontId="41" fillId="40" borderId="0" xfId="1" applyNumberFormat="1" applyFont="1" applyFill="1" applyAlignment="1">
      <alignment horizontal="center" vertical="center"/>
    </xf>
    <xf numFmtId="167" fontId="35" fillId="21" borderId="0" xfId="1" applyNumberFormat="1" applyFont="1" applyFill="1" applyAlignment="1">
      <alignment vertical="center"/>
    </xf>
    <xf numFmtId="175" fontId="9" fillId="0" borderId="0" xfId="10" applyNumberFormat="1" applyFont="1" applyAlignment="1" applyProtection="1">
      <alignment horizontal="center" vertical="center"/>
      <protection locked="0"/>
    </xf>
    <xf numFmtId="175" fontId="9" fillId="4" borderId="0" xfId="10" applyNumberFormat="1" applyFont="1" applyFill="1" applyAlignment="1" applyProtection="1">
      <alignment horizontal="center" vertical="center"/>
      <protection locked="0"/>
    </xf>
    <xf numFmtId="1" fontId="12" fillId="4" borderId="0" xfId="10" applyNumberFormat="1" applyFont="1" applyFill="1" applyAlignment="1" applyProtection="1">
      <alignment horizontal="left" vertical="center"/>
      <protection locked="0"/>
    </xf>
    <xf numFmtId="1" fontId="106" fillId="4" borderId="75" xfId="10" applyNumberFormat="1" applyFont="1" applyFill="1" applyBorder="1" applyAlignment="1" applyProtection="1">
      <alignment horizontal="center" vertical="center"/>
      <protection locked="0"/>
    </xf>
    <xf numFmtId="0" fontId="93" fillId="4" borderId="88" xfId="10" applyFont="1" applyFill="1" applyBorder="1" applyAlignment="1" applyProtection="1">
      <alignment vertical="center"/>
      <protection locked="0"/>
    </xf>
    <xf numFmtId="0" fontId="93" fillId="0" borderId="88" xfId="10" applyFont="1" applyBorder="1" applyAlignment="1" applyProtection="1">
      <alignment vertical="center"/>
      <protection locked="0"/>
    </xf>
    <xf numFmtId="0" fontId="20" fillId="0" borderId="88" xfId="4" applyBorder="1"/>
    <xf numFmtId="0" fontId="20" fillId="4" borderId="88" xfId="4" applyFill="1" applyBorder="1"/>
    <xf numFmtId="0" fontId="1" fillId="4" borderId="0" xfId="4" applyFont="1" applyFill="1" applyAlignment="1">
      <alignment vertical="center"/>
    </xf>
    <xf numFmtId="175" fontId="18" fillId="0" borderId="0" xfId="10" applyNumberFormat="1" applyFont="1" applyAlignment="1" applyProtection="1">
      <alignment vertical="center"/>
      <protection locked="0"/>
    </xf>
    <xf numFmtId="176" fontId="103" fillId="4" borderId="0" xfId="4" applyNumberFormat="1" applyFont="1" applyFill="1" applyAlignment="1">
      <alignment horizontal="center" vertical="center"/>
    </xf>
    <xf numFmtId="0" fontId="1" fillId="4" borderId="83" xfId="4" applyFont="1" applyFill="1" applyBorder="1" applyAlignment="1">
      <alignment vertical="center"/>
    </xf>
    <xf numFmtId="174" fontId="9" fillId="40" borderId="83" xfId="1" applyNumberFormat="1" applyFont="1" applyFill="1" applyBorder="1" applyAlignment="1">
      <alignment horizontal="center" vertical="center"/>
    </xf>
    <xf numFmtId="174" fontId="9" fillId="0" borderId="83" xfId="1" applyNumberFormat="1" applyFont="1" applyBorder="1" applyAlignment="1">
      <alignment vertical="center"/>
    </xf>
    <xf numFmtId="0" fontId="20" fillId="0" borderId="83" xfId="4" applyBorder="1"/>
    <xf numFmtId="0" fontId="1" fillId="0" borderId="83" xfId="4" applyFont="1" applyBorder="1" applyAlignment="1">
      <alignment horizontal="left"/>
    </xf>
    <xf numFmtId="0" fontId="35" fillId="4" borderId="0" xfId="6" applyFont="1" applyFill="1" applyAlignment="1">
      <alignment vertical="center"/>
    </xf>
    <xf numFmtId="0" fontId="48" fillId="4" borderId="0" xfId="1" applyFont="1" applyFill="1" applyAlignment="1">
      <alignment vertical="center"/>
    </xf>
    <xf numFmtId="0" fontId="35" fillId="4" borderId="0" xfId="6" applyFont="1" applyFill="1" applyAlignment="1">
      <alignment horizontal="right" vertical="center"/>
    </xf>
    <xf numFmtId="0" fontId="25" fillId="4" borderId="0" xfId="1" applyFont="1" applyFill="1" applyAlignment="1">
      <alignment horizontal="left" vertical="center"/>
    </xf>
    <xf numFmtId="0" fontId="43" fillId="4" borderId="0" xfId="4" applyFont="1" applyFill="1"/>
    <xf numFmtId="0" fontId="48" fillId="4" borderId="0" xfId="1" applyFont="1" applyFill="1" applyAlignment="1">
      <alignment horizontal="left" vertical="center"/>
    </xf>
    <xf numFmtId="0" fontId="1" fillId="0" borderId="0" xfId="2"/>
    <xf numFmtId="0" fontId="20" fillId="48" borderId="0" xfId="4" applyFill="1" applyAlignment="1">
      <alignment horizontal="center" vertical="center"/>
    </xf>
    <xf numFmtId="1" fontId="70" fillId="35" borderId="28" xfId="4" applyNumberFormat="1" applyFont="1" applyFill="1" applyBorder="1" applyAlignment="1" applyProtection="1">
      <alignment horizontal="center" vertical="center"/>
      <protection locked="0"/>
    </xf>
    <xf numFmtId="0" fontId="12" fillId="29" borderId="31" xfId="1" applyNumberFormat="1" applyFont="1" applyFill="1" applyBorder="1" applyAlignment="1">
      <alignment horizontal="left" vertical="center"/>
    </xf>
    <xf numFmtId="0" fontId="12" fillId="35" borderId="28" xfId="4" applyNumberFormat="1" applyFont="1" applyFill="1" applyBorder="1" applyAlignment="1">
      <alignment horizontal="left" vertical="center"/>
    </xf>
    <xf numFmtId="1" fontId="42" fillId="17" borderId="0" xfId="4" applyNumberFormat="1" applyFont="1" applyFill="1" applyAlignment="1">
      <alignment horizontal="center" vertical="center"/>
    </xf>
    <xf numFmtId="1" fontId="33" fillId="15" borderId="0" xfId="4" applyNumberFormat="1" applyFont="1" applyFill="1" applyAlignment="1">
      <alignment horizontal="center" vertical="center"/>
    </xf>
    <xf numFmtId="169" fontId="34" fillId="32" borderId="32" xfId="1" applyNumberFormat="1" applyFont="1" applyFill="1" applyBorder="1" applyAlignment="1">
      <alignment horizontal="center" vertical="center"/>
    </xf>
    <xf numFmtId="169" fontId="34" fillId="38" borderId="32" xfId="1" applyNumberFormat="1" applyFont="1" applyFill="1" applyBorder="1" applyAlignment="1">
      <alignment horizontal="center" vertical="center"/>
    </xf>
    <xf numFmtId="164" fontId="33" fillId="22" borderId="10" xfId="1" applyNumberFormat="1" applyFont="1" applyFill="1" applyBorder="1" applyAlignment="1" applyProtection="1">
      <alignment horizontal="center" vertical="center"/>
      <protection hidden="1"/>
    </xf>
    <xf numFmtId="164" fontId="34" fillId="29" borderId="31" xfId="1" applyNumberFormat="1" applyFont="1" applyFill="1" applyBorder="1" applyAlignment="1">
      <alignment horizontal="center" vertical="center"/>
    </xf>
    <xf numFmtId="0" fontId="12" fillId="4" borderId="0" xfId="3" applyFont="1" applyFill="1" applyAlignment="1">
      <alignment horizontal="right" vertical="center"/>
    </xf>
    <xf numFmtId="0" fontId="1" fillId="3" borderId="0" xfId="4" applyFont="1" applyFill="1" applyAlignment="1">
      <alignment horizontal="center" vertical="center"/>
    </xf>
    <xf numFmtId="0" fontId="48" fillId="3" borderId="0" xfId="4" applyFont="1" applyFill="1" applyAlignment="1">
      <alignment horizontal="center" vertical="center"/>
    </xf>
    <xf numFmtId="0" fontId="1" fillId="0" borderId="0" xfId="12"/>
    <xf numFmtId="0" fontId="107" fillId="22" borderId="0" xfId="12" applyFont="1" applyFill="1" applyAlignment="1">
      <alignment horizontal="center" vertical="center"/>
    </xf>
    <xf numFmtId="0" fontId="1" fillId="4" borderId="0" xfId="12" applyFill="1"/>
    <xf numFmtId="0" fontId="20" fillId="0" borderId="0" xfId="13"/>
    <xf numFmtId="0" fontId="90" fillId="4" borderId="0" xfId="13" applyFont="1" applyFill="1"/>
    <xf numFmtId="0" fontId="12" fillId="4" borderId="0" xfId="14" applyFont="1" applyFill="1" applyAlignment="1">
      <alignment horizontal="center" vertical="center"/>
    </xf>
    <xf numFmtId="0" fontId="20" fillId="4" borderId="0" xfId="13" applyFill="1"/>
    <xf numFmtId="0" fontId="43" fillId="4" borderId="0" xfId="13" applyFont="1" applyFill="1"/>
    <xf numFmtId="0" fontId="12" fillId="0" borderId="0" xfId="3" applyFont="1"/>
    <xf numFmtId="0" fontId="20" fillId="4" borderId="84" xfId="13" applyFill="1" applyBorder="1"/>
    <xf numFmtId="0" fontId="20" fillId="4" borderId="83" xfId="13" applyFill="1" applyBorder="1"/>
    <xf numFmtId="0" fontId="20" fillId="4" borderId="82" xfId="13" applyFill="1" applyBorder="1"/>
    <xf numFmtId="0" fontId="35" fillId="12" borderId="62" xfId="3" applyFont="1" applyFill="1" applyBorder="1" applyAlignment="1">
      <alignment horizontal="center" vertical="center"/>
    </xf>
    <xf numFmtId="0" fontId="35" fillId="12" borderId="77" xfId="3" applyFont="1" applyFill="1" applyBorder="1" applyAlignment="1">
      <alignment horizontal="center" vertical="center"/>
    </xf>
    <xf numFmtId="174" fontId="9" fillId="40" borderId="0" xfId="1" applyNumberFormat="1" applyFont="1" applyFill="1" applyAlignment="1">
      <alignment horizontal="center" vertical="center"/>
    </xf>
    <xf numFmtId="0" fontId="1" fillId="0" borderId="0" xfId="13" applyFont="1" applyAlignment="1">
      <alignment horizontal="left"/>
    </xf>
    <xf numFmtId="174" fontId="9" fillId="40" borderId="0" xfId="1" applyNumberFormat="1" applyFont="1" applyFill="1" applyAlignment="1">
      <alignment horizontal="center" vertical="center"/>
    </xf>
    <xf numFmtId="0" fontId="20" fillId="4" borderId="74" xfId="13" applyFill="1" applyBorder="1"/>
    <xf numFmtId="0" fontId="62" fillId="4" borderId="12" xfId="13" applyFont="1" applyFill="1" applyBorder="1" applyAlignment="1">
      <alignment horizontal="left" vertical="center"/>
    </xf>
    <xf numFmtId="0" fontId="62" fillId="4" borderId="0" xfId="13" applyFont="1" applyFill="1" applyAlignment="1">
      <alignment horizontal="left" vertical="center"/>
    </xf>
    <xf numFmtId="0" fontId="75" fillId="4" borderId="89" xfId="1" applyFont="1" applyFill="1" applyBorder="1" applyAlignment="1" applyProtection="1">
      <alignment horizontal="center" vertical="center"/>
      <protection hidden="1"/>
    </xf>
    <xf numFmtId="0" fontId="109" fillId="4" borderId="0" xfId="13" applyFont="1" applyFill="1" applyAlignment="1">
      <alignment horizontal="left" vertical="center"/>
    </xf>
    <xf numFmtId="1" fontId="9" fillId="40" borderId="0" xfId="1" applyNumberFormat="1" applyFont="1" applyFill="1" applyAlignment="1">
      <alignment horizontal="center" vertical="center"/>
    </xf>
    <xf numFmtId="0" fontId="46" fillId="4" borderId="0" xfId="13" applyFont="1" applyFill="1" applyAlignment="1">
      <alignment horizontal="right" vertical="center"/>
    </xf>
    <xf numFmtId="0" fontId="20" fillId="4" borderId="75" xfId="13" applyFill="1" applyBorder="1"/>
    <xf numFmtId="0" fontId="20" fillId="4" borderId="88" xfId="13" applyFill="1" applyBorder="1"/>
    <xf numFmtId="1" fontId="106" fillId="4" borderId="0" xfId="10" applyNumberFormat="1" applyFont="1" applyFill="1" applyAlignment="1" applyProtection="1">
      <alignment horizontal="center" vertical="center"/>
      <protection locked="0"/>
    </xf>
    <xf numFmtId="176" fontId="96" fillId="4" borderId="0" xfId="12" applyNumberFormat="1" applyFont="1" applyFill="1" applyAlignment="1">
      <alignment horizontal="center" vertical="center"/>
    </xf>
    <xf numFmtId="176" fontId="9" fillId="4" borderId="0" xfId="12" applyNumberFormat="1" applyFont="1" applyFill="1" applyAlignment="1">
      <alignment horizontal="center" vertical="center"/>
    </xf>
    <xf numFmtId="167" fontId="12" fillId="21" borderId="0" xfId="1" applyNumberFormat="1" applyFont="1" applyFill="1" applyAlignment="1">
      <alignment vertical="center"/>
    </xf>
    <xf numFmtId="1" fontId="75" fillId="28" borderId="0" xfId="1" applyNumberFormat="1" applyFont="1" applyFill="1" applyAlignment="1">
      <alignment horizontal="center" vertical="center"/>
    </xf>
    <xf numFmtId="0" fontId="62" fillId="4" borderId="15" xfId="13" applyFont="1" applyFill="1" applyBorder="1" applyAlignment="1">
      <alignment horizontal="left" vertical="center"/>
    </xf>
    <xf numFmtId="0" fontId="20" fillId="4" borderId="73" xfId="13" applyFill="1" applyBorder="1"/>
    <xf numFmtId="0" fontId="20" fillId="0" borderId="72" xfId="13" applyBorder="1"/>
    <xf numFmtId="0" fontId="9" fillId="0" borderId="0" xfId="10" applyFont="1" applyAlignment="1" applyProtection="1">
      <alignment horizontal="center" vertical="center"/>
      <protection locked="0"/>
    </xf>
    <xf numFmtId="0" fontId="1" fillId="13" borderId="15" xfId="12" applyFill="1" applyBorder="1"/>
    <xf numFmtId="0" fontId="1" fillId="13" borderId="0" xfId="12" applyFill="1"/>
    <xf numFmtId="0" fontId="1" fillId="13" borderId="13" xfId="12" applyFill="1" applyBorder="1"/>
    <xf numFmtId="0" fontId="20" fillId="4" borderId="69" xfId="13" applyFill="1" applyBorder="1"/>
    <xf numFmtId="0" fontId="105" fillId="4" borderId="73" xfId="10" applyFont="1" applyFill="1" applyBorder="1" applyAlignment="1" applyProtection="1">
      <alignment vertical="center"/>
      <protection locked="0"/>
    </xf>
    <xf numFmtId="174" fontId="94" fillId="4" borderId="72" xfId="10" applyNumberFormat="1" applyFont="1" applyFill="1" applyBorder="1" applyAlignment="1" applyProtection="1">
      <alignment horizontal="center" vertical="center"/>
      <protection locked="0"/>
    </xf>
    <xf numFmtId="0" fontId="20" fillId="4" borderId="72" xfId="13" applyFill="1" applyBorder="1"/>
    <xf numFmtId="0" fontId="105" fillId="4" borderId="72" xfId="10" applyFont="1" applyFill="1" applyBorder="1" applyAlignment="1" applyProtection="1">
      <alignment horizontal="right" vertical="center"/>
      <protection locked="0"/>
    </xf>
    <xf numFmtId="0" fontId="79" fillId="13" borderId="15" xfId="3" applyFont="1" applyFill="1" applyBorder="1" applyAlignment="1">
      <alignment horizontal="left" vertical="center"/>
    </xf>
    <xf numFmtId="0" fontId="95" fillId="13" borderId="0" xfId="12" applyFont="1" applyFill="1" applyAlignment="1">
      <alignment horizontal="right" vertical="center"/>
    </xf>
    <xf numFmtId="0" fontId="79" fillId="13" borderId="15" xfId="1" applyFont="1" applyFill="1" applyBorder="1" applyAlignment="1" applyProtection="1">
      <alignment vertical="center"/>
      <protection hidden="1"/>
    </xf>
    <xf numFmtId="0" fontId="79" fillId="13" borderId="0" xfId="1" applyFont="1" applyFill="1" applyAlignment="1" applyProtection="1">
      <alignment vertical="center"/>
      <protection hidden="1"/>
    </xf>
    <xf numFmtId="0" fontId="79" fillId="13" borderId="13" xfId="1" applyFont="1" applyFill="1" applyBorder="1" applyAlignment="1" applyProtection="1">
      <alignment vertical="center"/>
      <protection hidden="1"/>
    </xf>
    <xf numFmtId="0" fontId="79" fillId="13" borderId="13" xfId="1" applyFont="1" applyFill="1" applyBorder="1" applyAlignment="1">
      <alignment vertical="center"/>
    </xf>
    <xf numFmtId="1" fontId="96" fillId="4" borderId="0" xfId="10" applyNumberFormat="1" applyFont="1" applyFill="1" applyAlignment="1" applyProtection="1">
      <alignment horizontal="center" vertical="center"/>
      <protection locked="0"/>
    </xf>
    <xf numFmtId="165" fontId="33" fillId="22" borderId="15" xfId="1" applyNumberFormat="1" applyFont="1" applyFill="1" applyBorder="1" applyAlignment="1">
      <alignment horizontal="center" vertical="center"/>
    </xf>
    <xf numFmtId="165" fontId="33" fillId="22" borderId="0" xfId="1" applyNumberFormat="1" applyFont="1" applyFill="1" applyAlignment="1">
      <alignment horizontal="right" vertical="center"/>
    </xf>
    <xf numFmtId="165" fontId="33" fillId="22" borderId="13" xfId="1" applyNumberFormat="1" applyFont="1" applyFill="1" applyBorder="1" applyAlignment="1">
      <alignment vertical="center"/>
    </xf>
    <xf numFmtId="165" fontId="33" fillId="22" borderId="15" xfId="1" applyNumberFormat="1" applyFont="1" applyFill="1" applyBorder="1" applyAlignment="1">
      <alignment vertical="center"/>
    </xf>
    <xf numFmtId="165" fontId="33" fillId="22" borderId="0" xfId="1" applyNumberFormat="1" applyFont="1" applyFill="1" applyAlignment="1">
      <alignment vertical="center"/>
    </xf>
    <xf numFmtId="0" fontId="79" fillId="13" borderId="15" xfId="3" applyFont="1" applyFill="1" applyBorder="1" applyAlignment="1">
      <alignment horizontal="center" vertical="top"/>
    </xf>
    <xf numFmtId="0" fontId="95" fillId="13" borderId="0" xfId="12" applyFont="1" applyFill="1" applyAlignment="1">
      <alignment horizontal="right" vertical="top"/>
    </xf>
    <xf numFmtId="0" fontId="95" fillId="13" borderId="13" xfId="12" applyFont="1" applyFill="1" applyBorder="1" applyAlignment="1">
      <alignment horizontal="right" vertical="center"/>
    </xf>
    <xf numFmtId="0" fontId="108" fillId="4" borderId="15" xfId="13" applyFont="1" applyFill="1" applyBorder="1" applyAlignment="1">
      <alignment horizontal="left" vertical="center"/>
    </xf>
    <xf numFmtId="0" fontId="108" fillId="4" borderId="0" xfId="13" applyFont="1" applyFill="1" applyAlignment="1">
      <alignment horizontal="left" vertical="center"/>
    </xf>
    <xf numFmtId="0" fontId="12" fillId="4" borderId="11" xfId="3" applyFont="1" applyFill="1" applyBorder="1"/>
    <xf numFmtId="0" fontId="12" fillId="4" borderId="20" xfId="3" applyFont="1" applyFill="1" applyBorder="1"/>
    <xf numFmtId="0" fontId="112" fillId="42" borderId="92" xfId="1" applyFont="1" applyFill="1" applyBorder="1" applyAlignment="1" applyProtection="1">
      <alignment horizontal="center" vertical="center"/>
      <protection hidden="1"/>
    </xf>
    <xf numFmtId="0" fontId="74" fillId="42" borderId="93" xfId="1" applyFont="1" applyFill="1" applyBorder="1" applyAlignment="1" applyProtection="1">
      <alignment horizontal="center" vertical="center"/>
      <protection hidden="1"/>
    </xf>
    <xf numFmtId="1" fontId="74" fillId="7" borderId="0" xfId="1" applyNumberFormat="1" applyFont="1" applyFill="1" applyAlignment="1" applyProtection="1">
      <alignment horizontal="left" vertical="center"/>
      <protection hidden="1"/>
    </xf>
    <xf numFmtId="1" fontId="29" fillId="7" borderId="13" xfId="1" applyNumberFormat="1" applyFont="1" applyFill="1" applyBorder="1" applyAlignment="1" applyProtection="1">
      <alignment horizontal="center" vertical="center"/>
      <protection hidden="1"/>
    </xf>
    <xf numFmtId="0" fontId="21" fillId="15" borderId="15" xfId="1" applyFont="1" applyFill="1" applyBorder="1" applyAlignment="1" applyProtection="1">
      <alignment vertical="center"/>
      <protection hidden="1"/>
    </xf>
    <xf numFmtId="0" fontId="35" fillId="15" borderId="0" xfId="6" applyFont="1" applyFill="1" applyAlignment="1">
      <alignment vertical="center"/>
    </xf>
    <xf numFmtId="0" fontId="48" fillId="15" borderId="0" xfId="1" applyFont="1" applyFill="1" applyAlignment="1" applyProtection="1">
      <alignment vertical="center"/>
      <protection hidden="1"/>
    </xf>
    <xf numFmtId="0" fontId="21" fillId="15" borderId="0" xfId="1" applyFont="1" applyFill="1" applyAlignment="1" applyProtection="1">
      <alignment vertical="center"/>
      <protection hidden="1"/>
    </xf>
    <xf numFmtId="0" fontId="33" fillId="15" borderId="15" xfId="1" applyFont="1" applyFill="1" applyBorder="1" applyAlignment="1" applyProtection="1">
      <alignment vertical="center"/>
      <protection hidden="1"/>
    </xf>
    <xf numFmtId="0" fontId="12" fillId="13" borderId="15" xfId="3" applyFont="1" applyFill="1" applyBorder="1"/>
    <xf numFmtId="0" fontId="46" fillId="24" borderId="15" xfId="13" applyFont="1" applyFill="1" applyBorder="1" applyAlignment="1">
      <alignment horizontal="right" vertical="center"/>
    </xf>
    <xf numFmtId="0" fontId="103" fillId="24" borderId="0" xfId="13" applyFont="1" applyFill="1" applyAlignment="1">
      <alignment vertical="center"/>
    </xf>
    <xf numFmtId="0" fontId="103" fillId="24" borderId="13" xfId="13" applyFont="1" applyFill="1" applyBorder="1" applyAlignment="1">
      <alignment vertical="center"/>
    </xf>
    <xf numFmtId="0" fontId="35" fillId="49" borderId="78" xfId="3" applyFont="1" applyFill="1" applyBorder="1" applyAlignment="1">
      <alignment horizontal="center" vertical="center"/>
    </xf>
    <xf numFmtId="0" fontId="35" fillId="49" borderId="77" xfId="3" applyFont="1" applyFill="1" applyBorder="1" applyAlignment="1">
      <alignment horizontal="center" vertical="center"/>
    </xf>
    <xf numFmtId="0" fontId="35" fillId="49" borderId="76" xfId="3" applyFont="1" applyFill="1" applyBorder="1" applyAlignment="1">
      <alignment horizontal="center" vertical="center"/>
    </xf>
    <xf numFmtId="0" fontId="35" fillId="49" borderId="94" xfId="3" applyFont="1" applyFill="1" applyBorder="1" applyAlignment="1">
      <alignment horizontal="center" vertical="center"/>
    </xf>
    <xf numFmtId="0" fontId="45" fillId="13" borderId="15" xfId="3" applyFont="1" applyFill="1" applyBorder="1" applyAlignment="1">
      <alignment horizontal="center" vertical="center"/>
    </xf>
    <xf numFmtId="0" fontId="114" fillId="4" borderId="13" xfId="1" applyFont="1" applyFill="1" applyBorder="1" applyAlignment="1" applyProtection="1">
      <alignment horizontal="left" vertical="center"/>
      <protection hidden="1"/>
    </xf>
    <xf numFmtId="0" fontId="103" fillId="24" borderId="67" xfId="13" applyFont="1" applyFill="1" applyBorder="1" applyAlignment="1">
      <alignment horizontal="right" vertical="center"/>
    </xf>
    <xf numFmtId="0" fontId="12" fillId="50" borderId="0" xfId="1" applyFont="1" applyFill="1" applyAlignment="1">
      <alignment vertical="center"/>
    </xf>
    <xf numFmtId="0" fontId="12" fillId="50" borderId="13" xfId="1" applyFont="1" applyFill="1" applyBorder="1" applyAlignment="1">
      <alignment vertical="center"/>
    </xf>
    <xf numFmtId="0" fontId="18" fillId="4" borderId="15" xfId="1" applyFont="1" applyFill="1" applyBorder="1" applyAlignment="1" applyProtection="1">
      <alignment vertical="center"/>
      <protection hidden="1"/>
    </xf>
    <xf numFmtId="0" fontId="33" fillId="4" borderId="0" xfId="1" applyFont="1" applyFill="1" applyAlignment="1" applyProtection="1">
      <alignment vertical="center"/>
      <protection hidden="1"/>
    </xf>
    <xf numFmtId="0" fontId="9" fillId="4" borderId="13" xfId="1" applyFont="1" applyFill="1" applyBorder="1" applyAlignment="1" applyProtection="1">
      <alignment horizontal="center" vertical="center"/>
      <protection hidden="1"/>
    </xf>
    <xf numFmtId="0" fontId="18" fillId="4" borderId="0" xfId="1" applyFont="1" applyFill="1" applyAlignment="1" applyProtection="1">
      <alignment vertical="center"/>
      <protection hidden="1"/>
    </xf>
    <xf numFmtId="0" fontId="18" fillId="51" borderId="0" xfId="1" applyFont="1" applyFill="1" applyAlignment="1" applyProtection="1">
      <alignment vertical="center"/>
      <protection hidden="1"/>
    </xf>
    <xf numFmtId="0" fontId="33" fillId="51" borderId="0" xfId="1" applyFont="1" applyFill="1" applyAlignment="1" applyProtection="1">
      <alignment vertical="center"/>
      <protection hidden="1"/>
    </xf>
    <xf numFmtId="0" fontId="9" fillId="51" borderId="13" xfId="1" applyFont="1" applyFill="1" applyBorder="1" applyAlignment="1" applyProtection="1">
      <alignment horizontal="center" vertical="center"/>
      <protection hidden="1"/>
    </xf>
    <xf numFmtId="0" fontId="12" fillId="50" borderId="16" xfId="1" applyFont="1" applyFill="1" applyBorder="1" applyAlignment="1">
      <alignment vertical="center"/>
    </xf>
    <xf numFmtId="0" fontId="35" fillId="49" borderId="86" xfId="3" applyFont="1" applyFill="1" applyBorder="1" applyAlignment="1">
      <alignment horizontal="center" vertical="center"/>
    </xf>
    <xf numFmtId="0" fontId="35" fillId="49" borderId="85" xfId="3" applyFont="1" applyFill="1" applyBorder="1" applyAlignment="1">
      <alignment horizontal="center" vertical="center"/>
    </xf>
    <xf numFmtId="0" fontId="115" fillId="4" borderId="0" xfId="1" applyFont="1" applyFill="1" applyAlignment="1" applyProtection="1">
      <alignment vertical="center"/>
      <protection hidden="1"/>
    </xf>
    <xf numFmtId="0" fontId="34" fillId="4" borderId="0" xfId="1" applyFont="1" applyFill="1" applyAlignment="1" applyProtection="1">
      <alignment vertical="center"/>
      <protection hidden="1"/>
    </xf>
    <xf numFmtId="0" fontId="48" fillId="4" borderId="13" xfId="1" applyFont="1" applyFill="1" applyBorder="1" applyAlignment="1" applyProtection="1">
      <alignment horizontal="center" vertical="center"/>
      <protection hidden="1"/>
    </xf>
    <xf numFmtId="1" fontId="35" fillId="51" borderId="0" xfId="6" applyNumberFormat="1" applyFont="1" applyFill="1" applyAlignment="1">
      <alignment horizontal="right" vertical="center"/>
    </xf>
    <xf numFmtId="167" fontId="48" fillId="52" borderId="0" xfId="1" applyNumberFormat="1" applyFont="1" applyFill="1" applyAlignment="1">
      <alignment horizontal="center" vertical="center"/>
    </xf>
    <xf numFmtId="0" fontId="41" fillId="4" borderId="13" xfId="1" applyFont="1" applyFill="1" applyBorder="1" applyAlignment="1">
      <alignment horizontal="center"/>
    </xf>
    <xf numFmtId="0" fontId="115" fillId="4" borderId="0" xfId="5" applyFont="1" applyFill="1" applyAlignment="1">
      <alignment vertical="center"/>
    </xf>
    <xf numFmtId="0" fontId="9" fillId="4" borderId="16" xfId="1" applyFont="1" applyFill="1" applyBorder="1" applyAlignment="1" applyProtection="1">
      <alignment vertical="center"/>
      <protection hidden="1"/>
    </xf>
    <xf numFmtId="0" fontId="115" fillId="4" borderId="13" xfId="5" applyFont="1" applyFill="1" applyBorder="1" applyAlignment="1">
      <alignment vertical="center"/>
    </xf>
    <xf numFmtId="174" fontId="116" fillId="4" borderId="0" xfId="15" applyNumberFormat="1" applyFont="1" applyFill="1" applyAlignment="1">
      <alignment horizontal="center" vertical="center"/>
    </xf>
    <xf numFmtId="179" fontId="33" fillId="0" borderId="0" xfId="3" applyNumberFormat="1" applyFont="1" applyAlignment="1">
      <alignment horizontal="center"/>
    </xf>
    <xf numFmtId="0" fontId="41" fillId="4" borderId="13" xfId="1" applyFont="1" applyFill="1" applyBorder="1" applyAlignment="1">
      <alignment horizontal="center" vertical="center"/>
    </xf>
    <xf numFmtId="170" fontId="33" fillId="40" borderId="15" xfId="1" applyNumberFormat="1" applyFont="1" applyFill="1" applyBorder="1" applyAlignment="1">
      <alignment horizontal="center" vertical="center"/>
    </xf>
    <xf numFmtId="167" fontId="41" fillId="21" borderId="0" xfId="1" applyNumberFormat="1" applyFont="1" applyFill="1" applyAlignment="1">
      <alignment horizontal="center" vertical="center"/>
    </xf>
    <xf numFmtId="165" fontId="9" fillId="4" borderId="0" xfId="1" applyNumberFormat="1" applyFont="1" applyFill="1" applyAlignment="1" applyProtection="1">
      <alignment vertical="center" wrapText="1"/>
      <protection hidden="1"/>
    </xf>
    <xf numFmtId="169" fontId="33" fillId="40" borderId="0" xfId="1" applyNumberFormat="1" applyFont="1" applyFill="1" applyAlignment="1">
      <alignment horizontal="center" vertical="center"/>
    </xf>
    <xf numFmtId="0" fontId="12" fillId="22" borderId="0" xfId="1" applyFont="1" applyFill="1" applyAlignment="1" applyProtection="1">
      <alignment horizontal="center" vertical="center" wrapText="1"/>
      <protection hidden="1"/>
    </xf>
    <xf numFmtId="0" fontId="9" fillId="4" borderId="0" xfId="1" applyFont="1" applyFill="1" applyAlignment="1" applyProtection="1">
      <alignment horizontal="center" vertical="center" wrapText="1"/>
      <protection hidden="1"/>
    </xf>
    <xf numFmtId="0" fontId="9" fillId="4" borderId="0" xfId="1" applyFont="1" applyFill="1" applyAlignment="1" applyProtection="1">
      <alignment vertical="center"/>
      <protection hidden="1"/>
    </xf>
    <xf numFmtId="165" fontId="9" fillId="4" borderId="13" xfId="1" applyNumberFormat="1" applyFont="1" applyFill="1" applyBorder="1" applyAlignment="1" applyProtection="1">
      <alignment vertical="center" wrapText="1"/>
      <protection hidden="1"/>
    </xf>
    <xf numFmtId="0" fontId="12" fillId="4" borderId="0" xfId="1" applyFont="1" applyFill="1" applyAlignment="1" applyProtection="1">
      <alignment horizontal="center" vertical="center"/>
      <protection hidden="1"/>
    </xf>
    <xf numFmtId="0" fontId="41" fillId="4" borderId="0" xfId="1" applyFont="1" applyFill="1" applyAlignment="1">
      <alignment horizontal="center" vertical="center"/>
    </xf>
    <xf numFmtId="0" fontId="12" fillId="4" borderId="15" xfId="1" applyFont="1" applyFill="1" applyBorder="1" applyAlignment="1" applyProtection="1">
      <alignment horizontal="center" vertical="center"/>
      <protection hidden="1"/>
    </xf>
    <xf numFmtId="170" fontId="33" fillId="40" borderId="0" xfId="1" applyNumberFormat="1" applyFont="1" applyFill="1" applyAlignment="1">
      <alignment horizontal="center" vertical="center"/>
    </xf>
    <xf numFmtId="0" fontId="12" fillId="4" borderId="16" xfId="3" applyFont="1" applyFill="1" applyBorder="1"/>
    <xf numFmtId="2" fontId="41" fillId="53" borderId="21" xfId="1" applyNumberFormat="1" applyFont="1" applyFill="1" applyBorder="1" applyAlignment="1">
      <alignment horizontal="center" vertical="center"/>
    </xf>
    <xf numFmtId="179" fontId="9" fillId="0" borderId="0" xfId="3" applyNumberFormat="1" applyFont="1" applyAlignment="1">
      <alignment horizontal="center"/>
    </xf>
    <xf numFmtId="170" fontId="9" fillId="40" borderId="97" xfId="1" applyNumberFormat="1" applyFont="1" applyFill="1" applyBorder="1" applyAlignment="1">
      <alignment horizontal="center" vertical="center"/>
    </xf>
    <xf numFmtId="0" fontId="12" fillId="4" borderId="13" xfId="3" applyFont="1" applyFill="1" applyBorder="1"/>
    <xf numFmtId="165" fontId="9" fillId="4" borderId="79" xfId="1" applyNumberFormat="1" applyFont="1" applyFill="1" applyBorder="1" applyAlignment="1" applyProtection="1">
      <alignment vertical="center" wrapText="1"/>
      <protection hidden="1"/>
    </xf>
    <xf numFmtId="165" fontId="9" fillId="4" borderId="18" xfId="1" applyNumberFormat="1" applyFont="1" applyFill="1" applyBorder="1" applyAlignment="1" applyProtection="1">
      <alignment vertical="center" wrapText="1"/>
      <protection hidden="1"/>
    </xf>
    <xf numFmtId="0" fontId="12" fillId="4" borderId="18" xfId="3" applyFont="1" applyFill="1" applyBorder="1"/>
    <xf numFmtId="0" fontId="12" fillId="4" borderId="17" xfId="3" applyFont="1" applyFill="1" applyBorder="1"/>
    <xf numFmtId="165" fontId="17" fillId="4" borderId="18" xfId="1" applyNumberFormat="1" applyFont="1" applyFill="1" applyBorder="1" applyAlignment="1" applyProtection="1">
      <alignment horizontal="right" vertical="center"/>
      <protection hidden="1"/>
    </xf>
    <xf numFmtId="165" fontId="9" fillId="4" borderId="48" xfId="1" applyNumberFormat="1" applyFont="1" applyFill="1" applyBorder="1" applyAlignment="1" applyProtection="1">
      <alignment vertical="center" wrapText="1"/>
      <protection hidden="1"/>
    </xf>
    <xf numFmtId="180" fontId="48" fillId="54" borderId="101" xfId="5" applyNumberFormat="1" applyFont="1" applyFill="1" applyBorder="1" applyAlignment="1">
      <alignment horizontal="center" vertical="center"/>
    </xf>
    <xf numFmtId="181" fontId="17" fillId="54" borderId="102" xfId="5" applyNumberFormat="1" applyFont="1" applyFill="1" applyBorder="1" applyAlignment="1">
      <alignment horizontal="center" vertical="center"/>
    </xf>
    <xf numFmtId="169" fontId="48" fillId="54" borderId="103" xfId="5" applyNumberFormat="1" applyFont="1" applyFill="1" applyBorder="1" applyAlignment="1">
      <alignment horizontal="center" vertical="center"/>
    </xf>
    <xf numFmtId="169" fontId="12" fillId="54" borderId="104" xfId="5" applyNumberFormat="1" applyFont="1" applyFill="1" applyBorder="1" applyAlignment="1">
      <alignment horizontal="center" vertical="center"/>
    </xf>
    <xf numFmtId="182" fontId="35" fillId="54" borderId="102" xfId="5" applyNumberFormat="1" applyFont="1" applyFill="1" applyBorder="1" applyAlignment="1">
      <alignment horizontal="center" vertical="center"/>
    </xf>
    <xf numFmtId="1" fontId="35" fillId="54" borderId="105" xfId="5" applyNumberFormat="1" applyFont="1" applyFill="1" applyBorder="1" applyAlignment="1">
      <alignment horizontal="center" vertical="center"/>
    </xf>
    <xf numFmtId="165" fontId="48" fillId="54" borderId="102" xfId="5" applyNumberFormat="1" applyFont="1" applyFill="1" applyBorder="1" applyAlignment="1">
      <alignment horizontal="center" vertical="center"/>
    </xf>
    <xf numFmtId="165" fontId="48" fillId="54" borderId="106" xfId="5" applyNumberFormat="1" applyFont="1" applyFill="1" applyBorder="1" applyAlignment="1">
      <alignment horizontal="center" vertical="center"/>
    </xf>
    <xf numFmtId="0" fontId="117" fillId="13" borderId="15" xfId="3" applyFont="1" applyFill="1" applyBorder="1" applyAlignment="1">
      <alignment horizontal="center" vertical="center"/>
    </xf>
    <xf numFmtId="0" fontId="48" fillId="13" borderId="0" xfId="6" applyFont="1" applyFill="1" applyAlignment="1">
      <alignment horizontal="right" vertical="center"/>
    </xf>
    <xf numFmtId="0" fontId="5" fillId="55" borderId="0" xfId="12" applyFont="1" applyFill="1" applyAlignment="1">
      <alignment horizontal="right" vertical="center"/>
    </xf>
    <xf numFmtId="164" fontId="64" fillId="34" borderId="108" xfId="1" applyNumberFormat="1" applyFont="1" applyFill="1" applyBorder="1" applyAlignment="1">
      <alignment horizontal="center" vertical="center"/>
    </xf>
    <xf numFmtId="169" fontId="34" fillId="38" borderId="31" xfId="1" applyNumberFormat="1" applyFont="1" applyFill="1" applyBorder="1" applyAlignment="1">
      <alignment horizontal="center" vertical="center"/>
    </xf>
    <xf numFmtId="171" fontId="63" fillId="33" borderId="109" xfId="1" applyNumberFormat="1" applyFont="1" applyFill="1" applyBorder="1" applyAlignment="1" applyProtection="1">
      <alignment horizontal="center" vertical="center"/>
      <protection locked="0"/>
    </xf>
    <xf numFmtId="169" fontId="33" fillId="38" borderId="31" xfId="1" applyNumberFormat="1" applyFont="1" applyFill="1" applyBorder="1" applyAlignment="1">
      <alignment horizontal="center" vertical="center"/>
    </xf>
    <xf numFmtId="0" fontId="9" fillId="38" borderId="31" xfId="1" applyFont="1" applyFill="1" applyBorder="1" applyAlignment="1">
      <alignment horizontal="left" vertical="center"/>
    </xf>
    <xf numFmtId="174" fontId="33" fillId="38" borderId="35" xfId="1" applyNumberFormat="1" applyFont="1" applyFill="1" applyBorder="1" applyAlignment="1">
      <alignment horizontal="center" vertical="center"/>
    </xf>
    <xf numFmtId="0" fontId="62" fillId="4" borderId="0" xfId="6" applyFont="1" applyFill="1" applyAlignment="1" applyProtection="1">
      <alignment vertical="center"/>
      <protection locked="0"/>
    </xf>
    <xf numFmtId="0" fontId="62" fillId="4" borderId="49" xfId="6" applyFont="1" applyFill="1" applyBorder="1" applyAlignment="1" applyProtection="1">
      <alignment vertical="center"/>
      <protection locked="0"/>
    </xf>
    <xf numFmtId="183" fontId="41" fillId="38" borderId="35" xfId="1" applyNumberFormat="1" applyFont="1" applyFill="1" applyBorder="1" applyAlignment="1">
      <alignment horizontal="left" vertical="center"/>
    </xf>
    <xf numFmtId="169" fontId="10" fillId="15" borderId="0" xfId="6" applyNumberFormat="1" applyFont="1" applyFill="1" applyAlignment="1" applyProtection="1">
      <alignment horizontal="center" vertical="center"/>
      <protection locked="0"/>
    </xf>
    <xf numFmtId="169" fontId="119" fillId="13" borderId="28" xfId="15" applyNumberFormat="1" applyFont="1" applyFill="1" applyBorder="1" applyAlignment="1">
      <alignment horizontal="center" vertical="center"/>
    </xf>
    <xf numFmtId="0" fontId="120" fillId="13" borderId="28" xfId="13" applyFont="1" applyFill="1" applyBorder="1" applyAlignment="1">
      <alignment horizontal="left" vertical="center"/>
    </xf>
    <xf numFmtId="1" fontId="121" fillId="13" borderId="110" xfId="13" applyNumberFormat="1" applyFont="1" applyFill="1" applyBorder="1" applyAlignment="1" applyProtection="1">
      <alignment horizontal="center" vertical="center"/>
      <protection locked="0"/>
    </xf>
    <xf numFmtId="179" fontId="48" fillId="42" borderId="16" xfId="5" applyNumberFormat="1" applyFont="1" applyFill="1" applyBorder="1" applyAlignment="1">
      <alignment horizontal="left" vertical="center"/>
    </xf>
    <xf numFmtId="4" fontId="9" fillId="0" borderId="0" xfId="6" applyNumberFormat="1" applyFont="1" applyAlignment="1" applyProtection="1">
      <alignment horizontal="center" vertical="center"/>
      <protection locked="0"/>
    </xf>
    <xf numFmtId="169" fontId="9" fillId="0" borderId="112" xfId="5" applyNumberFormat="1" applyFont="1" applyBorder="1" applyAlignment="1">
      <alignment horizontal="center" vertical="center"/>
    </xf>
    <xf numFmtId="169" fontId="12" fillId="0" borderId="113" xfId="5" applyNumberFormat="1" applyFont="1" applyBorder="1" applyAlignment="1">
      <alignment horizontal="center" vertical="center"/>
    </xf>
    <xf numFmtId="0" fontId="123" fillId="0" borderId="114" xfId="6" applyFont="1" applyBorder="1" applyAlignment="1" applyProtection="1">
      <alignment horizontal="center" vertical="center"/>
      <protection locked="0"/>
    </xf>
    <xf numFmtId="4" fontId="124" fillId="0" borderId="58" xfId="6" applyNumberFormat="1" applyFont="1" applyBorder="1" applyAlignment="1" applyProtection="1">
      <alignment horizontal="center" vertical="center"/>
      <protection locked="0"/>
    </xf>
    <xf numFmtId="0" fontId="12" fillId="4" borderId="115" xfId="3" applyFont="1" applyFill="1" applyBorder="1"/>
    <xf numFmtId="0" fontId="125" fillId="4" borderId="116" xfId="1" applyFont="1" applyFill="1" applyBorder="1" applyAlignment="1" applyProtection="1">
      <alignment horizontal="left" vertical="center"/>
      <protection hidden="1"/>
    </xf>
    <xf numFmtId="169" fontId="34" fillId="32" borderId="31" xfId="1" applyNumberFormat="1" applyFont="1" applyFill="1" applyBorder="1" applyAlignment="1">
      <alignment horizontal="center" vertical="center"/>
    </xf>
    <xf numFmtId="169" fontId="33" fillId="32" borderId="31" xfId="1" applyNumberFormat="1" applyFont="1" applyFill="1" applyBorder="1" applyAlignment="1">
      <alignment horizontal="center" vertical="center"/>
    </xf>
    <xf numFmtId="0" fontId="9" fillId="32" borderId="31" xfId="1" applyFont="1" applyFill="1" applyBorder="1" applyAlignment="1">
      <alignment horizontal="left" vertical="center"/>
    </xf>
    <xf numFmtId="174" fontId="33" fillId="32" borderId="35" xfId="1" applyNumberFormat="1" applyFont="1" applyFill="1" applyBorder="1" applyAlignment="1">
      <alignment horizontal="center" vertical="center"/>
    </xf>
    <xf numFmtId="183" fontId="41" fillId="32" borderId="35" xfId="1" applyNumberFormat="1" applyFont="1" applyFill="1" applyBorder="1" applyAlignment="1">
      <alignment horizontal="left" vertical="center"/>
    </xf>
    <xf numFmtId="169" fontId="10" fillId="15" borderId="0" xfId="5" applyNumberFormat="1" applyFont="1" applyFill="1" applyAlignment="1">
      <alignment horizontal="center" vertical="center"/>
    </xf>
    <xf numFmtId="169" fontId="119" fillId="32" borderId="31" xfId="1" applyNumberFormat="1" applyFont="1" applyFill="1" applyBorder="1" applyAlignment="1">
      <alignment horizontal="center" vertical="center"/>
    </xf>
    <xf numFmtId="0" fontId="120" fillId="32" borderId="31" xfId="1" applyFont="1" applyFill="1" applyBorder="1" applyAlignment="1">
      <alignment horizontal="left" vertical="center"/>
    </xf>
    <xf numFmtId="1" fontId="120" fillId="32" borderId="30" xfId="1" applyNumberFormat="1" applyFont="1" applyFill="1" applyBorder="1" applyAlignment="1">
      <alignment horizontal="center" vertical="center"/>
    </xf>
    <xf numFmtId="0" fontId="12" fillId="4" borderId="28" xfId="3" applyFont="1" applyFill="1" applyBorder="1"/>
    <xf numFmtId="0" fontId="125" fillId="4" borderId="117" xfId="1" applyFont="1" applyFill="1" applyBorder="1" applyAlignment="1" applyProtection="1">
      <alignment horizontal="left" vertical="center"/>
      <protection hidden="1"/>
    </xf>
    <xf numFmtId="0" fontId="1" fillId="13" borderId="0" xfId="12" applyFill="1" applyAlignment="1">
      <alignment horizontal="right" vertical="center"/>
    </xf>
    <xf numFmtId="167" fontId="99" fillId="32" borderId="10" xfId="1" applyNumberFormat="1" applyFont="1" applyFill="1" applyBorder="1" applyAlignment="1">
      <alignment horizontal="center" vertical="center"/>
    </xf>
    <xf numFmtId="167" fontId="99" fillId="32" borderId="0" xfId="1" applyNumberFormat="1" applyFont="1" applyFill="1" applyAlignment="1">
      <alignment horizontal="center" vertical="center"/>
    </xf>
    <xf numFmtId="0" fontId="48" fillId="4" borderId="117" xfId="6" applyFont="1" applyFill="1" applyBorder="1" applyAlignment="1" applyProtection="1">
      <alignment horizontal="left" vertical="center"/>
      <protection locked="0"/>
    </xf>
    <xf numFmtId="0" fontId="12" fillId="0" borderId="0" xfId="16" applyFont="1" applyAlignment="1">
      <alignment vertical="center"/>
    </xf>
    <xf numFmtId="0" fontId="79" fillId="0" borderId="0" xfId="16" applyFont="1" applyAlignment="1">
      <alignment vertical="center"/>
    </xf>
    <xf numFmtId="170" fontId="33" fillId="3" borderId="81" xfId="14" applyNumberFormat="1" applyFont="1" applyFill="1" applyBorder="1" applyAlignment="1">
      <alignment horizontal="center" vertical="center"/>
    </xf>
    <xf numFmtId="167" fontId="101" fillId="39" borderId="40" xfId="1" applyNumberFormat="1" applyFont="1" applyFill="1" applyBorder="1" applyAlignment="1" applyProtection="1">
      <alignment horizontal="center" vertical="center"/>
      <protection hidden="1"/>
    </xf>
    <xf numFmtId="1" fontId="64" fillId="39" borderId="39" xfId="1" applyNumberFormat="1" applyFont="1" applyFill="1" applyBorder="1" applyAlignment="1" applyProtection="1">
      <alignment horizontal="center" vertical="center"/>
      <protection hidden="1"/>
    </xf>
    <xf numFmtId="0" fontId="48" fillId="6" borderId="0" xfId="1" applyFont="1" applyFill="1" applyAlignment="1">
      <alignment vertical="center"/>
    </xf>
    <xf numFmtId="0" fontId="126" fillId="6" borderId="0" xfId="1" applyFont="1" applyFill="1" applyAlignment="1">
      <alignment vertical="center"/>
    </xf>
    <xf numFmtId="0" fontId="9" fillId="6" borderId="0" xfId="1" applyFont="1" applyFill="1" applyAlignment="1">
      <alignment vertical="center"/>
    </xf>
    <xf numFmtId="0" fontId="12" fillId="12" borderId="62" xfId="3" applyFont="1" applyFill="1" applyBorder="1" applyAlignment="1">
      <alignment horizontal="center" vertical="center"/>
    </xf>
    <xf numFmtId="0" fontId="12" fillId="12" borderId="61" xfId="3" applyFont="1" applyFill="1" applyBorder="1" applyAlignment="1">
      <alignment horizontal="center" vertical="center"/>
    </xf>
    <xf numFmtId="0" fontId="12" fillId="12" borderId="60" xfId="3" applyFont="1" applyFill="1" applyBorder="1" applyAlignment="1">
      <alignment horizontal="center" vertical="center"/>
    </xf>
    <xf numFmtId="0" fontId="79" fillId="13" borderId="0" xfId="6" applyFont="1" applyFill="1" applyAlignment="1">
      <alignment horizontal="right"/>
    </xf>
    <xf numFmtId="0" fontId="129" fillId="13" borderId="13" xfId="6" applyFont="1" applyFill="1" applyBorder="1" applyAlignment="1">
      <alignment horizontal="left"/>
    </xf>
    <xf numFmtId="0" fontId="47" fillId="13" borderId="0" xfId="1" applyFont="1" applyFill="1" applyAlignment="1" applyProtection="1">
      <alignment horizontal="right"/>
      <protection hidden="1"/>
    </xf>
    <xf numFmtId="0" fontId="130" fillId="13" borderId="13" xfId="1" applyFont="1" applyFill="1" applyBorder="1" applyAlignment="1" applyProtection="1">
      <alignment horizontal="left"/>
      <protection hidden="1"/>
    </xf>
    <xf numFmtId="0" fontId="117" fillId="13" borderId="0" xfId="1" applyFont="1" applyFill="1" applyAlignment="1">
      <alignment horizontal="right"/>
    </xf>
    <xf numFmtId="0" fontId="1" fillId="4" borderId="0" xfId="12" applyFill="1" applyAlignment="1">
      <alignment vertical="center"/>
    </xf>
    <xf numFmtId="0" fontId="1" fillId="4" borderId="87" xfId="12" applyFill="1" applyBorder="1" applyAlignment="1">
      <alignment vertical="center"/>
    </xf>
    <xf numFmtId="0" fontId="1" fillId="4" borderId="86" xfId="12" applyFill="1" applyBorder="1"/>
    <xf numFmtId="0" fontId="1" fillId="4" borderId="85" xfId="12" applyFill="1" applyBorder="1"/>
    <xf numFmtId="0" fontId="78" fillId="13" borderId="15" xfId="3" applyFont="1" applyFill="1" applyBorder="1" applyAlignment="1">
      <alignment horizontal="center" vertical="center"/>
    </xf>
    <xf numFmtId="0" fontId="78" fillId="13" borderId="16" xfId="1" applyFont="1" applyFill="1" applyBorder="1" applyAlignment="1">
      <alignment horizontal="right"/>
    </xf>
    <xf numFmtId="0" fontId="76" fillId="4" borderId="15" xfId="3" applyFont="1" applyFill="1" applyBorder="1" applyAlignment="1">
      <alignment horizontal="center" vertical="center"/>
    </xf>
    <xf numFmtId="0" fontId="33" fillId="4" borderId="0" xfId="3" applyFont="1" applyFill="1" applyAlignment="1">
      <alignment horizontal="right" vertical="center"/>
    </xf>
    <xf numFmtId="0" fontId="76" fillId="4" borderId="0" xfId="3" applyFont="1" applyFill="1" applyAlignment="1">
      <alignment horizontal="center" vertical="center"/>
    </xf>
    <xf numFmtId="0" fontId="33" fillId="4" borderId="0" xfId="12" applyFont="1" applyFill="1" applyAlignment="1">
      <alignment horizontal="right" vertical="center"/>
    </xf>
    <xf numFmtId="0" fontId="79" fillId="4" borderId="0" xfId="12" applyFont="1" applyFill="1" applyAlignment="1">
      <alignment horizontal="right" vertical="center"/>
    </xf>
    <xf numFmtId="0" fontId="34" fillId="4" borderId="0" xfId="6" applyFont="1" applyFill="1" applyAlignment="1">
      <alignment vertical="center"/>
    </xf>
    <xf numFmtId="0" fontId="1" fillId="4" borderId="13" xfId="12" applyFill="1" applyBorder="1" applyAlignment="1">
      <alignment vertical="center"/>
    </xf>
    <xf numFmtId="0" fontId="76" fillId="13" borderId="15" xfId="3" applyFont="1" applyFill="1" applyBorder="1" applyAlignment="1">
      <alignment horizontal="center" vertical="center"/>
    </xf>
    <xf numFmtId="0" fontId="76" fillId="13" borderId="0" xfId="3" applyFont="1" applyFill="1" applyAlignment="1">
      <alignment horizontal="center" vertical="center"/>
    </xf>
    <xf numFmtId="0" fontId="77" fillId="13" borderId="13" xfId="12" applyFont="1" applyFill="1" applyBorder="1"/>
    <xf numFmtId="0" fontId="1" fillId="4" borderId="15" xfId="12" applyFill="1" applyBorder="1" applyAlignment="1">
      <alignment vertical="center"/>
    </xf>
    <xf numFmtId="0" fontId="34" fillId="4" borderId="0" xfId="12" applyFont="1" applyFill="1" applyAlignment="1">
      <alignment vertical="center"/>
    </xf>
    <xf numFmtId="0" fontId="79" fillId="4" borderId="13" xfId="12" applyFont="1" applyFill="1" applyBorder="1" applyAlignment="1">
      <alignment vertical="center"/>
    </xf>
    <xf numFmtId="0" fontId="9" fillId="4" borderId="0" xfId="3" applyFont="1" applyFill="1" applyAlignment="1">
      <alignment horizontal="center" vertical="center"/>
    </xf>
    <xf numFmtId="0" fontId="9" fillId="4" borderId="0" xfId="12" applyFont="1" applyFill="1" applyAlignment="1">
      <alignment horizontal="right" vertical="center"/>
    </xf>
    <xf numFmtId="0" fontId="9" fillId="4" borderId="0" xfId="12" applyFont="1" applyFill="1"/>
    <xf numFmtId="0" fontId="48" fillId="4" borderId="0" xfId="12" applyFont="1" applyFill="1"/>
    <xf numFmtId="0" fontId="48" fillId="4" borderId="13" xfId="12" applyFont="1" applyFill="1" applyBorder="1"/>
    <xf numFmtId="0" fontId="45" fillId="4" borderId="13" xfId="12" applyFont="1" applyFill="1" applyBorder="1" applyAlignment="1">
      <alignment vertical="center"/>
    </xf>
    <xf numFmtId="0" fontId="60" fillId="4" borderId="0" xfId="6" applyFont="1" applyFill="1" applyAlignment="1">
      <alignment vertical="center"/>
    </xf>
    <xf numFmtId="167" fontId="60" fillId="4" borderId="0" xfId="6" applyNumberFormat="1" applyFont="1" applyFill="1" applyAlignment="1">
      <alignment horizontal="center" vertical="center"/>
    </xf>
    <xf numFmtId="0" fontId="79" fillId="4" borderId="0" xfId="3" applyFont="1" applyFill="1" applyAlignment="1">
      <alignment horizontal="center" vertical="center"/>
    </xf>
    <xf numFmtId="0" fontId="1" fillId="4" borderId="0" xfId="12" applyFill="1" applyAlignment="1">
      <alignment horizontal="right" vertical="center"/>
    </xf>
    <xf numFmtId="167" fontId="34" fillId="4" borderId="0" xfId="6" applyNumberFormat="1" applyFont="1" applyFill="1" applyAlignment="1">
      <alignment horizontal="center" vertical="center"/>
    </xf>
    <xf numFmtId="0" fontId="4" fillId="4" borderId="0" xfId="12" applyFont="1" applyFill="1" applyAlignment="1">
      <alignment horizontal="right" vertical="center"/>
    </xf>
    <xf numFmtId="0" fontId="4" fillId="4" borderId="13" xfId="12" applyFont="1" applyFill="1" applyBorder="1" applyAlignment="1">
      <alignment vertical="center"/>
    </xf>
    <xf numFmtId="0" fontId="34" fillId="4" borderId="13" xfId="6" applyFont="1" applyFill="1" applyBorder="1" applyAlignment="1">
      <alignment vertical="center"/>
    </xf>
    <xf numFmtId="0" fontId="77" fillId="13" borderId="19" xfId="12" applyFont="1" applyFill="1" applyBorder="1" applyAlignment="1">
      <alignment horizontal="right" vertical="center"/>
    </xf>
    <xf numFmtId="0" fontId="77" fillId="13" borderId="18" xfId="12" applyFont="1" applyFill="1" applyBorder="1"/>
    <xf numFmtId="0" fontId="77" fillId="13" borderId="48" xfId="12" applyFont="1" applyFill="1" applyBorder="1"/>
    <xf numFmtId="0" fontId="1" fillId="4" borderId="87" xfId="12" applyFill="1" applyBorder="1"/>
    <xf numFmtId="1" fontId="131" fillId="7" borderId="86" xfId="1" applyNumberFormat="1" applyFont="1" applyFill="1" applyBorder="1" applyAlignment="1" applyProtection="1">
      <alignment vertical="center" wrapText="1"/>
      <protection hidden="1"/>
    </xf>
    <xf numFmtId="2" fontId="64" fillId="56" borderId="86" xfId="15" applyNumberFormat="1" applyFont="1" applyFill="1" applyBorder="1" applyAlignment="1">
      <alignment horizontal="center" vertical="center"/>
    </xf>
    <xf numFmtId="2" fontId="132" fillId="39" borderId="86" xfId="15" applyNumberFormat="1" applyFont="1" applyFill="1" applyBorder="1" applyAlignment="1">
      <alignment vertical="center"/>
    </xf>
    <xf numFmtId="0" fontId="1" fillId="4" borderId="15" xfId="12" applyFill="1" applyBorder="1"/>
    <xf numFmtId="0" fontId="1" fillId="4" borderId="13" xfId="12" applyFill="1" applyBorder="1"/>
    <xf numFmtId="0" fontId="77" fillId="13" borderId="15" xfId="12" applyFont="1" applyFill="1" applyBorder="1"/>
    <xf numFmtId="0" fontId="77" fillId="13" borderId="0" xfId="12" applyFont="1" applyFill="1"/>
    <xf numFmtId="0" fontId="1" fillId="4" borderId="11" xfId="12" applyFill="1" applyBorder="1"/>
    <xf numFmtId="0" fontId="1" fillId="4" borderId="20" xfId="12" applyFill="1" applyBorder="1"/>
    <xf numFmtId="0" fontId="4" fillId="4" borderId="93" xfId="12" applyFont="1" applyFill="1" applyBorder="1" applyAlignment="1">
      <alignment horizontal="right" vertical="center"/>
    </xf>
    <xf numFmtId="2" fontId="132" fillId="39" borderId="13" xfId="15" applyNumberFormat="1" applyFont="1" applyFill="1" applyBorder="1" applyAlignment="1">
      <alignment horizontal="center" vertical="center"/>
    </xf>
    <xf numFmtId="0" fontId="2" fillId="57" borderId="15" xfId="6" applyFont="1" applyFill="1" applyBorder="1" applyAlignment="1">
      <alignment vertical="center"/>
    </xf>
    <xf numFmtId="0" fontId="2" fillId="57" borderId="0" xfId="6" applyFont="1" applyFill="1" applyAlignment="1">
      <alignment vertical="center"/>
    </xf>
    <xf numFmtId="0" fontId="2" fillId="57" borderId="13" xfId="6" applyFont="1" applyFill="1" applyBorder="1" applyAlignment="1">
      <alignment vertical="center"/>
    </xf>
    <xf numFmtId="0" fontId="1" fillId="0" borderId="15" xfId="12" applyBorder="1" applyAlignment="1">
      <alignment vertical="center"/>
    </xf>
    <xf numFmtId="174" fontId="79" fillId="4" borderId="0" xfId="12" applyNumberFormat="1" applyFont="1" applyFill="1" applyAlignment="1">
      <alignment vertical="center"/>
    </xf>
    <xf numFmtId="167" fontId="64" fillId="28" borderId="0" xfId="1" applyNumberFormat="1" applyFont="1" applyFill="1" applyAlignment="1">
      <alignment horizontal="center" vertical="center"/>
    </xf>
    <xf numFmtId="0" fontId="79" fillId="15" borderId="0" xfId="6" applyFont="1" applyFill="1"/>
    <xf numFmtId="2" fontId="111" fillId="15" borderId="0" xfId="15" applyNumberFormat="1" applyFont="1" applyFill="1" applyAlignment="1">
      <alignment horizontal="center" vertical="center"/>
    </xf>
    <xf numFmtId="0" fontId="79" fillId="15" borderId="0" xfId="6" applyFont="1" applyFill="1" applyAlignment="1">
      <alignment horizontal="right" vertical="center"/>
    </xf>
    <xf numFmtId="0" fontId="12" fillId="13" borderId="34" xfId="3" applyFont="1" applyFill="1" applyBorder="1"/>
    <xf numFmtId="0" fontId="12" fillId="13" borderId="21" xfId="3" applyFont="1" applyFill="1" applyBorder="1"/>
    <xf numFmtId="0" fontId="12" fillId="13" borderId="33" xfId="3" applyFont="1" applyFill="1" applyBorder="1"/>
    <xf numFmtId="170" fontId="33" fillId="40" borderId="0" xfId="1" applyNumberFormat="1" applyFont="1" applyFill="1" applyAlignment="1">
      <alignment horizontal="right" vertical="center"/>
    </xf>
    <xf numFmtId="0" fontId="129" fillId="15" borderId="0" xfId="6" applyFont="1" applyFill="1" applyAlignment="1">
      <alignment vertical="center"/>
    </xf>
    <xf numFmtId="2" fontId="132" fillId="39" borderId="0" xfId="15" applyNumberFormat="1" applyFont="1" applyFill="1" applyAlignment="1">
      <alignment horizontal="center" vertical="center"/>
    </xf>
    <xf numFmtId="0" fontId="33" fillId="15" borderId="0" xfId="12" applyFont="1" applyFill="1" applyAlignment="1">
      <alignment horizontal="center" vertical="center"/>
    </xf>
    <xf numFmtId="0" fontId="1" fillId="4" borderId="0" xfId="12" applyFill="1" applyAlignment="1">
      <alignment horizontal="left" vertical="center"/>
    </xf>
    <xf numFmtId="169" fontId="69" fillId="15" borderId="15" xfId="5" applyNumberFormat="1" applyFont="1" applyFill="1" applyBorder="1" applyAlignment="1">
      <alignment horizontal="center" vertical="center"/>
    </xf>
    <xf numFmtId="0" fontId="133" fillId="4" borderId="0" xfId="12" applyFont="1" applyFill="1"/>
    <xf numFmtId="0" fontId="48" fillId="13" borderId="15" xfId="3" applyFont="1" applyFill="1" applyBorder="1" applyAlignment="1">
      <alignment vertical="center"/>
    </xf>
    <xf numFmtId="0" fontId="79" fillId="4" borderId="15" xfId="12" applyFont="1" applyFill="1" applyBorder="1" applyAlignment="1">
      <alignment vertical="center"/>
    </xf>
    <xf numFmtId="0" fontId="79" fillId="4" borderId="0" xfId="12" applyFont="1" applyFill="1" applyAlignment="1">
      <alignment vertical="center"/>
    </xf>
    <xf numFmtId="1" fontId="79" fillId="4" borderId="0" xfId="6" applyNumberFormat="1" applyFont="1" applyFill="1"/>
    <xf numFmtId="0" fontId="114" fillId="4" borderId="13" xfId="1" applyFont="1" applyFill="1" applyBorder="1" applyAlignment="1" applyProtection="1">
      <alignment horizontal="left"/>
      <protection hidden="1"/>
    </xf>
    <xf numFmtId="0" fontId="79" fillId="4" borderId="15" xfId="12" applyFont="1" applyFill="1" applyBorder="1"/>
    <xf numFmtId="0" fontId="12" fillId="4" borderId="0" xfId="1" applyFont="1" applyFill="1" applyProtection="1">
      <protection hidden="1"/>
    </xf>
    <xf numFmtId="184" fontId="64" fillId="34" borderId="108" xfId="1" applyNumberFormat="1" applyFont="1" applyFill="1" applyBorder="1" applyAlignment="1">
      <alignment horizontal="center" vertical="center"/>
    </xf>
    <xf numFmtId="0" fontId="48" fillId="4" borderId="0" xfId="1" applyFont="1" applyFill="1" applyProtection="1">
      <protection hidden="1"/>
    </xf>
    <xf numFmtId="1" fontId="48" fillId="4" borderId="0" xfId="6" applyNumberFormat="1" applyFont="1" applyFill="1"/>
    <xf numFmtId="0" fontId="48" fillId="4" borderId="13" xfId="1" applyFont="1" applyFill="1" applyBorder="1" applyAlignment="1" applyProtection="1">
      <alignment horizontal="left"/>
      <protection hidden="1"/>
    </xf>
    <xf numFmtId="0" fontId="35" fillId="4" borderId="15" xfId="6" applyFont="1" applyFill="1" applyBorder="1" applyAlignment="1">
      <alignment vertical="center"/>
    </xf>
    <xf numFmtId="0" fontId="18" fillId="4" borderId="0" xfId="6" applyFont="1" applyFill="1" applyAlignment="1">
      <alignment horizontal="right" vertical="center"/>
    </xf>
    <xf numFmtId="0" fontId="35" fillId="4" borderId="13" xfId="6" applyFont="1" applyFill="1" applyBorder="1" applyAlignment="1">
      <alignment vertical="center"/>
    </xf>
    <xf numFmtId="0" fontId="40" fillId="2" borderId="67" xfId="12" applyFont="1" applyFill="1" applyBorder="1" applyAlignment="1">
      <alignment horizontal="centerContinuous" vertical="center"/>
    </xf>
    <xf numFmtId="0" fontId="40" fillId="2" borderId="66" xfId="12" applyFont="1" applyFill="1" applyBorder="1" applyAlignment="1">
      <alignment horizontal="centerContinuous" vertical="center"/>
    </xf>
    <xf numFmtId="0" fontId="40" fillId="2" borderId="8" xfId="12" applyFont="1" applyFill="1" applyBorder="1" applyAlignment="1">
      <alignment horizontal="centerContinuous" vertical="center"/>
    </xf>
    <xf numFmtId="0" fontId="41" fillId="4" borderId="0" xfId="3" applyFont="1" applyFill="1" applyAlignment="1">
      <alignment vertical="center"/>
    </xf>
    <xf numFmtId="0" fontId="17" fillId="4" borderId="0" xfId="3" applyFont="1" applyFill="1" applyAlignment="1">
      <alignment horizontal="right" vertical="center"/>
    </xf>
    <xf numFmtId="2" fontId="12" fillId="4" borderId="0" xfId="3" applyNumberFormat="1" applyFont="1" applyFill="1" applyAlignment="1">
      <alignment vertical="center"/>
    </xf>
    <xf numFmtId="2" fontId="12" fillId="4" borderId="87" xfId="3" applyNumberFormat="1" applyFont="1" applyFill="1" applyBorder="1" applyAlignment="1">
      <alignment vertical="center"/>
    </xf>
    <xf numFmtId="170" fontId="33" fillId="40" borderId="86" xfId="1" applyNumberFormat="1" applyFont="1" applyFill="1" applyBorder="1" applyAlignment="1">
      <alignment horizontal="center" vertical="center"/>
    </xf>
    <xf numFmtId="0" fontId="41" fillId="4" borderId="86" xfId="12" applyFont="1" applyFill="1" applyBorder="1" applyAlignment="1">
      <alignment horizontal="right" vertical="center"/>
    </xf>
    <xf numFmtId="0" fontId="9" fillId="4" borderId="86" xfId="12" applyFont="1" applyFill="1" applyBorder="1" applyAlignment="1">
      <alignment horizontal="right" vertical="top"/>
    </xf>
    <xf numFmtId="0" fontId="54" fillId="4" borderId="86" xfId="12" applyFont="1" applyFill="1" applyBorder="1" applyAlignment="1">
      <alignment horizontal="right" vertical="top"/>
    </xf>
    <xf numFmtId="0" fontId="62" fillId="4" borderId="20" xfId="6" applyFont="1" applyFill="1" applyBorder="1" applyAlignment="1" applyProtection="1">
      <alignment vertical="center"/>
      <protection locked="0"/>
    </xf>
    <xf numFmtId="0" fontId="62" fillId="4" borderId="118" xfId="6" applyFont="1" applyFill="1" applyBorder="1" applyAlignment="1" applyProtection="1">
      <alignment vertical="center"/>
      <protection locked="0"/>
    </xf>
    <xf numFmtId="169" fontId="10" fillId="15" borderId="20" xfId="5" applyNumberFormat="1" applyFont="1" applyFill="1" applyBorder="1" applyAlignment="1">
      <alignment horizontal="center" vertical="center"/>
    </xf>
    <xf numFmtId="0" fontId="54" fillId="4" borderId="15" xfId="1" applyFont="1" applyFill="1" applyBorder="1" applyAlignment="1">
      <alignment horizontal="center"/>
    </xf>
    <xf numFmtId="169" fontId="48" fillId="40" borderId="15" xfId="1" applyNumberFormat="1" applyFont="1" applyFill="1" applyBorder="1" applyAlignment="1">
      <alignment horizontal="center" vertical="center"/>
    </xf>
    <xf numFmtId="167" fontId="48" fillId="21" borderId="0" xfId="1" applyNumberFormat="1" applyFont="1" applyFill="1" applyAlignment="1">
      <alignment horizontal="center" vertical="center"/>
    </xf>
    <xf numFmtId="1" fontId="131" fillId="7" borderId="0" xfId="1" applyNumberFormat="1" applyFont="1" applyFill="1" applyAlignment="1" applyProtection="1">
      <alignment vertical="center"/>
      <protection hidden="1"/>
    </xf>
    <xf numFmtId="2" fontId="64" fillId="56" borderId="20" xfId="15" applyNumberFormat="1" applyFont="1" applyFill="1" applyBorder="1" applyAlignment="1">
      <alignment horizontal="center" vertical="center"/>
    </xf>
    <xf numFmtId="2" fontId="132" fillId="39" borderId="20" xfId="15" applyNumberFormat="1" applyFont="1" applyFill="1" applyBorder="1" applyAlignment="1">
      <alignment horizontal="center" vertical="center"/>
    </xf>
    <xf numFmtId="167" fontId="50" fillId="58" borderId="0" xfId="1" applyNumberFormat="1" applyFont="1" applyFill="1" applyAlignment="1">
      <alignment horizontal="center" vertical="center"/>
    </xf>
    <xf numFmtId="1" fontId="50" fillId="17" borderId="0" xfId="12" applyNumberFormat="1" applyFont="1" applyFill="1" applyAlignment="1">
      <alignment horizontal="center" vertical="center"/>
    </xf>
    <xf numFmtId="0" fontId="134" fillId="4" borderId="0" xfId="1" applyFont="1" applyFill="1" applyAlignment="1" applyProtection="1">
      <alignment horizontal="right" vertical="center"/>
      <protection hidden="1"/>
    </xf>
    <xf numFmtId="0" fontId="5" fillId="55" borderId="0" xfId="12" applyFont="1" applyFill="1" applyAlignment="1">
      <alignment vertical="center"/>
    </xf>
    <xf numFmtId="164" fontId="79" fillId="4" borderId="0" xfId="1" applyNumberFormat="1" applyFont="1" applyFill="1" applyAlignment="1">
      <alignment horizontal="center" vertical="center"/>
    </xf>
    <xf numFmtId="0" fontId="135" fillId="4" borderId="23" xfId="1" applyFont="1" applyFill="1" applyBorder="1" applyAlignment="1">
      <alignment vertical="center"/>
    </xf>
    <xf numFmtId="0" fontId="41" fillId="22" borderId="0" xfId="1" applyFont="1" applyFill="1" applyAlignment="1" applyProtection="1">
      <alignment vertical="center"/>
      <protection hidden="1"/>
    </xf>
    <xf numFmtId="0" fontId="33" fillId="22" borderId="0" xfId="1" applyFont="1" applyFill="1" applyAlignment="1" applyProtection="1">
      <alignment horizontal="center" vertical="center"/>
      <protection hidden="1"/>
    </xf>
    <xf numFmtId="0" fontId="33" fillId="22" borderId="16" xfId="1" applyFont="1" applyFill="1" applyBorder="1" applyAlignment="1" applyProtection="1">
      <alignment horizontal="center" vertical="center"/>
      <protection hidden="1"/>
    </xf>
    <xf numFmtId="0" fontId="17" fillId="4" borderId="21" xfId="3" applyFont="1" applyFill="1" applyBorder="1" applyAlignment="1">
      <alignment vertical="center"/>
    </xf>
    <xf numFmtId="0" fontId="32" fillId="4" borderId="0" xfId="1" applyFont="1" applyFill="1" applyAlignment="1" applyProtection="1">
      <alignment horizontal="center" vertical="center"/>
      <protection hidden="1"/>
    </xf>
    <xf numFmtId="0" fontId="17" fillId="4" borderId="119" xfId="1" applyFont="1" applyFill="1" applyBorder="1" applyAlignment="1" applyProtection="1">
      <alignment vertical="center"/>
      <protection hidden="1"/>
    </xf>
    <xf numFmtId="0" fontId="136" fillId="4" borderId="21" xfId="1" applyFont="1" applyFill="1" applyBorder="1" applyAlignment="1" applyProtection="1">
      <alignment horizontal="center" vertical="center" wrapText="1"/>
      <protection hidden="1"/>
    </xf>
    <xf numFmtId="0" fontId="35" fillId="59" borderId="21" xfId="1" applyFont="1" applyFill="1" applyBorder="1" applyAlignment="1" applyProtection="1">
      <alignment horizontal="center" vertical="center" wrapText="1"/>
      <protection hidden="1"/>
    </xf>
    <xf numFmtId="0" fontId="35" fillId="59" borderId="33" xfId="1" applyFont="1" applyFill="1" applyBorder="1" applyAlignment="1" applyProtection="1">
      <alignment horizontal="center" vertical="center" wrapText="1"/>
      <protection hidden="1"/>
    </xf>
    <xf numFmtId="44" fontId="9" fillId="4" borderId="120" xfId="5" applyNumberFormat="1" applyFont="1" applyFill="1" applyBorder="1" applyAlignment="1">
      <alignment horizontal="right" vertical="center"/>
    </xf>
    <xf numFmtId="0" fontId="17" fillId="7" borderId="27" xfId="1" applyFont="1" applyFill="1" applyBorder="1" applyAlignment="1" applyProtection="1">
      <alignment horizontal="center" vertical="center" wrapText="1"/>
      <protection hidden="1"/>
    </xf>
    <xf numFmtId="1" fontId="48" fillId="7" borderId="121" xfId="1" applyNumberFormat="1" applyFont="1" applyFill="1" applyBorder="1" applyAlignment="1" applyProtection="1">
      <alignment horizontal="center" vertical="center"/>
      <protection hidden="1"/>
    </xf>
    <xf numFmtId="170" fontId="137" fillId="3" borderId="122" xfId="1" applyNumberFormat="1" applyFont="1" applyFill="1" applyBorder="1" applyAlignment="1" applyProtection="1">
      <alignment horizontal="center" vertical="center"/>
      <protection hidden="1"/>
    </xf>
    <xf numFmtId="0" fontId="12" fillId="3" borderId="123" xfId="1" applyFont="1" applyFill="1" applyBorder="1" applyAlignment="1" applyProtection="1">
      <alignment horizontal="center" vertical="center" wrapText="1"/>
      <protection hidden="1"/>
    </xf>
    <xf numFmtId="0" fontId="35" fillId="3" borderId="124" xfId="1" applyFont="1" applyFill="1" applyBorder="1" applyAlignment="1" applyProtection="1">
      <alignment horizontal="center" vertical="center" wrapText="1"/>
      <protection hidden="1"/>
    </xf>
    <xf numFmtId="165" fontId="12" fillId="4" borderId="40" xfId="1" applyNumberFormat="1" applyFont="1" applyFill="1" applyBorder="1" applyAlignment="1">
      <alignment horizontal="left" vertical="center"/>
    </xf>
    <xf numFmtId="0" fontId="48" fillId="4" borderId="39" xfId="1" applyFont="1" applyFill="1" applyBorder="1" applyAlignment="1" applyProtection="1">
      <alignment horizontal="left" vertical="center"/>
      <protection hidden="1"/>
    </xf>
    <xf numFmtId="2" fontId="64" fillId="56" borderId="28" xfId="15" applyNumberFormat="1" applyFont="1" applyFill="1" applyBorder="1" applyAlignment="1">
      <alignment horizontal="center" vertical="center"/>
    </xf>
    <xf numFmtId="2" fontId="132" fillId="39" borderId="28" xfId="15" applyNumberFormat="1" applyFont="1" applyFill="1" applyBorder="1" applyAlignment="1">
      <alignment horizontal="center" vertical="center"/>
    </xf>
    <xf numFmtId="164" fontId="9" fillId="4" borderId="10" xfId="1" applyNumberFormat="1" applyFont="1" applyFill="1" applyBorder="1" applyAlignment="1">
      <alignment horizontal="left" vertical="top" wrapText="1"/>
    </xf>
    <xf numFmtId="0" fontId="34" fillId="4" borderId="0" xfId="1" applyFont="1" applyFill="1" applyAlignment="1">
      <alignment horizontal="center" vertical="top" wrapText="1"/>
    </xf>
    <xf numFmtId="170" fontId="9" fillId="4" borderId="0" xfId="6" applyNumberFormat="1" applyFont="1" applyFill="1" applyAlignment="1">
      <alignment horizontal="center"/>
    </xf>
    <xf numFmtId="169" fontId="48" fillId="40" borderId="0" xfId="1" applyNumberFormat="1" applyFont="1" applyFill="1" applyAlignment="1">
      <alignment horizontal="center"/>
    </xf>
    <xf numFmtId="170" fontId="9" fillId="4" borderId="10" xfId="6" applyNumberFormat="1" applyFont="1" applyFill="1" applyBorder="1" applyAlignment="1">
      <alignment horizontal="center" vertical="center"/>
    </xf>
    <xf numFmtId="1" fontId="9" fillId="21" borderId="16" xfId="1" applyNumberFormat="1" applyFont="1" applyFill="1" applyBorder="1" applyAlignment="1">
      <alignment horizontal="center" vertical="center"/>
    </xf>
    <xf numFmtId="170" fontId="136" fillId="40" borderId="0" xfId="1" applyNumberFormat="1" applyFont="1" applyFill="1" applyAlignment="1">
      <alignment horizontal="center" vertical="center"/>
    </xf>
    <xf numFmtId="170" fontId="56" fillId="40" borderId="0" xfId="1" applyNumberFormat="1" applyFont="1" applyFill="1" applyAlignment="1">
      <alignment horizontal="center"/>
    </xf>
    <xf numFmtId="167" fontId="56" fillId="21" borderId="0" xfId="1" applyNumberFormat="1" applyFont="1" applyFill="1" applyAlignment="1">
      <alignment horizontal="center"/>
    </xf>
    <xf numFmtId="0" fontId="56" fillId="4" borderId="13" xfId="12" applyFont="1" applyFill="1" applyBorder="1" applyAlignment="1">
      <alignment horizontal="center"/>
    </xf>
    <xf numFmtId="0" fontId="111" fillId="60" borderId="125" xfId="6" applyFont="1" applyFill="1" applyBorder="1" applyAlignment="1" applyProtection="1">
      <alignment horizontal="center" vertical="center"/>
      <protection locked="0"/>
    </xf>
    <xf numFmtId="0" fontId="129" fillId="4" borderId="0" xfId="1" applyFont="1" applyFill="1" applyAlignment="1" applyProtection="1">
      <alignment horizontal="right" vertical="center"/>
      <protection hidden="1"/>
    </xf>
    <xf numFmtId="0" fontId="139" fillId="4" borderId="33" xfId="1" applyFont="1" applyFill="1" applyBorder="1" applyAlignment="1" applyProtection="1">
      <alignment horizontal="center" vertical="center" wrapText="1"/>
      <protection hidden="1"/>
    </xf>
    <xf numFmtId="2" fontId="33" fillId="4" borderId="15" xfId="1" applyNumberFormat="1" applyFont="1" applyFill="1" applyBorder="1" applyAlignment="1" applyProtection="1">
      <alignment horizontal="center" vertical="center"/>
      <protection hidden="1"/>
    </xf>
    <xf numFmtId="1" fontId="33" fillId="4" borderId="13" xfId="1" applyNumberFormat="1" applyFont="1" applyFill="1" applyBorder="1" applyAlignment="1" applyProtection="1">
      <alignment horizontal="center" vertical="center"/>
      <protection hidden="1"/>
    </xf>
    <xf numFmtId="170" fontId="33" fillId="4" borderId="15" xfId="5" applyNumberFormat="1" applyFont="1" applyFill="1" applyBorder="1" applyAlignment="1">
      <alignment horizontal="center" vertical="center"/>
    </xf>
    <xf numFmtId="0" fontId="33" fillId="4" borderId="16" xfId="3" applyFont="1" applyFill="1" applyBorder="1" applyAlignment="1">
      <alignment horizontal="right" vertical="center"/>
    </xf>
    <xf numFmtId="0" fontId="41" fillId="4" borderId="0" xfId="1" applyFont="1" applyFill="1" applyAlignment="1">
      <alignment horizontal="center"/>
    </xf>
    <xf numFmtId="0" fontId="33" fillId="4" borderId="0" xfId="3" applyFont="1" applyFill="1" applyAlignment="1">
      <alignment horizontal="left" vertical="center"/>
    </xf>
    <xf numFmtId="2" fontId="18" fillId="40" borderId="0" xfId="1" applyNumberFormat="1" applyFont="1" applyFill="1" applyAlignment="1">
      <alignment horizontal="center" vertical="center"/>
    </xf>
    <xf numFmtId="1" fontId="33" fillId="4" borderId="0" xfId="3" applyNumberFormat="1" applyFont="1" applyFill="1" applyAlignment="1">
      <alignment horizontal="left" vertical="center"/>
    </xf>
    <xf numFmtId="1" fontId="18" fillId="4" borderId="0" xfId="3" applyNumberFormat="1" applyFont="1" applyFill="1" applyAlignment="1">
      <alignment horizontal="center" vertical="center"/>
    </xf>
    <xf numFmtId="0" fontId="41" fillId="4" borderId="10" xfId="1" applyFont="1" applyFill="1" applyBorder="1" applyAlignment="1">
      <alignment horizontal="center"/>
    </xf>
    <xf numFmtId="0" fontId="41" fillId="4" borderId="16" xfId="1" applyFont="1" applyFill="1" applyBorder="1" applyAlignment="1">
      <alignment horizontal="center"/>
    </xf>
    <xf numFmtId="185" fontId="34" fillId="61" borderId="0" xfId="1" applyNumberFormat="1" applyFont="1" applyFill="1" applyAlignment="1">
      <alignment horizontal="center" vertical="center"/>
    </xf>
    <xf numFmtId="170" fontId="34" fillId="62" borderId="0" xfId="1" applyNumberFormat="1" applyFont="1" applyFill="1" applyAlignment="1">
      <alignment horizontal="center" vertical="center"/>
    </xf>
    <xf numFmtId="171" fontId="63" fillId="33" borderId="0" xfId="1" applyNumberFormat="1" applyFont="1" applyFill="1" applyAlignment="1" applyProtection="1">
      <alignment horizontal="center" vertical="center"/>
      <protection locked="0"/>
    </xf>
    <xf numFmtId="170" fontId="33" fillId="63" borderId="0" xfId="1" applyNumberFormat="1" applyFont="1" applyFill="1" applyAlignment="1">
      <alignment horizontal="center" vertical="center"/>
    </xf>
    <xf numFmtId="167" fontId="33" fillId="18" borderId="0" xfId="1" applyNumberFormat="1" applyFont="1" applyFill="1" applyAlignment="1">
      <alignment horizontal="center" vertical="center"/>
    </xf>
    <xf numFmtId="0" fontId="140" fillId="7" borderId="0" xfId="12" applyFont="1" applyFill="1" applyAlignment="1">
      <alignment horizontal="center" vertical="center"/>
    </xf>
    <xf numFmtId="169" fontId="33" fillId="53" borderId="33" xfId="1" applyNumberFormat="1" applyFont="1" applyFill="1" applyBorder="1" applyAlignment="1">
      <alignment horizontal="center" vertical="center"/>
    </xf>
    <xf numFmtId="179" fontId="9" fillId="4" borderId="126" xfId="5" applyNumberFormat="1" applyFont="1" applyFill="1" applyBorder="1" applyAlignment="1">
      <alignment horizontal="right" vertical="center"/>
    </xf>
    <xf numFmtId="0" fontId="34" fillId="4" borderId="0" xfId="1" applyFont="1" applyFill="1" applyAlignment="1">
      <alignment horizontal="right" vertical="center"/>
    </xf>
    <xf numFmtId="0" fontId="12" fillId="0" borderId="13" xfId="3" applyFont="1" applyBorder="1"/>
    <xf numFmtId="170" fontId="33" fillId="63" borderId="0" xfId="1" applyNumberFormat="1" applyFont="1" applyFill="1" applyAlignment="1">
      <alignment horizontal="center" vertical="center"/>
    </xf>
    <xf numFmtId="0" fontId="18" fillId="4" borderId="0" xfId="1" applyFont="1" applyFill="1"/>
    <xf numFmtId="1" fontId="131" fillId="7" borderId="10" xfId="1" applyNumberFormat="1" applyFont="1" applyFill="1" applyBorder="1" applyAlignment="1" applyProtection="1">
      <alignment horizontal="left" vertical="center" wrapText="1"/>
      <protection hidden="1"/>
    </xf>
    <xf numFmtId="2" fontId="111" fillId="56" borderId="0" xfId="15" applyNumberFormat="1" applyFont="1" applyFill="1" applyAlignment="1">
      <alignment horizontal="center" vertical="center"/>
    </xf>
    <xf numFmtId="2" fontId="22" fillId="39" borderId="16" xfId="15" applyNumberFormat="1" applyFont="1" applyFill="1" applyBorder="1" applyAlignment="1">
      <alignment horizontal="center" vertical="center"/>
    </xf>
    <xf numFmtId="0" fontId="11" fillId="4" borderId="79" xfId="1" applyFont="1" applyFill="1" applyBorder="1" applyAlignment="1">
      <alignment horizontal="center"/>
    </xf>
    <xf numFmtId="0" fontId="12" fillId="4" borderId="88" xfId="1" applyFont="1" applyFill="1" applyBorder="1" applyAlignment="1" applyProtection="1">
      <alignment horizontal="center" wrapText="1"/>
      <protection hidden="1"/>
    </xf>
    <xf numFmtId="165" fontId="129" fillId="4" borderId="88" xfId="1" applyNumberFormat="1" applyFont="1" applyFill="1" applyBorder="1" applyAlignment="1">
      <alignment horizontal="center" wrapText="1"/>
    </xf>
    <xf numFmtId="0" fontId="11" fillId="4" borderId="88" xfId="1" applyFont="1" applyFill="1" applyBorder="1" applyAlignment="1">
      <alignment horizontal="center"/>
    </xf>
    <xf numFmtId="0" fontId="141" fillId="4" borderId="88" xfId="1" applyFont="1" applyFill="1" applyBorder="1" applyAlignment="1">
      <alignment horizontal="center" wrapText="1"/>
    </xf>
    <xf numFmtId="0" fontId="12" fillId="4" borderId="48" xfId="3" applyFont="1" applyFill="1" applyBorder="1" applyAlignment="1">
      <alignment horizontal="center" vertical="center" wrapText="1"/>
    </xf>
    <xf numFmtId="1" fontId="18" fillId="4" borderId="88" xfId="1" applyNumberFormat="1" applyFont="1" applyFill="1" applyBorder="1" applyAlignment="1" applyProtection="1">
      <alignment vertical="center"/>
      <protection hidden="1"/>
    </xf>
    <xf numFmtId="0" fontId="2" fillId="2" borderId="20" xfId="3" applyFont="1" applyFill="1" applyBorder="1" applyAlignment="1">
      <alignment horizontal="right" vertical="center"/>
    </xf>
    <xf numFmtId="0" fontId="12" fillId="0" borderId="10" xfId="1" applyFont="1" applyBorder="1" applyAlignment="1" applyProtection="1">
      <alignment horizontal="center" vertical="center"/>
      <protection hidden="1"/>
    </xf>
    <xf numFmtId="0" fontId="129" fillId="4" borderId="0" xfId="6" applyFont="1" applyFill="1" applyAlignment="1">
      <alignment horizontal="center" wrapText="1"/>
    </xf>
    <xf numFmtId="0" fontId="130" fillId="4" borderId="16" xfId="1" applyFont="1" applyFill="1" applyBorder="1" applyAlignment="1" applyProtection="1">
      <alignment horizontal="center" wrapText="1"/>
      <protection hidden="1"/>
    </xf>
    <xf numFmtId="0" fontId="142" fillId="4" borderId="0" xfId="1" applyFont="1" applyFill="1" applyProtection="1">
      <protection hidden="1"/>
    </xf>
    <xf numFmtId="0" fontId="142" fillId="4" borderId="13" xfId="1" applyFont="1" applyFill="1" applyBorder="1" applyProtection="1">
      <protection hidden="1"/>
    </xf>
    <xf numFmtId="0" fontId="2" fillId="2" borderId="127" xfId="3" applyFont="1" applyFill="1" applyBorder="1" applyAlignment="1">
      <alignment horizontal="right" vertical="center"/>
    </xf>
    <xf numFmtId="186" fontId="44" fillId="2" borderId="127" xfId="6" applyNumberFormat="1" applyFont="1" applyFill="1" applyBorder="1" applyAlignment="1">
      <alignment vertical="center"/>
    </xf>
    <xf numFmtId="0" fontId="2" fillId="2" borderId="127" xfId="3" applyFont="1" applyFill="1" applyBorder="1" applyAlignment="1">
      <alignment horizontal="left" vertical="center"/>
    </xf>
    <xf numFmtId="0" fontId="40" fillId="2" borderId="40" xfId="3" applyFont="1" applyFill="1" applyBorder="1" applyAlignment="1">
      <alignment horizontal="left" vertical="top"/>
    </xf>
    <xf numFmtId="0" fontId="40" fillId="2" borderId="40" xfId="3" applyFont="1" applyFill="1" applyBorder="1" applyAlignment="1">
      <alignment horizontal="right" vertical="top"/>
    </xf>
    <xf numFmtId="0" fontId="143" fillId="2" borderId="40" xfId="1" applyFont="1" applyFill="1" applyBorder="1" applyAlignment="1" applyProtection="1">
      <alignment horizontal="center" vertical="center"/>
      <protection hidden="1"/>
    </xf>
    <xf numFmtId="186" fontId="44" fillId="2" borderId="40" xfId="6" applyNumberFormat="1" applyFont="1" applyFill="1" applyBorder="1" applyAlignment="1">
      <alignment horizontal="left" vertical="center"/>
    </xf>
    <xf numFmtId="0" fontId="38" fillId="2" borderId="39" xfId="3" applyFont="1" applyFill="1" applyBorder="1" applyAlignment="1">
      <alignment horizontal="left" vertical="center"/>
    </xf>
    <xf numFmtId="2" fontId="64" fillId="56" borderId="21" xfId="15" applyNumberFormat="1" applyFont="1" applyFill="1" applyBorder="1" applyAlignment="1">
      <alignment horizontal="center" vertical="center"/>
    </xf>
    <xf numFmtId="2" fontId="132" fillId="39" borderId="21" xfId="15" applyNumberFormat="1" applyFont="1" applyFill="1" applyBorder="1" applyAlignment="1">
      <alignment horizontal="center" vertical="center"/>
    </xf>
    <xf numFmtId="170" fontId="33" fillId="40" borderId="10" xfId="1" applyNumberFormat="1" applyFont="1" applyFill="1" applyBorder="1" applyAlignment="1">
      <alignment horizontal="center" vertical="center"/>
    </xf>
    <xf numFmtId="1" fontId="50" fillId="17" borderId="16" xfId="12" applyNumberFormat="1" applyFont="1" applyFill="1" applyBorder="1" applyAlignment="1">
      <alignment horizontal="center" vertical="center"/>
    </xf>
    <xf numFmtId="0" fontId="142" fillId="4" borderId="0" xfId="6" applyFont="1" applyFill="1" applyAlignment="1">
      <alignment vertical="center"/>
    </xf>
    <xf numFmtId="2" fontId="46" fillId="40" borderId="0" xfId="1" applyNumberFormat="1" applyFont="1" applyFill="1" applyAlignment="1">
      <alignment horizontal="center" vertical="center"/>
    </xf>
    <xf numFmtId="0" fontId="90" fillId="4" borderId="0" xfId="3" applyFont="1" applyFill="1"/>
    <xf numFmtId="0" fontId="144" fillId="4" borderId="40" xfId="3" applyFont="1" applyFill="1" applyBorder="1" applyAlignment="1">
      <alignment horizontal="right"/>
    </xf>
    <xf numFmtId="0" fontId="12" fillId="4" borderId="40" xfId="3" applyFont="1" applyFill="1" applyBorder="1"/>
    <xf numFmtId="0" fontId="9" fillId="11" borderId="0" xfId="1" applyFont="1" applyFill="1" applyAlignment="1" applyProtection="1">
      <alignment horizontal="left"/>
      <protection locked="0"/>
    </xf>
    <xf numFmtId="0" fontId="145" fillId="4" borderId="0" xfId="6" applyFont="1" applyFill="1" applyAlignment="1">
      <alignment vertical="center"/>
    </xf>
    <xf numFmtId="0" fontId="12" fillId="4" borderId="15" xfId="1" applyFont="1" applyFill="1" applyBorder="1" applyAlignment="1" applyProtection="1">
      <alignment horizontal="center" vertical="center"/>
      <protection hidden="1"/>
    </xf>
    <xf numFmtId="0" fontId="12" fillId="4" borderId="0" xfId="1" applyFont="1" applyFill="1" applyAlignment="1" applyProtection="1">
      <alignment horizontal="center" vertical="center"/>
      <protection hidden="1"/>
    </xf>
    <xf numFmtId="0" fontId="41" fillId="4" borderId="0" xfId="12" applyFont="1" applyFill="1" applyAlignment="1">
      <alignment horizontal="center" vertical="center" wrapText="1"/>
    </xf>
    <xf numFmtId="0" fontId="131" fillId="4" borderId="0" xfId="1" applyFont="1" applyFill="1" applyAlignment="1" applyProtection="1">
      <alignment vertical="center"/>
      <protection hidden="1"/>
    </xf>
    <xf numFmtId="0" fontId="129" fillId="4" borderId="0" xfId="6" applyFont="1" applyFill="1" applyAlignment="1">
      <alignment wrapText="1"/>
    </xf>
    <xf numFmtId="0" fontId="130" fillId="4" borderId="0" xfId="1" applyFont="1" applyFill="1" applyAlignment="1" applyProtection="1">
      <alignment wrapText="1"/>
      <protection hidden="1"/>
    </xf>
    <xf numFmtId="0" fontId="127" fillId="4" borderId="0" xfId="1" applyFont="1" applyFill="1" applyAlignment="1">
      <alignment horizontal="center"/>
    </xf>
    <xf numFmtId="0" fontId="50" fillId="4" borderId="0" xfId="1" applyFont="1" applyFill="1" applyAlignment="1">
      <alignment horizontal="center"/>
    </xf>
    <xf numFmtId="0" fontId="9" fillId="4" borderId="0" xfId="1" applyFont="1" applyFill="1" applyAlignment="1">
      <alignment horizontal="center"/>
    </xf>
    <xf numFmtId="0" fontId="9" fillId="4" borderId="13" xfId="1" applyFont="1" applyFill="1" applyBorder="1" applyAlignment="1">
      <alignment horizontal="center"/>
    </xf>
    <xf numFmtId="0" fontId="11" fillId="4" borderId="10" xfId="1" applyFont="1" applyFill="1" applyBorder="1" applyAlignment="1">
      <alignment horizontal="center"/>
    </xf>
    <xf numFmtId="0" fontId="11" fillId="4" borderId="0" xfId="1" applyFont="1" applyFill="1" applyAlignment="1">
      <alignment horizontal="center"/>
    </xf>
    <xf numFmtId="0" fontId="98" fillId="4" borderId="16" xfId="1" applyFont="1" applyFill="1" applyBorder="1" applyAlignment="1">
      <alignment horizontal="center" wrapText="1"/>
    </xf>
    <xf numFmtId="0" fontId="146" fillId="4" borderId="0" xfId="6" applyFont="1" applyFill="1" applyAlignment="1">
      <alignment vertical="center"/>
    </xf>
    <xf numFmtId="0" fontId="147" fillId="4" borderId="0" xfId="6" applyFont="1" applyFill="1" applyAlignment="1">
      <alignment vertical="center"/>
    </xf>
    <xf numFmtId="0" fontId="142" fillId="4" borderId="13" xfId="6" applyFont="1" applyFill="1" applyBorder="1" applyAlignment="1">
      <alignment vertical="center"/>
    </xf>
    <xf numFmtId="1" fontId="4" fillId="4" borderId="10" xfId="6" applyNumberFormat="1" applyFont="1" applyFill="1" applyBorder="1" applyAlignment="1">
      <alignment horizontal="center" vertical="center"/>
    </xf>
    <xf numFmtId="1" fontId="4" fillId="4" borderId="0" xfId="6" applyNumberFormat="1" applyFont="1" applyFill="1" applyAlignment="1">
      <alignment horizontal="center" vertical="center"/>
    </xf>
    <xf numFmtId="0" fontId="18" fillId="4" borderId="0" xfId="5" applyFont="1" applyFill="1" applyAlignment="1">
      <alignment horizontal="right" vertical="center"/>
    </xf>
    <xf numFmtId="0" fontId="21" fillId="11" borderId="0" xfId="1" applyFont="1" applyFill="1" applyAlignment="1" applyProtection="1">
      <alignment horizontal="left" vertical="center"/>
      <protection locked="0"/>
    </xf>
    <xf numFmtId="0" fontId="34" fillId="4" borderId="0" xfId="5" applyFont="1" applyFill="1" applyAlignment="1">
      <alignment horizontal="left" vertical="center"/>
    </xf>
    <xf numFmtId="0" fontId="9" fillId="4" borderId="0" xfId="1" applyFont="1" applyFill="1" applyAlignment="1" applyProtection="1">
      <alignment horizontal="center" wrapText="1"/>
      <protection hidden="1"/>
    </xf>
    <xf numFmtId="0" fontId="36" fillId="4" borderId="0" xfId="6" applyFont="1" applyFill="1" applyAlignment="1">
      <alignment vertical="center"/>
    </xf>
    <xf numFmtId="0" fontId="54" fillId="4" borderId="0" xfId="12" applyFont="1" applyFill="1" applyAlignment="1">
      <alignment horizontal="right"/>
    </xf>
    <xf numFmtId="0" fontId="142" fillId="4" borderId="88" xfId="6" applyFont="1" applyFill="1" applyBorder="1" applyAlignment="1">
      <alignment vertical="center"/>
    </xf>
    <xf numFmtId="0" fontId="18" fillId="4" borderId="128" xfId="5" applyFont="1" applyFill="1" applyBorder="1" applyAlignment="1">
      <alignment vertical="center"/>
    </xf>
    <xf numFmtId="0" fontId="12" fillId="4" borderId="0" xfId="6" applyFont="1" applyFill="1" applyAlignment="1">
      <alignment vertical="top"/>
    </xf>
    <xf numFmtId="0" fontId="12" fillId="4" borderId="15" xfId="3" applyFont="1" applyFill="1" applyBorder="1" applyAlignment="1">
      <alignment vertical="center"/>
    </xf>
    <xf numFmtId="0" fontId="9" fillId="4" borderId="13" xfId="6" applyFont="1" applyFill="1" applyBorder="1" applyAlignment="1">
      <alignment vertical="center"/>
    </xf>
    <xf numFmtId="1" fontId="21" fillId="11" borderId="129" xfId="1" applyNumberFormat="1" applyFont="1" applyFill="1" applyBorder="1" applyAlignment="1" applyProtection="1">
      <alignment horizontal="center" vertical="center"/>
      <protection locked="0"/>
    </xf>
    <xf numFmtId="0" fontId="13" fillId="64" borderId="127" xfId="1" applyFont="1" applyFill="1" applyBorder="1" applyAlignment="1">
      <alignment horizontal="center" vertical="center" wrapText="1"/>
    </xf>
    <xf numFmtId="0" fontId="35" fillId="4" borderId="88" xfId="6" applyFont="1" applyFill="1" applyBorder="1" applyAlignment="1">
      <alignment vertical="center"/>
    </xf>
    <xf numFmtId="0" fontId="39" fillId="4" borderId="88" xfId="1" applyFont="1" applyFill="1" applyBorder="1" applyAlignment="1" applyProtection="1">
      <alignment vertical="center"/>
      <protection hidden="1"/>
    </xf>
    <xf numFmtId="186" fontId="148" fillId="7" borderId="88" xfId="6" applyNumberFormat="1" applyFont="1" applyFill="1" applyBorder="1" applyAlignment="1">
      <alignment vertical="center"/>
    </xf>
    <xf numFmtId="0" fontId="35" fillId="0" borderId="0" xfId="6" applyFont="1" applyAlignment="1">
      <alignment vertical="center"/>
    </xf>
    <xf numFmtId="186" fontId="36" fillId="15" borderId="130" xfId="6" applyNumberFormat="1" applyFont="1" applyFill="1" applyBorder="1" applyAlignment="1">
      <alignment vertical="center"/>
    </xf>
    <xf numFmtId="186" fontId="148" fillId="15" borderId="131" xfId="6" applyNumberFormat="1" applyFont="1" applyFill="1" applyBorder="1" applyAlignment="1">
      <alignment vertical="center"/>
    </xf>
    <xf numFmtId="186" fontId="36" fillId="15" borderId="131" xfId="6" applyNumberFormat="1" applyFont="1" applyFill="1" applyBorder="1" applyAlignment="1">
      <alignment vertical="center"/>
    </xf>
    <xf numFmtId="186" fontId="36" fillId="15" borderId="132" xfId="6" applyNumberFormat="1" applyFont="1" applyFill="1" applyBorder="1" applyAlignment="1">
      <alignment vertical="center"/>
    </xf>
    <xf numFmtId="0" fontId="12" fillId="4" borderId="0" xfId="6" applyFont="1" applyFill="1" applyAlignment="1">
      <alignment vertical="center"/>
    </xf>
    <xf numFmtId="0" fontId="12" fillId="4" borderId="67" xfId="3" applyFont="1" applyFill="1" applyBorder="1" applyAlignment="1">
      <alignment vertical="center"/>
    </xf>
    <xf numFmtId="0" fontId="12" fillId="4" borderId="66" xfId="3" applyFont="1" applyFill="1" applyBorder="1" applyAlignment="1">
      <alignment vertical="center"/>
    </xf>
    <xf numFmtId="0" fontId="12" fillId="4" borderId="88" xfId="3" applyFont="1" applyFill="1" applyBorder="1" applyAlignment="1">
      <alignment vertical="center"/>
    </xf>
    <xf numFmtId="0" fontId="18" fillId="4" borderId="13" xfId="6" applyFont="1" applyFill="1" applyBorder="1" applyAlignment="1">
      <alignment vertical="center"/>
    </xf>
    <xf numFmtId="0" fontId="149" fillId="0" borderId="47" xfId="1" applyFont="1" applyBorder="1" applyAlignment="1">
      <alignment vertical="top" textRotation="255"/>
    </xf>
    <xf numFmtId="1" fontId="21" fillId="11" borderId="5" xfId="1" applyNumberFormat="1" applyFont="1" applyFill="1" applyBorder="1" applyAlignment="1" applyProtection="1">
      <alignment horizontal="center" vertical="center"/>
      <protection locked="0"/>
    </xf>
    <xf numFmtId="0" fontId="21" fillId="4" borderId="5" xfId="1" applyFont="1" applyFill="1" applyBorder="1" applyAlignment="1" applyProtection="1">
      <alignment vertical="center"/>
      <protection hidden="1"/>
    </xf>
    <xf numFmtId="0" fontId="150" fillId="7" borderId="133" xfId="1" applyFont="1" applyFill="1" applyBorder="1" applyAlignment="1" applyProtection="1">
      <alignment vertical="center"/>
      <protection hidden="1"/>
    </xf>
    <xf numFmtId="0" fontId="149" fillId="0" borderId="67" xfId="1" applyFont="1" applyBorder="1" applyAlignment="1">
      <alignment vertical="top" textRotation="255"/>
    </xf>
    <xf numFmtId="0" fontId="39" fillId="2" borderId="66" xfId="1" applyFont="1" applyFill="1" applyBorder="1" applyAlignment="1" applyProtection="1">
      <alignment vertical="center"/>
      <protection hidden="1"/>
    </xf>
    <xf numFmtId="0" fontId="39" fillId="2" borderId="134" xfId="1" applyFont="1" applyFill="1" applyBorder="1" applyAlignment="1" applyProtection="1">
      <alignment vertical="center"/>
      <protection hidden="1"/>
    </xf>
    <xf numFmtId="0" fontId="151" fillId="65" borderId="0" xfId="3" applyFont="1" applyFill="1" applyAlignment="1">
      <alignment horizontal="center" vertical="center" textRotation="90"/>
    </xf>
    <xf numFmtId="0" fontId="39" fillId="2" borderId="47" xfId="1" applyFont="1" applyFill="1" applyBorder="1" applyAlignment="1" applyProtection="1">
      <alignment horizontal="centerContinuous" vertical="center"/>
      <protection hidden="1"/>
    </xf>
    <xf numFmtId="0" fontId="39" fillId="2" borderId="5" xfId="1" applyFont="1" applyFill="1" applyBorder="1" applyAlignment="1" applyProtection="1">
      <alignment horizontal="centerContinuous" vertical="center"/>
      <protection hidden="1"/>
    </xf>
    <xf numFmtId="0" fontId="39" fillId="2" borderId="46" xfId="1" applyFont="1" applyFill="1" applyBorder="1" applyAlignment="1" applyProtection="1">
      <alignment horizontal="centerContinuous" vertical="center"/>
      <protection hidden="1"/>
    </xf>
    <xf numFmtId="0" fontId="152" fillId="0" borderId="0" xfId="1" applyFont="1" applyAlignment="1">
      <alignment horizontal="center" vertical="center"/>
    </xf>
    <xf numFmtId="0" fontId="39" fillId="2" borderId="4" xfId="1" applyFont="1" applyFill="1" applyBorder="1" applyAlignment="1" applyProtection="1">
      <alignment vertical="center"/>
      <protection hidden="1"/>
    </xf>
    <xf numFmtId="0" fontId="39" fillId="2" borderId="135" xfId="1" applyFont="1" applyFill="1" applyBorder="1" applyAlignment="1" applyProtection="1">
      <alignment vertical="center"/>
      <protection hidden="1"/>
    </xf>
    <xf numFmtId="0" fontId="21" fillId="22" borderId="86" xfId="1" applyFont="1" applyFill="1" applyBorder="1" applyAlignment="1" applyProtection="1">
      <alignment horizontal="right" vertical="center"/>
      <protection hidden="1"/>
    </xf>
    <xf numFmtId="0" fontId="35" fillId="22" borderId="0" xfId="6" applyFont="1" applyFill="1" applyAlignment="1">
      <alignment vertical="center"/>
    </xf>
    <xf numFmtId="0" fontId="21" fillId="22" borderId="86" xfId="1" applyFont="1" applyFill="1" applyBorder="1" applyAlignment="1" applyProtection="1">
      <alignment vertical="center"/>
      <protection hidden="1"/>
    </xf>
    <xf numFmtId="2" fontId="8" fillId="0" borderId="0" xfId="12" applyNumberFormat="1" applyFont="1" applyAlignment="1">
      <alignment horizontal="center" textRotation="90"/>
    </xf>
    <xf numFmtId="2" fontId="8" fillId="0" borderId="136" xfId="12" applyNumberFormat="1" applyFont="1" applyBorder="1" applyAlignment="1">
      <alignment horizontal="center" textRotation="90"/>
    </xf>
    <xf numFmtId="181" fontId="153" fillId="3" borderId="0" xfId="6" applyNumberFormat="1" applyFont="1" applyFill="1" applyAlignment="1">
      <alignment horizontal="center" vertical="center"/>
    </xf>
    <xf numFmtId="164" fontId="35" fillId="3" borderId="0" xfId="1" applyNumberFormat="1" applyFont="1" applyFill="1" applyAlignment="1" applyProtection="1">
      <alignment horizontal="center" vertical="center"/>
      <protection hidden="1"/>
    </xf>
    <xf numFmtId="165" fontId="35" fillId="3" borderId="0" xfId="1" applyNumberFormat="1" applyFont="1" applyFill="1" applyAlignment="1" applyProtection="1">
      <alignment horizontal="center" vertical="center"/>
      <protection hidden="1"/>
    </xf>
    <xf numFmtId="0" fontId="1" fillId="0" borderId="0" xfId="16"/>
    <xf numFmtId="0" fontId="107" fillId="22" borderId="0" xfId="16" applyFont="1" applyFill="1" applyAlignment="1">
      <alignment horizontal="center" vertical="center"/>
    </xf>
    <xf numFmtId="0" fontId="12" fillId="0" borderId="0" xfId="14" applyFont="1"/>
    <xf numFmtId="0" fontId="12" fillId="4" borderId="0" xfId="14" applyFont="1" applyFill="1"/>
    <xf numFmtId="0" fontId="1" fillId="0" borderId="83" xfId="13" applyFont="1" applyBorder="1" applyAlignment="1">
      <alignment horizontal="left"/>
    </xf>
    <xf numFmtId="1" fontId="64" fillId="7" borderId="0" xfId="5" applyNumberFormat="1" applyFont="1" applyFill="1" applyAlignment="1">
      <alignment horizontal="center" vertical="center"/>
    </xf>
    <xf numFmtId="0" fontId="20" fillId="4" borderId="137" xfId="13" applyFill="1" applyBorder="1"/>
    <xf numFmtId="0" fontId="20" fillId="0" borderId="138" xfId="13" applyBorder="1"/>
    <xf numFmtId="0" fontId="3" fillId="21" borderId="0" xfId="10" applyFont="1" applyFill="1" applyAlignment="1" applyProtection="1">
      <alignment horizontal="center" vertical="center" wrapText="1"/>
      <protection locked="0"/>
    </xf>
    <xf numFmtId="0" fontId="105" fillId="4" borderId="137" xfId="10" applyFont="1" applyFill="1" applyBorder="1" applyAlignment="1" applyProtection="1">
      <alignment vertical="center"/>
      <protection locked="0"/>
    </xf>
    <xf numFmtId="174" fontId="94" fillId="4" borderId="138" xfId="10" applyNumberFormat="1" applyFont="1" applyFill="1" applyBorder="1" applyAlignment="1" applyProtection="1">
      <alignment horizontal="center" vertical="center"/>
      <protection locked="0"/>
    </xf>
    <xf numFmtId="0" fontId="94" fillId="4" borderId="138" xfId="10" applyFont="1" applyFill="1" applyBorder="1" applyAlignment="1" applyProtection="1">
      <alignment horizontal="right" vertical="center"/>
      <protection locked="0"/>
    </xf>
    <xf numFmtId="0" fontId="20" fillId="4" borderId="138" xfId="13" applyFill="1" applyBorder="1"/>
    <xf numFmtId="0" fontId="105" fillId="4" borderId="138" xfId="10" applyFont="1" applyFill="1" applyBorder="1" applyAlignment="1" applyProtection="1">
      <alignment horizontal="right" vertical="center"/>
      <protection locked="0"/>
    </xf>
    <xf numFmtId="0" fontId="94" fillId="4" borderId="138" xfId="10" applyFont="1" applyFill="1" applyBorder="1" applyAlignment="1" applyProtection="1">
      <alignment horizontal="center" vertical="center"/>
      <protection locked="0"/>
    </xf>
    <xf numFmtId="0" fontId="94" fillId="4" borderId="138" xfId="10" applyFont="1" applyFill="1" applyBorder="1" applyAlignment="1" applyProtection="1">
      <alignment vertical="center"/>
      <protection locked="0"/>
    </xf>
    <xf numFmtId="0" fontId="93" fillId="4" borderId="138" xfId="10" applyFont="1" applyFill="1" applyBorder="1" applyAlignment="1" applyProtection="1">
      <alignment vertical="center"/>
      <protection locked="0"/>
    </xf>
    <xf numFmtId="0" fontId="92" fillId="4" borderId="139" xfId="10" applyFont="1" applyFill="1" applyBorder="1" applyAlignment="1" applyProtection="1">
      <alignment horizontal="center" wrapText="1"/>
      <protection locked="0"/>
    </xf>
    <xf numFmtId="166" fontId="9" fillId="40" borderId="83" xfId="1" applyNumberFormat="1" applyFont="1" applyFill="1" applyBorder="1" applyAlignment="1">
      <alignment horizontal="center" vertical="center"/>
    </xf>
    <xf numFmtId="0" fontId="46" fillId="4" borderId="0" xfId="13" applyFont="1" applyFill="1" applyAlignment="1">
      <alignment horizontal="right" vertical="center"/>
    </xf>
    <xf numFmtId="0" fontId="93" fillId="4" borderId="140" xfId="10" applyFont="1" applyFill="1" applyBorder="1" applyAlignment="1" applyProtection="1">
      <alignment vertical="center"/>
      <protection locked="0"/>
    </xf>
    <xf numFmtId="0" fontId="20" fillId="4" borderId="140" xfId="13" applyFill="1" applyBorder="1"/>
    <xf numFmtId="167" fontId="75" fillId="28" borderId="0" xfId="1" applyNumberFormat="1" applyFont="1" applyFill="1" applyAlignment="1">
      <alignment horizontal="center" vertical="center"/>
    </xf>
    <xf numFmtId="0" fontId="9" fillId="4" borderId="0" xfId="10" applyFont="1" applyFill="1" applyAlignment="1" applyProtection="1">
      <alignment horizontal="right" vertical="center"/>
      <protection locked="0"/>
    </xf>
    <xf numFmtId="0" fontId="142" fillId="21" borderId="0" xfId="10" applyFont="1" applyFill="1" applyAlignment="1" applyProtection="1">
      <alignment horizontal="center" vertical="center" wrapText="1"/>
      <protection locked="0"/>
    </xf>
    <xf numFmtId="0" fontId="94" fillId="4" borderId="137" xfId="10" applyFont="1" applyFill="1" applyBorder="1" applyAlignment="1" applyProtection="1">
      <alignment vertical="center"/>
      <protection locked="0"/>
    </xf>
    <xf numFmtId="2" fontId="94" fillId="4" borderId="138" xfId="10" applyNumberFormat="1" applyFont="1" applyFill="1" applyBorder="1" applyAlignment="1" applyProtection="1">
      <alignment horizontal="center" vertical="center"/>
      <protection locked="0"/>
    </xf>
    <xf numFmtId="1" fontId="41" fillId="4" borderId="84" xfId="10" applyNumberFormat="1" applyFont="1" applyFill="1" applyBorder="1" applyAlignment="1" applyProtection="1">
      <alignment horizontal="left" vertical="center"/>
      <protection locked="0"/>
    </xf>
    <xf numFmtId="176" fontId="33" fillId="4" borderId="83" xfId="12" applyNumberFormat="1" applyFont="1" applyFill="1" applyBorder="1" applyAlignment="1">
      <alignment horizontal="center" vertical="center"/>
    </xf>
    <xf numFmtId="175" fontId="33" fillId="4" borderId="83" xfId="10" applyNumberFormat="1" applyFont="1" applyFill="1" applyBorder="1" applyAlignment="1" applyProtection="1">
      <alignment horizontal="right" vertical="center"/>
      <protection locked="0"/>
    </xf>
    <xf numFmtId="1" fontId="41" fillId="4" borderId="83" xfId="10" applyNumberFormat="1" applyFont="1" applyFill="1" applyBorder="1" applyAlignment="1" applyProtection="1">
      <alignment horizontal="left" vertical="center"/>
      <protection locked="0"/>
    </xf>
    <xf numFmtId="165" fontId="34" fillId="4" borderId="83" xfId="10" applyNumberFormat="1" applyFont="1" applyFill="1" applyBorder="1" applyAlignment="1" applyProtection="1">
      <alignment horizontal="center" vertical="center"/>
      <protection locked="0"/>
    </xf>
    <xf numFmtId="0" fontId="33" fillId="4" borderId="83" xfId="10" applyFont="1" applyFill="1" applyBorder="1" applyAlignment="1" applyProtection="1">
      <alignment horizontal="left" vertical="center"/>
      <protection locked="0"/>
    </xf>
    <xf numFmtId="1" fontId="18" fillId="21" borderId="83" xfId="10" applyNumberFormat="1" applyFont="1" applyFill="1" applyBorder="1" applyAlignment="1" applyProtection="1">
      <alignment horizontal="center" vertical="center"/>
      <protection locked="0"/>
    </xf>
    <xf numFmtId="2" fontId="155" fillId="21" borderId="83" xfId="10" applyNumberFormat="1" applyFont="1" applyFill="1" applyBorder="1" applyAlignment="1" applyProtection="1">
      <alignment horizontal="center" vertical="center"/>
      <protection locked="0"/>
    </xf>
    <xf numFmtId="0" fontId="18" fillId="21" borderId="83" xfId="10" applyFont="1" applyFill="1" applyBorder="1" applyAlignment="1" applyProtection="1">
      <alignment horizontal="right" vertical="center"/>
      <protection locked="0"/>
    </xf>
    <xf numFmtId="0" fontId="17" fillId="0" borderId="83" xfId="10" applyFont="1" applyBorder="1"/>
    <xf numFmtId="0" fontId="89" fillId="21" borderId="83" xfId="10" applyFont="1" applyFill="1" applyBorder="1" applyAlignment="1" applyProtection="1">
      <alignment vertical="center"/>
      <protection locked="0"/>
    </xf>
    <xf numFmtId="0" fontId="89" fillId="21" borderId="82" xfId="10" applyFont="1" applyFill="1" applyBorder="1" applyAlignment="1" applyProtection="1">
      <alignment vertical="center"/>
      <protection locked="0"/>
    </xf>
    <xf numFmtId="1" fontId="41" fillId="4" borderId="75" xfId="10" applyNumberFormat="1" applyFont="1" applyFill="1" applyBorder="1" applyAlignment="1" applyProtection="1">
      <alignment horizontal="left" vertical="center"/>
      <protection locked="0"/>
    </xf>
    <xf numFmtId="176" fontId="33" fillId="4" borderId="0" xfId="12" applyNumberFormat="1" applyFont="1" applyFill="1" applyAlignment="1">
      <alignment horizontal="center" vertical="center"/>
    </xf>
    <xf numFmtId="175" fontId="33" fillId="4" borderId="0" xfId="10" applyNumberFormat="1" applyFont="1" applyFill="1" applyAlignment="1" applyProtection="1">
      <alignment horizontal="right" vertical="center"/>
      <protection locked="0"/>
    </xf>
    <xf numFmtId="1" fontId="41" fillId="4" borderId="0" xfId="10" applyNumberFormat="1" applyFont="1" applyFill="1" applyAlignment="1" applyProtection="1">
      <alignment horizontal="left" vertical="center"/>
      <protection locked="0"/>
    </xf>
    <xf numFmtId="0" fontId="17" fillId="4" borderId="0" xfId="10" applyFont="1" applyFill="1"/>
    <xf numFmtId="0" fontId="33" fillId="4" borderId="0" xfId="10" applyFont="1" applyFill="1" applyAlignment="1" applyProtection="1">
      <alignment horizontal="left" vertical="center"/>
      <protection locked="0"/>
    </xf>
    <xf numFmtId="174" fontId="33" fillId="21" borderId="0" xfId="10" applyNumberFormat="1" applyFont="1" applyFill="1" applyAlignment="1" applyProtection="1">
      <alignment horizontal="center" vertical="center"/>
      <protection locked="0"/>
    </xf>
    <xf numFmtId="167" fontId="111" fillId="28" borderId="0" xfId="1" applyNumberFormat="1" applyFont="1" applyFill="1" applyAlignment="1">
      <alignment horizontal="center" vertical="center"/>
    </xf>
    <xf numFmtId="0" fontId="111" fillId="21" borderId="0" xfId="10" applyFont="1" applyFill="1" applyAlignment="1" applyProtection="1">
      <alignment horizontal="right" vertical="center"/>
      <protection locked="0"/>
    </xf>
    <xf numFmtId="0" fontId="89" fillId="21" borderId="0" xfId="10" applyFont="1" applyFill="1" applyAlignment="1" applyProtection="1">
      <alignment vertical="center" wrapText="1"/>
      <protection locked="0"/>
    </xf>
    <xf numFmtId="0" fontId="89" fillId="21" borderId="74" xfId="10" applyFont="1" applyFill="1" applyBorder="1" applyAlignment="1" applyProtection="1">
      <alignment vertical="center"/>
      <protection locked="0"/>
    </xf>
    <xf numFmtId="0" fontId="156" fillId="4" borderId="75" xfId="10" applyFont="1" applyFill="1" applyBorder="1" applyAlignment="1">
      <alignment horizontal="centerContinuous" vertical="center"/>
    </xf>
    <xf numFmtId="0" fontId="156" fillId="4" borderId="0" xfId="10" applyFont="1" applyFill="1" applyAlignment="1">
      <alignment horizontal="centerContinuous" vertical="center"/>
    </xf>
    <xf numFmtId="0" fontId="89" fillId="21" borderId="0" xfId="10" applyFont="1" applyFill="1" applyAlignment="1" applyProtection="1">
      <alignment horizontal="right" vertical="center"/>
      <protection locked="0"/>
    </xf>
    <xf numFmtId="0" fontId="17" fillId="0" borderId="0" xfId="10" applyFont="1"/>
    <xf numFmtId="171" fontId="9" fillId="4" borderId="0" xfId="11" applyNumberFormat="1" applyFont="1" applyFill="1" applyAlignment="1" applyProtection="1">
      <alignment horizontal="left" vertical="center"/>
      <protection locked="0"/>
    </xf>
    <xf numFmtId="1" fontId="111" fillId="7" borderId="0" xfId="5" applyNumberFormat="1" applyFont="1" applyFill="1" applyAlignment="1">
      <alignment horizontal="center" vertical="center"/>
    </xf>
    <xf numFmtId="0" fontId="64" fillId="4" borderId="0" xfId="10" applyFont="1" applyFill="1" applyAlignment="1" applyProtection="1">
      <alignment horizontal="right" vertical="center"/>
      <protection locked="0"/>
    </xf>
    <xf numFmtId="0" fontId="156" fillId="4" borderId="0" xfId="10" applyFont="1" applyFill="1" applyAlignment="1">
      <alignment horizontal="left" vertical="center"/>
    </xf>
    <xf numFmtId="0" fontId="37" fillId="4" borderId="0" xfId="10" applyFont="1" applyFill="1" applyAlignment="1">
      <alignment horizontal="left" vertical="center"/>
    </xf>
    <xf numFmtId="0" fontId="157" fillId="4" borderId="74" xfId="10" applyFont="1" applyFill="1" applyBorder="1" applyAlignment="1">
      <alignment horizontal="left" vertical="center"/>
    </xf>
    <xf numFmtId="187" fontId="33" fillId="21" borderId="75" xfId="10" applyNumberFormat="1" applyFont="1" applyFill="1" applyBorder="1" applyAlignment="1" applyProtection="1">
      <alignment horizontal="center" vertical="center"/>
      <protection locked="0"/>
    </xf>
    <xf numFmtId="0" fontId="18" fillId="21" borderId="0" xfId="10" applyFont="1" applyFill="1" applyAlignment="1" applyProtection="1">
      <alignment horizontal="right" vertical="center"/>
      <protection locked="0"/>
    </xf>
    <xf numFmtId="0" fontId="12" fillId="0" borderId="0" xfId="16" applyFont="1"/>
    <xf numFmtId="0" fontId="158" fillId="33" borderId="0" xfId="10" applyFont="1" applyFill="1" applyAlignment="1" applyProtection="1">
      <alignment horizontal="center" vertical="center"/>
      <protection locked="0"/>
    </xf>
    <xf numFmtId="167" fontId="104" fillId="28" borderId="0" xfId="1" applyNumberFormat="1" applyFont="1" applyFill="1" applyAlignment="1">
      <alignment horizontal="center" vertical="center"/>
    </xf>
    <xf numFmtId="174" fontId="104" fillId="4" borderId="0" xfId="10" applyNumberFormat="1" applyFont="1" applyFill="1" applyAlignment="1" applyProtection="1">
      <alignment horizontal="right" vertical="center"/>
      <protection locked="0"/>
    </xf>
    <xf numFmtId="0" fontId="21" fillId="4" borderId="65" xfId="10" applyFont="1" applyFill="1" applyBorder="1" applyAlignment="1">
      <alignment horizontal="right" vertical="center"/>
    </xf>
    <xf numFmtId="0" fontId="159" fillId="4" borderId="64" xfId="10" applyFont="1" applyFill="1" applyBorder="1" applyAlignment="1">
      <alignment vertical="center"/>
    </xf>
    <xf numFmtId="0" fontId="9" fillId="4" borderId="64" xfId="10" applyFont="1" applyFill="1" applyBorder="1" applyAlignment="1">
      <alignment vertical="center"/>
    </xf>
    <xf numFmtId="0" fontId="1" fillId="4" borderId="0" xfId="16" applyFill="1"/>
    <xf numFmtId="0" fontId="35" fillId="12" borderId="62" xfId="14" applyFont="1" applyFill="1" applyBorder="1" applyAlignment="1">
      <alignment horizontal="center" vertical="center"/>
    </xf>
    <xf numFmtId="0" fontId="35" fillId="12" borderId="61" xfId="14" applyFont="1" applyFill="1" applyBorder="1" applyAlignment="1">
      <alignment horizontal="center" vertical="center"/>
    </xf>
    <xf numFmtId="0" fontId="108" fillId="12" borderId="61" xfId="14" applyFont="1" applyFill="1" applyBorder="1" applyAlignment="1">
      <alignment horizontal="center" vertical="center"/>
    </xf>
    <xf numFmtId="0" fontId="35" fillId="12" borderId="60" xfId="14" applyFont="1" applyFill="1" applyBorder="1" applyAlignment="1">
      <alignment horizontal="center" vertical="center"/>
    </xf>
    <xf numFmtId="0" fontId="12" fillId="12" borderId="62" xfId="14" applyFont="1" applyFill="1" applyBorder="1" applyAlignment="1">
      <alignment horizontal="center" vertical="center"/>
    </xf>
    <xf numFmtId="0" fontId="12" fillId="12" borderId="61" xfId="14" applyFont="1" applyFill="1" applyBorder="1" applyAlignment="1">
      <alignment horizontal="center" vertical="center"/>
    </xf>
    <xf numFmtId="0" fontId="12" fillId="12" borderId="60" xfId="14" applyFont="1" applyFill="1" applyBorder="1" applyAlignment="1">
      <alignment horizontal="center" vertical="center"/>
    </xf>
    <xf numFmtId="0" fontId="1" fillId="13" borderId="15" xfId="16" applyFill="1" applyBorder="1"/>
    <xf numFmtId="0" fontId="1" fillId="13" borderId="0" xfId="16" applyFill="1"/>
    <xf numFmtId="0" fontId="1" fillId="13" borderId="13" xfId="16" applyFill="1" applyBorder="1"/>
    <xf numFmtId="0" fontId="79" fillId="13" borderId="15" xfId="14" applyFont="1" applyFill="1" applyBorder="1" applyAlignment="1">
      <alignment horizontal="center" vertical="top"/>
    </xf>
    <xf numFmtId="0" fontId="12" fillId="4" borderId="11" xfId="14" applyFont="1" applyFill="1" applyBorder="1"/>
    <xf numFmtId="0" fontId="12" fillId="4" borderId="20" xfId="14" applyFont="1" applyFill="1" applyBorder="1"/>
    <xf numFmtId="0" fontId="12" fillId="13" borderId="15" xfId="14" applyFont="1" applyFill="1" applyBorder="1"/>
    <xf numFmtId="0" fontId="45" fillId="13" borderId="15" xfId="14" applyFont="1" applyFill="1" applyBorder="1" applyAlignment="1">
      <alignment horizontal="center" vertical="center"/>
    </xf>
    <xf numFmtId="0" fontId="35" fillId="49" borderId="86" xfId="14" applyFont="1" applyFill="1" applyBorder="1" applyAlignment="1">
      <alignment horizontal="center" vertical="center"/>
    </xf>
    <xf numFmtId="0" fontId="35" fillId="49" borderId="85" xfId="14" applyFont="1" applyFill="1" applyBorder="1" applyAlignment="1">
      <alignment horizontal="center" vertical="center"/>
    </xf>
    <xf numFmtId="0" fontId="12" fillId="4" borderId="16" xfId="14" applyFont="1" applyFill="1" applyBorder="1"/>
    <xf numFmtId="165" fontId="9" fillId="4" borderId="141" xfId="1" applyNumberFormat="1" applyFont="1" applyFill="1" applyBorder="1" applyAlignment="1" applyProtection="1">
      <alignment vertical="center" wrapText="1"/>
      <protection hidden="1"/>
    </xf>
    <xf numFmtId="165" fontId="9" fillId="4" borderId="140" xfId="1" applyNumberFormat="1" applyFont="1" applyFill="1" applyBorder="1" applyAlignment="1" applyProtection="1">
      <alignment vertical="center" wrapText="1"/>
      <protection hidden="1"/>
    </xf>
    <xf numFmtId="0" fontId="12" fillId="4" borderId="140" xfId="14" applyFont="1" applyFill="1" applyBorder="1"/>
    <xf numFmtId="0" fontId="12" fillId="4" borderId="17" xfId="14" applyFont="1" applyFill="1" applyBorder="1"/>
    <xf numFmtId="165" fontId="17" fillId="4" borderId="140" xfId="1" applyNumberFormat="1" applyFont="1" applyFill="1" applyBorder="1" applyAlignment="1" applyProtection="1">
      <alignment horizontal="right" vertical="center"/>
      <protection hidden="1"/>
    </xf>
    <xf numFmtId="0" fontId="117" fillId="13" borderId="15" xfId="14" applyFont="1" applyFill="1" applyBorder="1" applyAlignment="1">
      <alignment horizontal="center" vertical="center"/>
    </xf>
    <xf numFmtId="164" fontId="48" fillId="29" borderId="31" xfId="1" applyNumberFormat="1" applyFont="1" applyFill="1" applyBorder="1" applyAlignment="1">
      <alignment horizontal="center" vertical="center"/>
    </xf>
    <xf numFmtId="169" fontId="48" fillId="38" borderId="31" xfId="1" applyNumberFormat="1" applyFont="1" applyFill="1" applyBorder="1" applyAlignment="1">
      <alignment horizontal="center" vertical="center"/>
    </xf>
    <xf numFmtId="169" fontId="48" fillId="32" borderId="31" xfId="1" applyNumberFormat="1" applyFont="1" applyFill="1" applyBorder="1" applyAlignment="1">
      <alignment horizontal="center" vertical="center"/>
    </xf>
    <xf numFmtId="0" fontId="78" fillId="13" borderId="15" xfId="14" applyFont="1" applyFill="1" applyBorder="1" applyAlignment="1">
      <alignment horizontal="center" vertical="center"/>
    </xf>
    <xf numFmtId="0" fontId="76" fillId="13" borderId="15" xfId="14" applyFont="1" applyFill="1" applyBorder="1" applyAlignment="1">
      <alignment horizontal="center" vertical="center"/>
    </xf>
    <xf numFmtId="0" fontId="76" fillId="13" borderId="0" xfId="14" applyFont="1" applyFill="1" applyAlignment="1">
      <alignment horizontal="center" vertical="center"/>
    </xf>
    <xf numFmtId="0" fontId="12" fillId="22" borderId="141" xfId="1" applyFont="1" applyFill="1" applyBorder="1" applyAlignment="1" applyProtection="1">
      <alignment horizontal="center" vertical="center" wrapText="1"/>
      <protection hidden="1"/>
    </xf>
    <xf numFmtId="0" fontId="12" fillId="22" borderId="140" xfId="1" applyFont="1" applyFill="1" applyBorder="1" applyAlignment="1" applyProtection="1">
      <alignment horizontal="center" vertical="center" wrapText="1"/>
      <protection hidden="1"/>
    </xf>
    <xf numFmtId="0" fontId="1" fillId="4" borderId="0" xfId="16" applyFill="1" applyAlignment="1">
      <alignment vertical="center"/>
    </xf>
    <xf numFmtId="0" fontId="77" fillId="13" borderId="140" xfId="12" applyFont="1" applyFill="1" applyBorder="1"/>
    <xf numFmtId="0" fontId="76" fillId="4" borderId="0" xfId="14" applyFont="1" applyFill="1" applyAlignment="1">
      <alignment horizontal="center" vertical="center"/>
    </xf>
    <xf numFmtId="0" fontId="33" fillId="4" borderId="0" xfId="14" applyFont="1" applyFill="1" applyAlignment="1">
      <alignment horizontal="right" vertical="center"/>
    </xf>
    <xf numFmtId="0" fontId="12" fillId="13" borderId="34" xfId="14" applyFont="1" applyFill="1" applyBorder="1"/>
    <xf numFmtId="0" fontId="12" fillId="13" borderId="21" xfId="14" applyFont="1" applyFill="1" applyBorder="1"/>
    <xf numFmtId="0" fontId="12" fillId="13" borderId="33" xfId="14" applyFont="1" applyFill="1" applyBorder="1"/>
    <xf numFmtId="0" fontId="9" fillId="4" borderId="0" xfId="14" applyFont="1" applyFill="1" applyAlignment="1">
      <alignment horizontal="center" vertical="center"/>
    </xf>
    <xf numFmtId="0" fontId="76" fillId="13" borderId="0" xfId="14" applyFont="1" applyFill="1" applyAlignment="1">
      <alignment horizontal="right" vertical="center"/>
    </xf>
    <xf numFmtId="0" fontId="76" fillId="13" borderId="13" xfId="14" applyFont="1" applyFill="1" applyBorder="1" applyAlignment="1">
      <alignment vertical="center"/>
    </xf>
    <xf numFmtId="0" fontId="12" fillId="13" borderId="0" xfId="14" applyFont="1" applyFill="1"/>
    <xf numFmtId="0" fontId="12" fillId="13" borderId="13" xfId="14" applyFont="1" applyFill="1" applyBorder="1"/>
    <xf numFmtId="0" fontId="79" fillId="4" borderId="0" xfId="14" applyFont="1" applyFill="1" applyAlignment="1">
      <alignment horizontal="center" vertical="center"/>
    </xf>
    <xf numFmtId="0" fontId="48" fillId="13" borderId="15" xfId="14" applyFont="1" applyFill="1" applyBorder="1" applyAlignment="1">
      <alignment vertical="center"/>
    </xf>
    <xf numFmtId="0" fontId="12" fillId="13" borderId="0" xfId="14" applyFont="1" applyFill="1" applyAlignment="1">
      <alignment horizontal="center" vertical="center"/>
    </xf>
    <xf numFmtId="0" fontId="48" fillId="13" borderId="13" xfId="14" applyFont="1" applyFill="1" applyBorder="1" applyAlignment="1">
      <alignment vertical="center"/>
    </xf>
    <xf numFmtId="0" fontId="12" fillId="4" borderId="0" xfId="14" applyFont="1" applyFill="1" applyAlignment="1">
      <alignment vertical="center"/>
    </xf>
    <xf numFmtId="174" fontId="33" fillId="66" borderId="35" xfId="1" applyNumberFormat="1" applyFont="1" applyFill="1" applyBorder="1" applyAlignment="1">
      <alignment horizontal="center" vertical="center"/>
    </xf>
    <xf numFmtId="0" fontId="17" fillId="4" borderId="21" xfId="14" applyFont="1" applyFill="1" applyBorder="1" applyAlignment="1">
      <alignment vertical="center"/>
    </xf>
    <xf numFmtId="0" fontId="35" fillId="59" borderId="21" xfId="1" applyFont="1" applyFill="1" applyBorder="1" applyAlignment="1" applyProtection="1">
      <alignment horizontal="center" vertical="center"/>
      <protection hidden="1"/>
    </xf>
    <xf numFmtId="0" fontId="47" fillId="13" borderId="0" xfId="14" applyFont="1" applyFill="1" applyAlignment="1">
      <alignment horizontal="right" vertical="center"/>
    </xf>
    <xf numFmtId="0" fontId="47" fillId="13" borderId="13" xfId="14" applyFont="1" applyFill="1" applyBorder="1" applyAlignment="1">
      <alignment vertical="center"/>
    </xf>
    <xf numFmtId="164" fontId="9" fillId="4" borderId="10" xfId="1" applyNumberFormat="1" applyFont="1" applyFill="1" applyBorder="1" applyAlignment="1">
      <alignment horizontal="left" vertical="top"/>
    </xf>
    <xf numFmtId="0" fontId="56" fillId="4" borderId="13" xfId="16" applyFont="1" applyFill="1" applyBorder="1" applyAlignment="1">
      <alignment horizontal="center"/>
    </xf>
    <xf numFmtId="174" fontId="79" fillId="4" borderId="0" xfId="16" applyNumberFormat="1" applyFont="1" applyFill="1" applyAlignment="1">
      <alignment vertical="center"/>
    </xf>
    <xf numFmtId="0" fontId="33" fillId="4" borderId="0" xfId="14" applyFont="1" applyFill="1" applyAlignment="1">
      <alignment horizontal="left" vertical="center"/>
    </xf>
    <xf numFmtId="1" fontId="33" fillId="4" borderId="0" xfId="14" applyNumberFormat="1" applyFont="1" applyFill="1" applyAlignment="1">
      <alignment horizontal="left" vertical="center"/>
    </xf>
    <xf numFmtId="1" fontId="18" fillId="4" borderId="0" xfId="14" applyNumberFormat="1" applyFont="1" applyFill="1" applyAlignment="1">
      <alignment horizontal="center" vertical="center"/>
    </xf>
    <xf numFmtId="167" fontId="34" fillId="61" borderId="0" xfId="1" applyNumberFormat="1" applyFont="1" applyFill="1" applyAlignment="1">
      <alignment horizontal="center" vertical="center"/>
    </xf>
    <xf numFmtId="0" fontId="140" fillId="7" borderId="0" xfId="16" applyFont="1" applyFill="1" applyAlignment="1">
      <alignment horizontal="center" vertical="center"/>
    </xf>
    <xf numFmtId="0" fontId="45" fillId="13" borderId="0" xfId="14" applyFont="1" applyFill="1" applyAlignment="1">
      <alignment horizontal="right" vertical="center"/>
    </xf>
    <xf numFmtId="0" fontId="45" fillId="13" borderId="13" xfId="14" applyFont="1" applyFill="1" applyBorder="1" applyAlignment="1">
      <alignment horizontal="left" vertical="center"/>
    </xf>
    <xf numFmtId="0" fontId="11" fillId="4" borderId="141" xfId="1" applyFont="1" applyFill="1" applyBorder="1" applyAlignment="1">
      <alignment horizontal="center"/>
    </xf>
    <xf numFmtId="0" fontId="12" fillId="4" borderId="140" xfId="1" applyFont="1" applyFill="1" applyBorder="1" applyAlignment="1" applyProtection="1">
      <alignment horizontal="center" wrapText="1"/>
      <protection hidden="1"/>
    </xf>
    <xf numFmtId="165" fontId="129" fillId="4" borderId="140" xfId="1" applyNumberFormat="1" applyFont="1" applyFill="1" applyBorder="1" applyAlignment="1">
      <alignment horizontal="center" wrapText="1"/>
    </xf>
    <xf numFmtId="0" fontId="11" fillId="4" borderId="140" xfId="1" applyFont="1" applyFill="1" applyBorder="1" applyAlignment="1">
      <alignment horizontal="center"/>
    </xf>
    <xf numFmtId="0" fontId="141" fillId="4" borderId="140" xfId="1" applyFont="1" applyFill="1" applyBorder="1" applyAlignment="1">
      <alignment horizontal="center" wrapText="1"/>
    </xf>
    <xf numFmtId="0" fontId="12" fillId="4" borderId="48" xfId="14" applyFont="1" applyFill="1" applyBorder="1" applyAlignment="1">
      <alignment horizontal="center" vertical="center" wrapText="1"/>
    </xf>
    <xf numFmtId="0" fontId="33" fillId="15" borderId="0" xfId="16" applyFont="1" applyFill="1" applyAlignment="1">
      <alignment horizontal="center" vertical="center"/>
    </xf>
    <xf numFmtId="0" fontId="2" fillId="2" borderId="20" xfId="14" applyFont="1" applyFill="1" applyBorder="1" applyAlignment="1">
      <alignment horizontal="right" vertical="center"/>
    </xf>
    <xf numFmtId="0" fontId="54" fillId="4" borderId="0" xfId="16" applyFont="1" applyFill="1" applyAlignment="1">
      <alignment horizontal="right"/>
    </xf>
    <xf numFmtId="1" fontId="50" fillId="17" borderId="16" xfId="16" applyNumberFormat="1" applyFont="1" applyFill="1" applyBorder="1" applyAlignment="1">
      <alignment horizontal="center" vertical="center"/>
    </xf>
    <xf numFmtId="0" fontId="29" fillId="4" borderId="13" xfId="14" applyFont="1" applyFill="1" applyBorder="1" applyAlignment="1">
      <alignment horizontal="center" vertical="center"/>
    </xf>
    <xf numFmtId="0" fontId="133" fillId="4" borderId="0" xfId="16" applyFont="1" applyFill="1"/>
    <xf numFmtId="0" fontId="45" fillId="4" borderId="13" xfId="1" applyFont="1" applyFill="1" applyBorder="1" applyAlignment="1" applyProtection="1">
      <alignment horizontal="left" vertical="center"/>
      <protection hidden="1"/>
    </xf>
    <xf numFmtId="0" fontId="142" fillId="4" borderId="140" xfId="6" applyFont="1" applyFill="1" applyBorder="1" applyAlignment="1">
      <alignment vertical="center"/>
    </xf>
    <xf numFmtId="1" fontId="21" fillId="11" borderId="142" xfId="1" applyNumberFormat="1" applyFont="1" applyFill="1" applyBorder="1" applyAlignment="1" applyProtection="1">
      <alignment horizontal="center" vertical="center"/>
      <protection locked="0"/>
    </xf>
    <xf numFmtId="0" fontId="13" fillId="64" borderId="143" xfId="1" applyFont="1" applyFill="1" applyBorder="1" applyAlignment="1">
      <alignment horizontal="center" vertical="center" wrapText="1"/>
    </xf>
    <xf numFmtId="0" fontId="35" fillId="4" borderId="140" xfId="6" applyFont="1" applyFill="1" applyBorder="1" applyAlignment="1">
      <alignment vertical="center"/>
    </xf>
    <xf numFmtId="0" fontId="39" fillId="4" borderId="140" xfId="1" applyFont="1" applyFill="1" applyBorder="1" applyAlignment="1" applyProtection="1">
      <alignment vertical="center"/>
      <protection hidden="1"/>
    </xf>
    <xf numFmtId="186" fontId="148" fillId="7" borderId="140" xfId="6" applyNumberFormat="1" applyFont="1" applyFill="1" applyBorder="1" applyAlignment="1">
      <alignment vertical="center"/>
    </xf>
    <xf numFmtId="186" fontId="36" fillId="15" borderId="144" xfId="6" applyNumberFormat="1" applyFont="1" applyFill="1" applyBorder="1" applyAlignment="1">
      <alignment vertical="center"/>
    </xf>
    <xf numFmtId="0" fontId="151" fillId="65" borderId="0" xfId="14" applyFont="1" applyFill="1" applyAlignment="1">
      <alignment horizontal="center" vertical="center" textRotation="90"/>
    </xf>
    <xf numFmtId="1" fontId="21" fillId="11" borderId="0" xfId="1" applyNumberFormat="1" applyFont="1" applyFill="1" applyAlignment="1" applyProtection="1">
      <alignment horizontal="right" vertical="center"/>
      <protection locked="0"/>
    </xf>
    <xf numFmtId="0" fontId="6" fillId="0" borderId="0" xfId="1" applyAlignment="1">
      <alignment vertical="center"/>
    </xf>
    <xf numFmtId="0" fontId="6" fillId="0" borderId="0" xfId="1" applyProtection="1">
      <protection hidden="1"/>
    </xf>
    <xf numFmtId="0" fontId="6" fillId="0" borderId="0" xfId="1"/>
    <xf numFmtId="0" fontId="6" fillId="67" borderId="0" xfId="1" applyFill="1" applyAlignment="1">
      <alignment vertical="center"/>
    </xf>
    <xf numFmtId="0" fontId="1" fillId="67" borderId="0" xfId="2" applyFill="1"/>
    <xf numFmtId="0" fontId="6" fillId="67" borderId="0" xfId="1" applyFill="1" applyProtection="1">
      <protection hidden="1"/>
    </xf>
    <xf numFmtId="0" fontId="161" fillId="67" borderId="0" xfId="1" applyFont="1" applyFill="1" applyAlignment="1">
      <alignment vertical="center"/>
    </xf>
    <xf numFmtId="0" fontId="163" fillId="68" borderId="0" xfId="1" applyFont="1" applyFill="1" applyAlignment="1" applyProtection="1">
      <alignment horizontal="center" vertical="center"/>
      <protection hidden="1"/>
    </xf>
    <xf numFmtId="0" fontId="164" fillId="67" borderId="0" xfId="1" applyFont="1" applyFill="1" applyAlignment="1">
      <alignment vertical="center"/>
    </xf>
    <xf numFmtId="0" fontId="165" fillId="67" borderId="0" xfId="2" applyFont="1" applyFill="1"/>
    <xf numFmtId="0" fontId="166" fillId="67" borderId="0" xfId="20" applyFont="1" applyFill="1" applyAlignment="1">
      <alignment vertical="center"/>
    </xf>
    <xf numFmtId="0" fontId="166" fillId="67" borderId="0" xfId="1" applyFont="1" applyFill="1" applyAlignment="1">
      <alignment vertical="center"/>
    </xf>
    <xf numFmtId="0" fontId="167" fillId="67" borderId="0" xfId="2" applyFont="1" applyFill="1"/>
    <xf numFmtId="0" fontId="166" fillId="67" borderId="0" xfId="21" applyFont="1" applyFill="1" applyAlignment="1">
      <alignment horizontal="center" vertical="center"/>
    </xf>
    <xf numFmtId="0" fontId="169" fillId="67" borderId="0" xfId="21" applyFont="1" applyFill="1" applyAlignment="1">
      <alignment vertical="center"/>
    </xf>
    <xf numFmtId="0" fontId="164" fillId="67" borderId="0" xfId="1" applyFont="1" applyFill="1" applyProtection="1">
      <protection hidden="1"/>
    </xf>
    <xf numFmtId="0" fontId="170" fillId="67" borderId="0" xfId="1" applyFont="1" applyFill="1" applyAlignment="1">
      <alignment vertical="center"/>
    </xf>
    <xf numFmtId="0" fontId="171" fillId="67" borderId="0" xfId="1" applyFont="1" applyFill="1" applyAlignment="1">
      <alignment vertical="center"/>
    </xf>
    <xf numFmtId="0" fontId="172" fillId="67" borderId="0" xfId="1" applyFont="1" applyFill="1" applyAlignment="1">
      <alignment vertical="center"/>
    </xf>
    <xf numFmtId="0" fontId="173" fillId="67" borderId="0" xfId="1" applyFont="1" applyFill="1" applyAlignment="1">
      <alignment vertical="center"/>
    </xf>
    <xf numFmtId="0" fontId="174" fillId="67" borderId="0" xfId="1" applyFont="1" applyFill="1" applyProtection="1">
      <protection hidden="1"/>
    </xf>
    <xf numFmtId="0" fontId="174" fillId="67" borderId="0" xfId="1" applyFont="1" applyFill="1" applyAlignment="1">
      <alignment vertical="center"/>
    </xf>
    <xf numFmtId="0" fontId="175" fillId="67" borderId="0" xfId="1" applyFont="1" applyFill="1" applyAlignment="1">
      <alignment vertical="center"/>
    </xf>
    <xf numFmtId="0" fontId="176" fillId="67" borderId="0" xfId="2" applyFont="1" applyFill="1"/>
    <xf numFmtId="0" fontId="177" fillId="67" borderId="0" xfId="21" applyFont="1" applyFill="1" applyAlignment="1">
      <alignment horizontal="center" vertical="top"/>
    </xf>
    <xf numFmtId="0" fontId="177" fillId="67" borderId="0" xfId="20" applyFont="1" applyFill="1" applyAlignment="1">
      <alignment vertical="center"/>
    </xf>
    <xf numFmtId="0" fontId="178" fillId="67" borderId="0" xfId="19" applyFont="1" applyFill="1" applyAlignment="1" applyProtection="1">
      <alignment vertical="center"/>
    </xf>
    <xf numFmtId="0" fontId="179" fillId="67" borderId="0" xfId="1" applyFont="1" applyFill="1" applyAlignment="1">
      <alignment vertical="center"/>
    </xf>
    <xf numFmtId="0" fontId="180" fillId="67" borderId="0" xfId="1" applyFont="1" applyFill="1" applyAlignment="1">
      <alignment vertical="center"/>
    </xf>
    <xf numFmtId="0" fontId="181" fillId="4" borderId="0" xfId="17" applyFont="1" applyFill="1" applyAlignment="1" applyProtection="1">
      <alignment vertical="center"/>
      <protection hidden="1"/>
    </xf>
    <xf numFmtId="0" fontId="182" fillId="68" borderId="0" xfId="1" applyFont="1" applyFill="1" applyAlignment="1" applyProtection="1">
      <alignment horizontal="center" vertical="center"/>
      <protection hidden="1"/>
    </xf>
    <xf numFmtId="0" fontId="183" fillId="67" borderId="0" xfId="19" applyFont="1" applyFill="1" applyAlignment="1" applyProtection="1">
      <alignment vertical="center"/>
    </xf>
    <xf numFmtId="0" fontId="184" fillId="67" borderId="0" xfId="21" applyFont="1" applyFill="1" applyAlignment="1">
      <alignment horizontal="center" vertical="top"/>
    </xf>
    <xf numFmtId="0" fontId="184" fillId="67" borderId="0" xfId="20" applyFont="1" applyFill="1" applyAlignment="1">
      <alignment vertical="center"/>
    </xf>
    <xf numFmtId="0" fontId="171" fillId="4" borderId="0" xfId="1" applyFont="1" applyFill="1"/>
    <xf numFmtId="0" fontId="171" fillId="4" borderId="0" xfId="1" applyFont="1" applyFill="1" applyAlignment="1">
      <alignment vertical="center"/>
    </xf>
    <xf numFmtId="0" fontId="171" fillId="4" borderId="0" xfId="15" applyFont="1" applyFill="1" applyAlignment="1">
      <alignment horizontal="right" vertical="center"/>
    </xf>
    <xf numFmtId="0" fontId="185" fillId="4" borderId="0" xfId="15" applyFont="1" applyFill="1" applyAlignment="1">
      <alignment horizontal="right" vertical="center"/>
    </xf>
    <xf numFmtId="0" fontId="186" fillId="4" borderId="0" xfId="1" applyFont="1" applyFill="1"/>
    <xf numFmtId="0" fontId="6" fillId="4" borderId="0" xfId="1" applyFill="1"/>
    <xf numFmtId="0" fontId="187" fillId="67" borderId="0" xfId="1" applyFont="1" applyFill="1" applyAlignment="1">
      <alignment horizontal="center" vertical="center"/>
    </xf>
    <xf numFmtId="0" fontId="38" fillId="67" borderId="0" xfId="3" applyFont="1" applyFill="1" applyAlignment="1">
      <alignment horizontal="left" vertical="top"/>
    </xf>
    <xf numFmtId="0" fontId="184" fillId="67" borderId="0" xfId="1" applyFont="1" applyFill="1" applyAlignment="1">
      <alignment vertical="center"/>
    </xf>
    <xf numFmtId="0" fontId="184" fillId="67" borderId="0" xfId="1" applyFont="1" applyFill="1" applyAlignment="1">
      <alignment horizontal="right" vertical="center"/>
    </xf>
    <xf numFmtId="0" fontId="188" fillId="67" borderId="0" xfId="1" applyFont="1" applyFill="1" applyAlignment="1">
      <alignment horizontal="center" vertical="center"/>
    </xf>
    <xf numFmtId="0" fontId="189" fillId="67" borderId="0" xfId="3" applyFont="1" applyFill="1" applyAlignment="1">
      <alignment horizontal="left" vertical="top"/>
    </xf>
    <xf numFmtId="0" fontId="190" fillId="67" borderId="0" xfId="1" applyFont="1" applyFill="1" applyAlignment="1">
      <alignment vertical="center"/>
    </xf>
    <xf numFmtId="0" fontId="191" fillId="12" borderId="15" xfId="1" applyFont="1" applyFill="1" applyBorder="1" applyAlignment="1">
      <alignment horizontal="center" vertical="center"/>
    </xf>
    <xf numFmtId="0" fontId="192" fillId="69" borderId="0" xfId="1" applyFont="1" applyFill="1" applyAlignment="1">
      <alignment horizontal="center" vertical="center"/>
    </xf>
    <xf numFmtId="0" fontId="193" fillId="67" borderId="0" xfId="2" applyFont="1" applyFill="1"/>
    <xf numFmtId="0" fontId="194" fillId="4" borderId="0" xfId="1" applyFont="1" applyFill="1" applyAlignment="1">
      <alignment horizontal="center" vertical="center"/>
    </xf>
    <xf numFmtId="0" fontId="190" fillId="67" borderId="0" xfId="1" applyFont="1" applyFill="1" applyProtection="1">
      <protection hidden="1"/>
    </xf>
    <xf numFmtId="0" fontId="195" fillId="67" borderId="13" xfId="1" applyFont="1" applyFill="1" applyBorder="1" applyAlignment="1">
      <alignment vertical="center"/>
    </xf>
    <xf numFmtId="0" fontId="195" fillId="67" borderId="0" xfId="1" applyFont="1" applyFill="1" applyAlignment="1">
      <alignment vertical="center"/>
    </xf>
    <xf numFmtId="0" fontId="196" fillId="67" borderId="0" xfId="1" applyFont="1" applyFill="1" applyAlignment="1">
      <alignment vertical="center"/>
    </xf>
    <xf numFmtId="0" fontId="191" fillId="12" borderId="0" xfId="1" applyFont="1" applyFill="1" applyAlignment="1">
      <alignment horizontal="center" vertical="center"/>
    </xf>
    <xf numFmtId="0" fontId="190" fillId="0" borderId="0" xfId="1" applyFont="1" applyProtection="1">
      <protection hidden="1"/>
    </xf>
    <xf numFmtId="0" fontId="197" fillId="4" borderId="0" xfId="1" applyFont="1" applyFill="1" applyAlignment="1">
      <alignment horizontal="left" vertical="center"/>
    </xf>
    <xf numFmtId="0" fontId="190" fillId="4" borderId="0" xfId="1" applyFont="1" applyFill="1" applyProtection="1">
      <protection hidden="1"/>
    </xf>
    <xf numFmtId="188" fontId="198" fillId="4" borderId="0" xfId="1" applyNumberFormat="1" applyFont="1" applyFill="1" applyAlignment="1">
      <alignment vertical="center"/>
    </xf>
    <xf numFmtId="0" fontId="190" fillId="4" borderId="0" xfId="1" applyFont="1" applyFill="1" applyAlignment="1">
      <alignment vertical="center"/>
    </xf>
    <xf numFmtId="0" fontId="197" fillId="4" borderId="13" xfId="1" applyFont="1" applyFill="1" applyBorder="1" applyAlignment="1">
      <alignment vertical="center"/>
    </xf>
    <xf numFmtId="0" fontId="199" fillId="4" borderId="0" xfId="1" applyFont="1" applyFill="1" applyAlignment="1">
      <alignment vertical="center"/>
    </xf>
    <xf numFmtId="0" fontId="200" fillId="67" borderId="0" xfId="21" applyFont="1" applyFill="1" applyAlignment="1">
      <alignment vertical="center"/>
    </xf>
    <xf numFmtId="0" fontId="107" fillId="67" borderId="0" xfId="1" applyFont="1" applyFill="1" applyProtection="1">
      <protection hidden="1"/>
    </xf>
    <xf numFmtId="0" fontId="20" fillId="67" borderId="0" xfId="2" applyFont="1" applyFill="1"/>
    <xf numFmtId="0" fontId="201" fillId="67" borderId="0" xfId="2" applyFont="1" applyFill="1" applyAlignment="1">
      <alignment vertical="center"/>
    </xf>
    <xf numFmtId="0" fontId="202" fillId="67" borderId="0" xfId="3" applyFont="1" applyFill="1" applyAlignment="1">
      <alignment horizontal="left" vertical="center"/>
    </xf>
    <xf numFmtId="0" fontId="202" fillId="67" borderId="0" xfId="1" applyFont="1" applyFill="1" applyAlignment="1" applyProtection="1">
      <alignment vertical="center"/>
      <protection hidden="1"/>
    </xf>
    <xf numFmtId="0" fontId="203" fillId="67" borderId="0" xfId="2" applyFont="1" applyFill="1" applyAlignment="1">
      <alignment vertical="center"/>
    </xf>
    <xf numFmtId="0" fontId="202" fillId="67" borderId="0" xfId="1" applyFont="1" applyFill="1" applyAlignment="1" applyProtection="1">
      <alignment horizontal="left" vertical="center"/>
      <protection hidden="1"/>
    </xf>
    <xf numFmtId="0" fontId="204" fillId="37" borderId="13" xfId="1" applyFont="1" applyFill="1" applyBorder="1" applyAlignment="1">
      <alignment horizontal="center" vertical="center"/>
    </xf>
    <xf numFmtId="0" fontId="204" fillId="31" borderId="13" xfId="1" applyFont="1" applyFill="1" applyBorder="1" applyAlignment="1">
      <alignment horizontal="center" vertical="center"/>
    </xf>
    <xf numFmtId="0" fontId="175" fillId="67" borderId="0" xfId="1" applyFont="1" applyFill="1" applyProtection="1">
      <protection hidden="1"/>
    </xf>
    <xf numFmtId="0" fontId="205" fillId="0" borderId="58" xfId="7" applyFont="1" applyBorder="1" applyAlignment="1">
      <alignment horizontal="center" vertical="center"/>
    </xf>
    <xf numFmtId="0" fontId="206" fillId="4" borderId="13" xfId="1" applyFont="1" applyFill="1" applyBorder="1" applyAlignment="1">
      <alignment horizontal="center" vertical="center"/>
    </xf>
    <xf numFmtId="0" fontId="207" fillId="6" borderId="0" xfId="1" applyFont="1" applyFill="1" applyAlignment="1">
      <alignment horizontal="center" vertical="center"/>
    </xf>
    <xf numFmtId="0" fontId="208" fillId="6" borderId="0" xfId="1" applyFont="1" applyFill="1" applyAlignment="1">
      <alignment horizontal="center" vertical="center"/>
    </xf>
    <xf numFmtId="0" fontId="209" fillId="6" borderId="0" xfId="1" applyFont="1" applyFill="1" applyAlignment="1">
      <alignment horizontal="center" vertical="center"/>
    </xf>
    <xf numFmtId="0" fontId="210" fillId="6" borderId="0" xfId="1" applyFont="1" applyFill="1" applyAlignment="1">
      <alignment horizontal="center" vertical="center"/>
    </xf>
    <xf numFmtId="0" fontId="211" fillId="6" borderId="0" xfId="1" applyFont="1" applyFill="1" applyAlignment="1">
      <alignment horizontal="center" vertical="center"/>
    </xf>
    <xf numFmtId="0" fontId="212" fillId="6" borderId="0" xfId="1" applyFont="1" applyFill="1" applyAlignment="1">
      <alignment horizontal="center" vertical="center"/>
    </xf>
    <xf numFmtId="0" fontId="213" fillId="6" borderId="0" xfId="1" applyFont="1" applyFill="1" applyAlignment="1">
      <alignment horizontal="center" vertical="center"/>
    </xf>
    <xf numFmtId="0" fontId="214" fillId="6" borderId="0" xfId="1" applyFont="1" applyFill="1" applyAlignment="1">
      <alignment horizontal="center" vertical="center"/>
    </xf>
    <xf numFmtId="0" fontId="215" fillId="6" borderId="0" xfId="1" applyFont="1" applyFill="1" applyAlignment="1">
      <alignment horizontal="center" vertical="center"/>
    </xf>
    <xf numFmtId="0" fontId="216" fillId="6" borderId="0" xfId="1" applyFont="1" applyFill="1" applyAlignment="1">
      <alignment horizontal="center" vertical="center"/>
    </xf>
    <xf numFmtId="0" fontId="217" fillId="6" borderId="0" xfId="1" applyFont="1" applyFill="1" applyAlignment="1">
      <alignment horizontal="center" vertical="center"/>
    </xf>
    <xf numFmtId="0" fontId="218" fillId="6" borderId="0" xfId="1" applyFont="1" applyFill="1" applyAlignment="1">
      <alignment horizontal="center" vertical="center"/>
    </xf>
    <xf numFmtId="0" fontId="219" fillId="6" borderId="0" xfId="1" applyFont="1" applyFill="1" applyAlignment="1">
      <alignment horizontal="center" vertical="center"/>
    </xf>
    <xf numFmtId="0" fontId="220" fillId="6" borderId="0" xfId="1" applyFont="1" applyFill="1" applyAlignment="1">
      <alignment horizontal="center" vertical="center"/>
    </xf>
    <xf numFmtId="0" fontId="221" fillId="6" borderId="0" xfId="1" applyFont="1" applyFill="1" applyAlignment="1">
      <alignment horizontal="center" vertical="center"/>
    </xf>
    <xf numFmtId="0" fontId="222" fillId="6" borderId="0" xfId="1" applyFont="1" applyFill="1" applyAlignment="1">
      <alignment horizontal="center" vertical="center"/>
    </xf>
    <xf numFmtId="0" fontId="223" fillId="6" borderId="0" xfId="1" applyFont="1" applyFill="1" applyAlignment="1">
      <alignment horizontal="center" vertical="center"/>
    </xf>
    <xf numFmtId="0" fontId="224" fillId="6" borderId="0" xfId="1" applyFont="1" applyFill="1" applyAlignment="1">
      <alignment horizontal="center" vertical="center"/>
    </xf>
    <xf numFmtId="0" fontId="225" fillId="67" borderId="0" xfId="21" applyFont="1" applyFill="1" applyAlignment="1">
      <alignment vertical="center"/>
    </xf>
    <xf numFmtId="0" fontId="226" fillId="67" borderId="0" xfId="1" applyFont="1" applyFill="1" applyAlignment="1">
      <alignment vertical="center"/>
    </xf>
    <xf numFmtId="0" fontId="227" fillId="67" borderId="0" xfId="2" applyFont="1" applyFill="1"/>
    <xf numFmtId="0" fontId="179" fillId="67" borderId="0" xfId="1" applyFont="1" applyFill="1" applyProtection="1">
      <protection hidden="1"/>
    </xf>
    <xf numFmtId="0" fontId="228" fillId="67" borderId="0" xfId="3" applyFont="1" applyFill="1" applyAlignment="1">
      <alignment horizontal="left" vertical="center"/>
    </xf>
    <xf numFmtId="0" fontId="229" fillId="67" borderId="0" xfId="3" applyFont="1" applyFill="1" applyAlignment="1">
      <alignment horizontal="left" vertical="center"/>
    </xf>
    <xf numFmtId="0" fontId="230" fillId="67" borderId="0" xfId="3" applyFont="1" applyFill="1" applyAlignment="1">
      <alignment horizontal="left" vertical="center"/>
    </xf>
    <xf numFmtId="0" fontId="231" fillId="67" borderId="0" xfId="3" applyFont="1" applyFill="1" applyAlignment="1">
      <alignment horizontal="left" vertical="center"/>
    </xf>
    <xf numFmtId="0" fontId="232" fillId="67" borderId="0" xfId="3" applyFont="1" applyFill="1" applyAlignment="1">
      <alignment horizontal="left" vertical="center"/>
    </xf>
    <xf numFmtId="0" fontId="233" fillId="67" borderId="0" xfId="3" applyFont="1" applyFill="1" applyAlignment="1">
      <alignment horizontal="left" vertical="center"/>
    </xf>
    <xf numFmtId="0" fontId="234" fillId="67" borderId="0" xfId="3" applyFont="1" applyFill="1" applyAlignment="1">
      <alignment horizontal="left" vertical="center"/>
    </xf>
    <xf numFmtId="0" fontId="235" fillId="67" borderId="0" xfId="3" applyFont="1" applyFill="1" applyAlignment="1">
      <alignment horizontal="left" vertical="center"/>
    </xf>
    <xf numFmtId="0" fontId="236" fillId="67" borderId="0" xfId="3" applyFont="1" applyFill="1" applyAlignment="1">
      <alignment horizontal="left" vertical="center"/>
    </xf>
    <xf numFmtId="0" fontId="237" fillId="67" borderId="0" xfId="1" applyFont="1" applyFill="1" applyAlignment="1">
      <alignment vertical="center"/>
    </xf>
    <xf numFmtId="0" fontId="166" fillId="67" borderId="0" xfId="1" applyFont="1" applyFill="1" applyAlignment="1">
      <alignment horizontal="center" vertical="center"/>
    </xf>
    <xf numFmtId="0" fontId="238" fillId="67" borderId="0" xfId="1" applyFont="1" applyFill="1" applyAlignment="1">
      <alignment horizontal="right" vertical="center"/>
    </xf>
    <xf numFmtId="0" fontId="238" fillId="67" borderId="0" xfId="1" applyFont="1" applyFill="1" applyAlignment="1">
      <alignment vertical="center"/>
    </xf>
    <xf numFmtId="0" fontId="239" fillId="67" borderId="0" xfId="4" applyFont="1" applyFill="1" applyAlignment="1">
      <alignment horizontal="left" vertical="center"/>
    </xf>
    <xf numFmtId="164" fontId="240" fillId="70" borderId="31" xfId="1" applyNumberFormat="1" applyFont="1" applyFill="1" applyBorder="1" applyAlignment="1">
      <alignment horizontal="center" vertical="center"/>
    </xf>
    <xf numFmtId="189" fontId="241" fillId="71" borderId="37" xfId="3" applyNumberFormat="1" applyFont="1" applyFill="1" applyBorder="1" applyAlignment="1" applyProtection="1">
      <alignment horizontal="center" vertical="center"/>
      <protection locked="0"/>
    </xf>
    <xf numFmtId="169" fontId="242" fillId="67" borderId="28" xfId="15" applyNumberFormat="1" applyFont="1" applyFill="1" applyBorder="1" applyAlignment="1">
      <alignment horizontal="center" vertical="center"/>
    </xf>
    <xf numFmtId="0" fontId="237" fillId="67" borderId="0" xfId="1" applyFont="1" applyFill="1" applyAlignment="1">
      <alignment horizontal="center" vertical="center"/>
    </xf>
    <xf numFmtId="0" fontId="243" fillId="67" borderId="0" xfId="1" applyFont="1" applyFill="1" applyAlignment="1">
      <alignment horizontal="center" vertical="center"/>
    </xf>
    <xf numFmtId="0" fontId="244" fillId="67" borderId="0" xfId="1" applyFont="1" applyFill="1" applyAlignment="1">
      <alignment vertical="center"/>
    </xf>
    <xf numFmtId="0" fontId="6" fillId="4" borderId="0" xfId="1" applyFill="1" applyAlignment="1">
      <alignment vertical="center"/>
    </xf>
    <xf numFmtId="0" fontId="6" fillId="4" borderId="0" xfId="1" applyFill="1" applyProtection="1">
      <protection hidden="1"/>
    </xf>
    <xf numFmtId="0" fontId="246" fillId="4" borderId="0" xfId="1" applyFont="1" applyFill="1" applyAlignment="1">
      <alignment vertical="center"/>
    </xf>
    <xf numFmtId="0" fontId="238" fillId="4" borderId="0" xfId="1" applyFont="1" applyFill="1" applyAlignment="1">
      <alignment vertical="center"/>
    </xf>
    <xf numFmtId="0" fontId="226" fillId="67" borderId="0" xfId="1" applyFont="1" applyFill="1" applyProtection="1">
      <protection hidden="1"/>
    </xf>
    <xf numFmtId="0" fontId="247" fillId="67" borderId="0" xfId="1" applyFont="1" applyFill="1" applyAlignment="1">
      <alignment vertical="center"/>
    </xf>
    <xf numFmtId="0" fontId="248" fillId="67" borderId="0" xfId="2" applyFont="1" applyFill="1"/>
    <xf numFmtId="0" fontId="184" fillId="67" borderId="0" xfId="21" applyFont="1" applyFill="1" applyAlignment="1">
      <alignment vertical="top"/>
    </xf>
    <xf numFmtId="0" fontId="249" fillId="67" borderId="0" xfId="21" applyFont="1" applyFill="1" applyAlignment="1">
      <alignment vertical="top"/>
    </xf>
    <xf numFmtId="0" fontId="250" fillId="67" borderId="0" xfId="21" applyFont="1" applyFill="1" applyAlignment="1">
      <alignment vertical="top"/>
    </xf>
    <xf numFmtId="177" fontId="251" fillId="3" borderId="90" xfId="3" applyNumberFormat="1" applyFont="1" applyFill="1" applyBorder="1" applyAlignment="1" applyProtection="1">
      <alignment horizontal="center" vertical="center"/>
      <protection locked="0"/>
    </xf>
    <xf numFmtId="0" fontId="251" fillId="3" borderId="80" xfId="3" applyFont="1" applyFill="1" applyBorder="1" applyAlignment="1" applyProtection="1">
      <alignment horizontal="right" vertical="center"/>
      <protection locked="0"/>
    </xf>
    <xf numFmtId="169" fontId="253" fillId="70" borderId="15" xfId="1" applyNumberFormat="1" applyFont="1" applyFill="1" applyBorder="1" applyAlignment="1">
      <alignment horizontal="center" vertical="center"/>
    </xf>
    <xf numFmtId="173" fontId="252" fillId="25" borderId="2" xfId="3" applyNumberFormat="1" applyFont="1" applyFill="1" applyBorder="1" applyAlignment="1" applyProtection="1">
      <alignment horizontal="center" vertical="center"/>
      <protection locked="0"/>
    </xf>
    <xf numFmtId="170" fontId="254" fillId="72" borderId="0" xfId="1" applyNumberFormat="1" applyFont="1" applyFill="1" applyAlignment="1">
      <alignment horizontal="center" vertical="center"/>
    </xf>
    <xf numFmtId="177" fontId="254" fillId="25" borderId="19" xfId="3" applyNumberFormat="1" applyFont="1" applyFill="1" applyBorder="1" applyAlignment="1" applyProtection="1">
      <alignment horizontal="center" vertical="center"/>
      <protection locked="0"/>
    </xf>
    <xf numFmtId="0" fontId="254" fillId="6" borderId="17" xfId="3" applyFont="1" applyFill="1" applyBorder="1" applyAlignment="1" applyProtection="1">
      <alignment horizontal="right" vertical="center"/>
      <protection locked="0"/>
    </xf>
    <xf numFmtId="0" fontId="171" fillId="67" borderId="15" xfId="1" applyFont="1" applyFill="1" applyBorder="1" applyAlignment="1">
      <alignment horizontal="center" vertical="center"/>
    </xf>
    <xf numFmtId="0" fontId="256" fillId="67" borderId="0" xfId="1" applyFont="1" applyFill="1" applyAlignment="1">
      <alignment horizontal="center" vertical="center"/>
    </xf>
    <xf numFmtId="0" fontId="257" fillId="65" borderId="8" xfId="1" applyFont="1" applyFill="1" applyBorder="1" applyAlignment="1">
      <alignment horizontal="center" vertical="center"/>
    </xf>
    <xf numFmtId="0" fontId="258" fillId="67" borderId="0" xfId="2" applyFont="1" applyFill="1"/>
    <xf numFmtId="0" fontId="249" fillId="67" borderId="0" xfId="1" applyFont="1" applyFill="1" applyAlignment="1">
      <alignment vertical="center"/>
    </xf>
    <xf numFmtId="0" fontId="259" fillId="67" borderId="0" xfId="2" applyFont="1" applyFill="1"/>
    <xf numFmtId="0" fontId="184" fillId="67" borderId="0" xfId="1" applyFont="1" applyFill="1" applyAlignment="1" applyProtection="1">
      <alignment vertical="center"/>
      <protection hidden="1"/>
    </xf>
    <xf numFmtId="0" fontId="260" fillId="67" borderId="0" xfId="1" applyFont="1" applyFill="1" applyAlignment="1" applyProtection="1">
      <alignment vertical="center"/>
      <protection hidden="1"/>
    </xf>
    <xf numFmtId="167" fontId="250" fillId="67" borderId="146" xfId="1" applyNumberFormat="1" applyFont="1" applyFill="1" applyBorder="1" applyAlignment="1" applyProtection="1">
      <alignment horizontal="center" vertical="center"/>
      <protection hidden="1"/>
    </xf>
    <xf numFmtId="190" fontId="261" fillId="39" borderId="147" xfId="1" applyNumberFormat="1" applyFont="1" applyFill="1" applyBorder="1" applyAlignment="1" applyProtection="1">
      <alignment horizontal="center" vertical="center"/>
      <protection hidden="1"/>
    </xf>
    <xf numFmtId="0" fontId="184" fillId="67" borderId="0" xfId="1" applyFont="1" applyFill="1" applyProtection="1">
      <protection hidden="1"/>
    </xf>
    <xf numFmtId="0" fontId="250" fillId="67" borderId="0" xfId="1" applyFont="1" applyFill="1" applyProtection="1">
      <protection hidden="1"/>
    </xf>
    <xf numFmtId="0" fontId="179" fillId="67" borderId="0" xfId="1" applyFont="1" applyFill="1" applyAlignment="1" applyProtection="1">
      <alignment vertical="center"/>
      <protection hidden="1"/>
    </xf>
    <xf numFmtId="0" fontId="262" fillId="4" borderId="0" xfId="22" applyFont="1" applyFill="1" applyAlignment="1">
      <alignment horizontal="left" vertical="center"/>
    </xf>
    <xf numFmtId="169" fontId="263" fillId="46" borderId="28" xfId="15" applyNumberFormat="1" applyFont="1" applyFill="1" applyBorder="1" applyAlignment="1">
      <alignment vertical="center"/>
    </xf>
    <xf numFmtId="165" fontId="264" fillId="46" borderId="28" xfId="22" applyNumberFormat="1" applyFont="1" applyFill="1" applyBorder="1" applyAlignment="1">
      <alignment horizontal="left" vertical="center" wrapText="1"/>
    </xf>
    <xf numFmtId="165" fontId="264" fillId="46" borderId="28" xfId="22" applyNumberFormat="1" applyFont="1" applyFill="1" applyBorder="1" applyAlignment="1">
      <alignment horizontal="left" vertical="center"/>
    </xf>
    <xf numFmtId="0" fontId="263" fillId="46" borderId="117" xfId="2" applyFont="1" applyFill="1" applyBorder="1" applyAlignment="1" applyProtection="1">
      <alignment horizontal="center" vertical="center"/>
      <protection locked="0"/>
    </xf>
    <xf numFmtId="0" fontId="265" fillId="44" borderId="0" xfId="2" applyFont="1" applyFill="1"/>
    <xf numFmtId="0" fontId="164" fillId="44" borderId="0" xfId="1" applyFont="1" applyFill="1" applyProtection="1">
      <protection hidden="1"/>
    </xf>
    <xf numFmtId="0" fontId="266" fillId="44" borderId="0" xfId="1" applyFont="1" applyFill="1" applyProtection="1">
      <protection hidden="1"/>
    </xf>
    <xf numFmtId="169" fontId="263" fillId="46" borderId="28" xfId="15" applyNumberFormat="1" applyFont="1" applyFill="1" applyBorder="1" applyAlignment="1">
      <alignment horizontal="center" vertical="center"/>
    </xf>
    <xf numFmtId="0" fontId="263" fillId="46" borderId="148" xfId="2" applyFont="1" applyFill="1" applyBorder="1" applyAlignment="1" applyProtection="1">
      <alignment horizontal="center" vertical="center"/>
      <protection locked="0"/>
    </xf>
    <xf numFmtId="0" fontId="263" fillId="46" borderId="28" xfId="22" applyFont="1" applyFill="1" applyBorder="1" applyAlignment="1" applyProtection="1">
      <alignment horizontal="center" vertical="center"/>
      <protection locked="0"/>
    </xf>
    <xf numFmtId="0" fontId="243" fillId="67" borderId="0" xfId="1" applyFont="1" applyFill="1" applyAlignment="1">
      <alignment vertical="center"/>
    </xf>
    <xf numFmtId="0" fontId="248" fillId="4" borderId="0" xfId="2" applyFont="1" applyFill="1"/>
    <xf numFmtId="0" fontId="184" fillId="4" borderId="0" xfId="1" applyFont="1" applyFill="1" applyAlignment="1">
      <alignment vertical="center"/>
    </xf>
    <xf numFmtId="0" fontId="268" fillId="67" borderId="0" xfId="1" applyFont="1" applyFill="1" applyAlignment="1">
      <alignment vertical="center"/>
    </xf>
    <xf numFmtId="0" fontId="270" fillId="4" borderId="0" xfId="1" applyFont="1" applyFill="1" applyAlignment="1" applyProtection="1">
      <alignment horizontal="right" vertical="center"/>
      <protection hidden="1"/>
    </xf>
    <xf numFmtId="0" fontId="184" fillId="67" borderId="0" xfId="1" applyFont="1" applyFill="1" applyAlignment="1" applyProtection="1">
      <alignment horizontal="left" vertical="center"/>
      <protection hidden="1"/>
    </xf>
    <xf numFmtId="0" fontId="271" fillId="6" borderId="0" xfId="3" applyFont="1" applyFill="1" applyAlignment="1">
      <alignment horizontal="center" vertical="center"/>
    </xf>
    <xf numFmtId="0" fontId="272" fillId="6" borderId="149" xfId="3" applyFont="1" applyFill="1" applyBorder="1" applyAlignment="1">
      <alignment horizontal="center" vertical="center"/>
    </xf>
    <xf numFmtId="0" fontId="273" fillId="6" borderId="0" xfId="3" applyFont="1" applyFill="1" applyAlignment="1">
      <alignment horizontal="center" vertical="center"/>
    </xf>
    <xf numFmtId="0" fontId="259" fillId="15" borderId="150" xfId="4" applyFont="1" applyFill="1" applyBorder="1"/>
    <xf numFmtId="0" fontId="274" fillId="4" borderId="150" xfId="4" applyFont="1" applyFill="1" applyBorder="1"/>
    <xf numFmtId="0" fontId="255" fillId="4" borderId="151" xfId="3" applyFont="1" applyFill="1" applyBorder="1" applyAlignment="1">
      <alignment horizontal="left" vertical="center"/>
    </xf>
    <xf numFmtId="173" fontId="275" fillId="56" borderId="152" xfId="3" applyNumberFormat="1" applyFont="1" applyFill="1" applyBorder="1" applyAlignment="1" applyProtection="1">
      <alignment horizontal="center" vertical="center"/>
      <protection locked="0"/>
    </xf>
    <xf numFmtId="170" fontId="251" fillId="30" borderId="0" xfId="1" applyNumberFormat="1" applyFont="1" applyFill="1" applyAlignment="1">
      <alignment horizontal="center" vertical="center"/>
    </xf>
    <xf numFmtId="170" fontId="251" fillId="63" borderId="0" xfId="1" applyNumberFormat="1" applyFont="1" applyFill="1" applyAlignment="1">
      <alignment horizontal="center" vertical="center"/>
    </xf>
    <xf numFmtId="170" fontId="251" fillId="63" borderId="153" xfId="1" applyNumberFormat="1" applyFont="1" applyFill="1" applyBorder="1" applyAlignment="1">
      <alignment horizontal="center" vertical="center"/>
    </xf>
    <xf numFmtId="0" fontId="266" fillId="4" borderId="0" xfId="3" applyFont="1" applyFill="1" applyAlignment="1">
      <alignment horizontal="right" vertical="center"/>
    </xf>
    <xf numFmtId="0" fontId="265" fillId="0" borderId="0" xfId="4" applyFont="1"/>
    <xf numFmtId="0" fontId="265" fillId="0" borderId="13" xfId="4" applyFont="1" applyBorder="1"/>
    <xf numFmtId="173" fontId="250" fillId="67" borderId="0" xfId="3" applyNumberFormat="1" applyFont="1" applyFill="1" applyAlignment="1" applyProtection="1">
      <alignment horizontal="left" vertical="center"/>
      <protection locked="0"/>
    </xf>
    <xf numFmtId="0" fontId="184" fillId="67" borderId="0" xfId="1" applyFont="1" applyFill="1" applyAlignment="1" applyProtection="1">
      <alignment horizontal="right" vertical="center"/>
      <protection hidden="1"/>
    </xf>
    <xf numFmtId="0" fontId="254" fillId="15" borderId="154" xfId="4" applyFont="1" applyFill="1" applyBorder="1" applyAlignment="1">
      <alignment horizontal="left" vertical="center"/>
    </xf>
    <xf numFmtId="0" fontId="254" fillId="15" borderId="155" xfId="4" applyFont="1" applyFill="1" applyBorder="1" applyAlignment="1">
      <alignment horizontal="left" vertical="center"/>
    </xf>
    <xf numFmtId="0" fontId="276" fillId="15" borderId="155" xfId="4" applyFont="1" applyFill="1" applyBorder="1" applyAlignment="1">
      <alignment horizontal="left" vertical="center"/>
    </xf>
    <xf numFmtId="173" fontId="277" fillId="56" borderId="156" xfId="3" applyNumberFormat="1" applyFont="1" applyFill="1" applyBorder="1" applyAlignment="1" applyProtection="1">
      <alignment horizontal="center" vertical="center"/>
      <protection locked="0"/>
    </xf>
    <xf numFmtId="167" fontId="261" fillId="28" borderId="0" xfId="1" applyNumberFormat="1" applyFont="1" applyFill="1" applyAlignment="1">
      <alignment horizontal="center" vertical="center"/>
    </xf>
    <xf numFmtId="167" fontId="278" fillId="36" borderId="149" xfId="1" applyNumberFormat="1" applyFont="1" applyFill="1" applyBorder="1" applyAlignment="1">
      <alignment horizontal="center" vertical="center"/>
    </xf>
    <xf numFmtId="0" fontId="265" fillId="4" borderId="0" xfId="4" applyFont="1" applyFill="1"/>
    <xf numFmtId="0" fontId="166" fillId="4" borderId="0" xfId="1" applyFont="1" applyFill="1" applyAlignment="1" applyProtection="1">
      <alignment horizontal="left" vertical="center"/>
      <protection hidden="1"/>
    </xf>
    <xf numFmtId="0" fontId="260" fillId="67" borderId="0" xfId="1" applyFont="1" applyFill="1" applyAlignment="1" applyProtection="1">
      <alignment horizontal="left" vertical="center"/>
      <protection hidden="1"/>
    </xf>
    <xf numFmtId="0" fontId="279" fillId="25" borderId="27" xfId="3" applyFont="1" applyFill="1" applyBorder="1" applyAlignment="1">
      <alignment horizontal="center" vertical="center"/>
    </xf>
    <xf numFmtId="0" fontId="279" fillId="25" borderId="28" xfId="3" applyFont="1" applyFill="1" applyBorder="1" applyAlignment="1">
      <alignment horizontal="center" vertical="center"/>
    </xf>
    <xf numFmtId="0" fontId="280" fillId="17" borderId="157" xfId="3" applyFont="1" applyFill="1" applyBorder="1" applyAlignment="1">
      <alignment horizontal="center" vertical="center"/>
    </xf>
    <xf numFmtId="0" fontId="280" fillId="25" borderId="27" xfId="3" applyFont="1" applyFill="1" applyBorder="1" applyAlignment="1">
      <alignment horizontal="center" vertical="center"/>
    </xf>
    <xf numFmtId="0" fontId="250" fillId="67" borderId="0" xfId="1" applyFont="1" applyFill="1" applyAlignment="1" applyProtection="1">
      <alignment horizontal="left" vertical="center"/>
      <protection hidden="1"/>
    </xf>
    <xf numFmtId="0" fontId="279" fillId="6" borderId="0" xfId="3" applyFont="1" applyFill="1" applyAlignment="1">
      <alignment horizontal="center" vertical="center"/>
    </xf>
    <xf numFmtId="0" fontId="278" fillId="6" borderId="149" xfId="3" applyFont="1" applyFill="1" applyBorder="1" applyAlignment="1">
      <alignment horizontal="center" vertical="center"/>
    </xf>
    <xf numFmtId="0" fontId="281" fillId="6" borderId="0" xfId="3" applyFont="1" applyFill="1" applyAlignment="1">
      <alignment horizontal="center" vertical="center"/>
    </xf>
    <xf numFmtId="0" fontId="282" fillId="67" borderId="0" xfId="21" applyFont="1" applyFill="1" applyAlignment="1">
      <alignment vertical="center"/>
    </xf>
    <xf numFmtId="1" fontId="286" fillId="56" borderId="0" xfId="22" applyNumberFormat="1" applyFont="1" applyFill="1" applyAlignment="1">
      <alignment horizontal="left" vertical="center"/>
    </xf>
    <xf numFmtId="0" fontId="257" fillId="68" borderId="0" xfId="2" applyFont="1" applyFill="1" applyAlignment="1">
      <alignment vertical="center"/>
    </xf>
    <xf numFmtId="0" fontId="257" fillId="68" borderId="16" xfId="2" applyFont="1" applyFill="1" applyBorder="1" applyAlignment="1">
      <alignment vertical="center"/>
    </xf>
    <xf numFmtId="0" fontId="250" fillId="67" borderId="0" xfId="1" applyFont="1" applyFill="1" applyAlignment="1">
      <alignment vertical="center"/>
    </xf>
    <xf numFmtId="0" fontId="246" fillId="67" borderId="0" xfId="1" applyFont="1" applyFill="1" applyAlignment="1">
      <alignment vertical="center"/>
    </xf>
    <xf numFmtId="0" fontId="287" fillId="67" borderId="0" xfId="1" applyFont="1" applyFill="1" applyProtection="1">
      <protection hidden="1"/>
    </xf>
    <xf numFmtId="0" fontId="287" fillId="67" borderId="0" xfId="1" applyFont="1" applyFill="1" applyAlignment="1">
      <alignment vertical="center"/>
    </xf>
    <xf numFmtId="0" fontId="250" fillId="67" borderId="0" xfId="1" applyFont="1" applyFill="1" applyAlignment="1" applyProtection="1">
      <alignment vertical="center"/>
      <protection hidden="1"/>
    </xf>
    <xf numFmtId="0" fontId="179" fillId="3" borderId="0" xfId="1" applyFont="1" applyFill="1" applyAlignment="1">
      <alignment vertical="center"/>
    </xf>
    <xf numFmtId="0" fontId="288" fillId="3" borderId="0" xfId="1" applyFont="1" applyFill="1" applyAlignment="1">
      <alignment vertical="center"/>
    </xf>
    <xf numFmtId="0" fontId="164" fillId="3" borderId="0" xfId="1" applyFont="1" applyFill="1" applyAlignment="1">
      <alignment vertical="center"/>
    </xf>
    <xf numFmtId="0" fontId="289" fillId="67" borderId="0" xfId="2" applyFont="1" applyFill="1"/>
    <xf numFmtId="0" fontId="186" fillId="67" borderId="0" xfId="1" applyFont="1" applyFill="1" applyProtection="1">
      <protection hidden="1"/>
    </xf>
    <xf numFmtId="0" fontId="241" fillId="68" borderId="0" xfId="1" applyFont="1" applyFill="1" applyAlignment="1" applyProtection="1">
      <alignment horizontal="center" vertical="center"/>
      <protection hidden="1"/>
    </xf>
    <xf numFmtId="0" fontId="177" fillId="67" borderId="0" xfId="1" applyFont="1" applyFill="1" applyAlignment="1">
      <alignment vertical="center"/>
    </xf>
    <xf numFmtId="0" fontId="291" fillId="67" borderId="0" xfId="1" applyFont="1" applyFill="1" applyAlignment="1">
      <alignment vertical="center"/>
    </xf>
    <xf numFmtId="0" fontId="292" fillId="67" borderId="0" xfId="1" applyFont="1" applyFill="1" applyAlignment="1">
      <alignment vertical="center"/>
    </xf>
    <xf numFmtId="0" fontId="293" fillId="67" borderId="0" xfId="1" applyFont="1" applyFill="1" applyAlignment="1">
      <alignment vertical="center"/>
    </xf>
    <xf numFmtId="0" fontId="294" fillId="67" borderId="0" xfId="1" applyFont="1" applyFill="1" applyAlignment="1">
      <alignment vertical="center"/>
    </xf>
    <xf numFmtId="0" fontId="295" fillId="67" borderId="0" xfId="2" applyFont="1" applyFill="1"/>
    <xf numFmtId="0" fontId="296" fillId="67" borderId="0" xfId="1" applyFont="1" applyFill="1" applyAlignment="1">
      <alignment horizontal="left" vertical="center"/>
    </xf>
    <xf numFmtId="0" fontId="297" fillId="67" borderId="0" xfId="2" applyFont="1" applyFill="1"/>
    <xf numFmtId="0" fontId="297" fillId="67" borderId="0" xfId="1" applyFont="1" applyFill="1" applyProtection="1">
      <protection hidden="1"/>
    </xf>
    <xf numFmtId="0" fontId="298" fillId="67" borderId="0" xfId="1" applyFont="1" applyFill="1" applyAlignment="1">
      <alignment horizontal="left" vertical="center"/>
    </xf>
    <xf numFmtId="0" fontId="297" fillId="67" borderId="0" xfId="1" applyFont="1" applyFill="1" applyAlignment="1">
      <alignment vertical="center"/>
    </xf>
    <xf numFmtId="0" fontId="166" fillId="67" borderId="0" xfId="1" applyFont="1" applyFill="1" applyAlignment="1">
      <alignment horizontal="left" vertical="center"/>
    </xf>
    <xf numFmtId="186" fontId="171" fillId="67" borderId="0" xfId="1" applyNumberFormat="1" applyFont="1" applyFill="1" applyAlignment="1">
      <alignment vertical="center"/>
    </xf>
    <xf numFmtId="0" fontId="299" fillId="67" borderId="0" xfId="1" applyFont="1" applyFill="1" applyAlignment="1">
      <alignment vertical="center"/>
    </xf>
    <xf numFmtId="0" fontId="300" fillId="67" borderId="0" xfId="1" applyFont="1" applyFill="1" applyAlignment="1">
      <alignment vertical="center"/>
    </xf>
    <xf numFmtId="0" fontId="301" fillId="67" borderId="0" xfId="1" applyFont="1" applyFill="1" applyAlignment="1">
      <alignment vertical="center"/>
    </xf>
    <xf numFmtId="0" fontId="298" fillId="67" borderId="0" xfId="1" applyFont="1" applyFill="1" applyAlignment="1">
      <alignment vertical="center"/>
    </xf>
    <xf numFmtId="0" fontId="12" fillId="0" borderId="0" xfId="1" applyFont="1" applyProtection="1">
      <protection locked="0"/>
    </xf>
    <xf numFmtId="0" fontId="302" fillId="12" borderId="81" xfId="24" applyFont="1" applyFill="1" applyBorder="1" applyAlignment="1">
      <alignment vertical="center"/>
    </xf>
    <xf numFmtId="0" fontId="302" fillId="12" borderId="40" xfId="24" applyFont="1" applyFill="1" applyBorder="1" applyAlignment="1">
      <alignment vertical="center"/>
    </xf>
    <xf numFmtId="0" fontId="302" fillId="12" borderId="80" xfId="24" applyFont="1" applyFill="1" applyBorder="1" applyAlignment="1">
      <alignment vertical="center"/>
    </xf>
    <xf numFmtId="0" fontId="303" fillId="6" borderId="10" xfId="24" applyFont="1" applyFill="1" applyBorder="1" applyAlignment="1">
      <alignment vertical="center" wrapText="1"/>
    </xf>
    <xf numFmtId="0" fontId="303" fillId="6" borderId="0" xfId="24" applyFont="1" applyFill="1" applyAlignment="1">
      <alignment vertical="center" wrapText="1"/>
    </xf>
    <xf numFmtId="0" fontId="304" fillId="6" borderId="0" xfId="24" applyFont="1" applyFill="1"/>
    <xf numFmtId="0" fontId="304" fillId="6" borderId="16" xfId="24" applyFont="1" applyFill="1" applyBorder="1"/>
    <xf numFmtId="0" fontId="12" fillId="0" borderId="0" xfId="3" applyFont="1" applyAlignment="1">
      <alignment horizontal="left" vertical="center"/>
    </xf>
    <xf numFmtId="2" fontId="305" fillId="0" borderId="0" xfId="3" applyNumberFormat="1" applyFont="1" applyAlignment="1">
      <alignment horizontal="center" vertical="center"/>
    </xf>
    <xf numFmtId="0" fontId="12" fillId="0" borderId="0" xfId="3" applyFont="1" applyAlignment="1">
      <alignment horizontal="center" vertical="center"/>
    </xf>
    <xf numFmtId="0" fontId="303" fillId="6" borderId="0" xfId="24" applyFont="1" applyFill="1" applyAlignment="1">
      <alignment vertical="center"/>
    </xf>
    <xf numFmtId="0" fontId="306" fillId="6" borderId="0" xfId="24" applyFont="1" applyFill="1" applyAlignment="1">
      <alignment vertical="center"/>
    </xf>
    <xf numFmtId="0" fontId="306" fillId="6" borderId="16" xfId="24" applyFont="1" applyFill="1" applyBorder="1" applyAlignment="1">
      <alignment vertical="center"/>
    </xf>
    <xf numFmtId="0" fontId="307" fillId="6" borderId="10" xfId="5" applyFont="1" applyFill="1" applyBorder="1" applyAlignment="1">
      <alignment horizontal="left" vertical="center" wrapText="1"/>
    </xf>
    <xf numFmtId="0" fontId="308" fillId="6" borderId="0" xfId="24" applyFont="1" applyFill="1"/>
    <xf numFmtId="0" fontId="309" fillId="6" borderId="0" xfId="5" applyFont="1" applyFill="1" applyAlignment="1">
      <alignment horizontal="right" vertical="center"/>
    </xf>
    <xf numFmtId="0" fontId="41" fillId="9" borderId="0" xfId="1" applyFont="1" applyFill="1" applyAlignment="1" applyProtection="1">
      <alignment horizontal="center" vertical="center" textRotation="90"/>
      <protection locked="0"/>
    </xf>
    <xf numFmtId="0" fontId="310" fillId="75" borderId="0" xfId="1" applyFont="1" applyFill="1" applyAlignment="1">
      <alignment horizontal="center" vertical="center"/>
    </xf>
    <xf numFmtId="0" fontId="33" fillId="0" borderId="0" xfId="1" applyFont="1" applyAlignment="1">
      <alignment horizontal="right" vertical="center"/>
    </xf>
    <xf numFmtId="0" fontId="311" fillId="6" borderId="16" xfId="24" applyFont="1" applyFill="1" applyBorder="1" applyAlignment="1">
      <alignment vertical="center"/>
    </xf>
    <xf numFmtId="0" fontId="12" fillId="4" borderId="87" xfId="1" applyFont="1" applyFill="1" applyBorder="1" applyAlignment="1" applyProtection="1">
      <alignment vertical="center"/>
      <protection locked="0"/>
    </xf>
    <xf numFmtId="0" fontId="12" fillId="4" borderId="86" xfId="1" applyFont="1" applyFill="1" applyBorder="1" applyAlignment="1" applyProtection="1">
      <alignment vertical="center"/>
      <protection locked="0"/>
    </xf>
    <xf numFmtId="0" fontId="12" fillId="4" borderId="85" xfId="3" applyFont="1" applyFill="1" applyBorder="1" applyAlignment="1">
      <alignment vertical="center"/>
    </xf>
    <xf numFmtId="0" fontId="18" fillId="55" borderId="159" xfId="24" applyFont="1" applyFill="1" applyBorder="1" applyAlignment="1">
      <alignment horizontal="center" vertical="center"/>
    </xf>
    <xf numFmtId="0" fontId="312" fillId="4" borderId="61" xfId="25" applyFont="1" applyFill="1" applyBorder="1" applyAlignment="1">
      <alignment horizontal="right" vertical="center"/>
    </xf>
    <xf numFmtId="0" fontId="35" fillId="4" borderId="61" xfId="25" applyFont="1" applyFill="1" applyBorder="1" applyAlignment="1">
      <alignment vertical="center"/>
    </xf>
    <xf numFmtId="0" fontId="313" fillId="15" borderId="61" xfId="1" applyFont="1" applyFill="1" applyBorder="1" applyAlignment="1" applyProtection="1">
      <alignment horizontal="center" vertical="center"/>
      <protection hidden="1"/>
    </xf>
    <xf numFmtId="2" fontId="34" fillId="4" borderId="61" xfId="25" applyNumberFormat="1" applyFont="1" applyFill="1" applyBorder="1" applyAlignment="1">
      <alignment horizontal="center" vertical="center"/>
    </xf>
    <xf numFmtId="0" fontId="312" fillId="4" borderId="61" xfId="1" applyFont="1" applyFill="1" applyBorder="1" applyAlignment="1" applyProtection="1">
      <alignment horizontal="right" vertical="center"/>
      <protection hidden="1"/>
    </xf>
    <xf numFmtId="165" fontId="314" fillId="4" borderId="61" xfId="1" applyNumberFormat="1" applyFont="1" applyFill="1" applyBorder="1" applyAlignment="1" applyProtection="1">
      <alignment horizontal="right" vertical="center"/>
      <protection locked="0"/>
    </xf>
    <xf numFmtId="0" fontId="315" fillId="76" borderId="10" xfId="24" applyFont="1" applyFill="1" applyBorder="1" applyAlignment="1">
      <alignment vertical="center" wrapText="1"/>
    </xf>
    <xf numFmtId="0" fontId="315" fillId="76" borderId="0" xfId="24" applyFont="1" applyFill="1" applyAlignment="1">
      <alignment vertical="center" wrapText="1"/>
    </xf>
    <xf numFmtId="0" fontId="315" fillId="76" borderId="0" xfId="24" applyFont="1" applyFill="1" applyAlignment="1">
      <alignment vertical="center"/>
    </xf>
    <xf numFmtId="0" fontId="315" fillId="76" borderId="0" xfId="24" applyFont="1" applyFill="1" applyAlignment="1">
      <alignment horizontal="left" vertical="center"/>
    </xf>
    <xf numFmtId="0" fontId="12" fillId="4" borderId="15" xfId="1" applyFont="1" applyFill="1" applyBorder="1" applyAlignment="1" applyProtection="1">
      <alignment vertical="center"/>
      <protection locked="0"/>
    </xf>
    <xf numFmtId="0" fontId="12" fillId="4" borderId="0" xfId="1" applyFont="1" applyFill="1" applyAlignment="1" applyProtection="1">
      <alignment vertical="center"/>
      <protection locked="0"/>
    </xf>
    <xf numFmtId="0" fontId="12" fillId="4" borderId="13" xfId="3" applyFont="1" applyFill="1" applyBorder="1" applyAlignment="1">
      <alignment vertical="center"/>
    </xf>
    <xf numFmtId="0" fontId="316" fillId="4" borderId="10" xfId="1" applyFont="1" applyFill="1" applyBorder="1" applyAlignment="1" applyProtection="1">
      <alignment horizontal="left" vertical="center"/>
      <protection locked="0"/>
    </xf>
    <xf numFmtId="0" fontId="316" fillId="4" borderId="0" xfId="1" applyFont="1" applyFill="1" applyAlignment="1" applyProtection="1">
      <alignment horizontal="left" vertical="center"/>
      <protection hidden="1"/>
    </xf>
    <xf numFmtId="0" fontId="316" fillId="4" borderId="0" xfId="1" applyFont="1" applyFill="1" applyAlignment="1" applyProtection="1">
      <alignment horizontal="left" vertical="center"/>
      <protection locked="0"/>
    </xf>
    <xf numFmtId="0" fontId="316" fillId="15" borderId="0" xfId="1" applyFont="1" applyFill="1" applyAlignment="1" applyProtection="1">
      <alignment horizontal="center" vertical="center"/>
      <protection hidden="1"/>
    </xf>
    <xf numFmtId="2" fontId="60" fillId="77" borderId="0" xfId="25" applyNumberFormat="1" applyFont="1" applyFill="1" applyAlignment="1">
      <alignment horizontal="right" vertical="center"/>
    </xf>
    <xf numFmtId="0" fontId="34" fillId="4" borderId="0" xfId="1" applyFont="1" applyFill="1" applyAlignment="1" applyProtection="1">
      <alignment horizontal="right" vertical="center"/>
      <protection hidden="1"/>
    </xf>
    <xf numFmtId="165" fontId="314" fillId="3" borderId="0" xfId="1" applyNumberFormat="1" applyFont="1" applyFill="1" applyAlignment="1" applyProtection="1">
      <alignment horizontal="right" vertical="center"/>
      <protection hidden="1"/>
    </xf>
    <xf numFmtId="165" fontId="12" fillId="4" borderId="0" xfId="1" applyNumberFormat="1" applyFont="1" applyFill="1" applyAlignment="1" applyProtection="1">
      <alignment horizontal="left" vertical="center"/>
      <protection locked="0"/>
    </xf>
    <xf numFmtId="0" fontId="309" fillId="6" borderId="10" xfId="24" applyFont="1" applyFill="1" applyBorder="1" applyAlignment="1">
      <alignment vertical="center" wrapText="1"/>
    </xf>
    <xf numFmtId="0" fontId="309" fillId="6" borderId="0" xfId="24" applyFont="1" applyFill="1" applyAlignment="1">
      <alignment vertical="center" wrapText="1"/>
    </xf>
    <xf numFmtId="0" fontId="309" fillId="6" borderId="0" xfId="24" applyFont="1" applyFill="1" applyAlignment="1">
      <alignment vertical="center"/>
    </xf>
    <xf numFmtId="0" fontId="311" fillId="6" borderId="0" xfId="24" applyFont="1" applyFill="1" applyAlignment="1">
      <alignment vertical="center"/>
    </xf>
    <xf numFmtId="0" fontId="309" fillId="6" borderId="10" xfId="24" applyFont="1" applyFill="1" applyBorder="1" applyAlignment="1">
      <alignment vertical="center"/>
    </xf>
    <xf numFmtId="0" fontId="12" fillId="4" borderId="13" xfId="1" applyFont="1" applyFill="1" applyBorder="1" applyProtection="1">
      <protection locked="0"/>
    </xf>
    <xf numFmtId="0" fontId="12" fillId="4" borderId="0" xfId="1" applyFont="1" applyFill="1" applyProtection="1">
      <protection locked="0"/>
    </xf>
    <xf numFmtId="0" fontId="317" fillId="4" borderId="0" xfId="1" applyFont="1" applyFill="1" applyAlignment="1" applyProtection="1">
      <alignment horizontal="right" vertical="center"/>
      <protection hidden="1"/>
    </xf>
    <xf numFmtId="0" fontId="12" fillId="4" borderId="0" xfId="25" applyFont="1" applyFill="1" applyAlignment="1" applyProtection="1">
      <alignment vertical="center"/>
      <protection locked="0"/>
    </xf>
    <xf numFmtId="0" fontId="304" fillId="6" borderId="10" xfId="24" applyFont="1" applyFill="1" applyBorder="1" applyAlignment="1">
      <alignment vertical="center" wrapText="1"/>
    </xf>
    <xf numFmtId="0" fontId="304" fillId="6" borderId="0" xfId="24" applyFont="1" applyFill="1" applyAlignment="1">
      <alignment vertical="center" wrapText="1"/>
    </xf>
    <xf numFmtId="0" fontId="304" fillId="6" borderId="0" xfId="24" applyFont="1" applyFill="1" applyAlignment="1">
      <alignment vertical="center"/>
    </xf>
    <xf numFmtId="0" fontId="318" fillId="6" borderId="0" xfId="24" applyFont="1" applyFill="1" applyAlignment="1">
      <alignment vertical="center"/>
    </xf>
    <xf numFmtId="0" fontId="318" fillId="6" borderId="16" xfId="24" applyFont="1" applyFill="1" applyBorder="1" applyAlignment="1">
      <alignment vertical="center"/>
    </xf>
    <xf numFmtId="0" fontId="30" fillId="4" borderId="10" xfId="1" applyFont="1" applyFill="1" applyBorder="1" applyAlignment="1" applyProtection="1">
      <alignment vertical="center"/>
      <protection locked="0"/>
    </xf>
    <xf numFmtId="0" fontId="30" fillId="4" borderId="0" xfId="1" applyFont="1" applyFill="1" applyAlignment="1" applyProtection="1">
      <alignment vertical="center"/>
      <protection locked="0"/>
    </xf>
    <xf numFmtId="0" fontId="117" fillId="4" borderId="0" xfId="1" applyFont="1" applyFill="1" applyAlignment="1" applyProtection="1">
      <alignment horizontal="center"/>
      <protection locked="0"/>
    </xf>
    <xf numFmtId="0" fontId="12" fillId="4" borderId="0" xfId="1" applyFont="1" applyFill="1"/>
    <xf numFmtId="0" fontId="319" fillId="4" borderId="0" xfId="1" applyFont="1" applyFill="1" applyAlignment="1" applyProtection="1">
      <alignment horizontal="center"/>
      <protection locked="0"/>
    </xf>
    <xf numFmtId="0" fontId="304" fillId="6" borderId="10" xfId="24" applyFont="1" applyFill="1" applyBorder="1" applyAlignment="1">
      <alignment vertical="center"/>
    </xf>
    <xf numFmtId="0" fontId="60" fillId="39" borderId="40" xfId="1" applyFont="1" applyFill="1" applyBorder="1" applyAlignment="1">
      <alignment horizontal="center" vertical="center"/>
    </xf>
    <xf numFmtId="0" fontId="34" fillId="4" borderId="40" xfId="1" applyFont="1" applyFill="1" applyBorder="1" applyAlignment="1">
      <alignment horizontal="left" vertical="center"/>
    </xf>
    <xf numFmtId="0" fontId="34" fillId="4" borderId="40" xfId="1" applyFont="1" applyFill="1" applyBorder="1" applyAlignment="1">
      <alignment horizontal="center" vertical="center"/>
    </xf>
    <xf numFmtId="0" fontId="17" fillId="4" borderId="40" xfId="1" applyFont="1" applyFill="1" applyBorder="1" applyAlignment="1">
      <alignment vertical="center"/>
    </xf>
    <xf numFmtId="165" fontId="320" fillId="4" borderId="0" xfId="1" applyNumberFormat="1" applyFont="1" applyFill="1" applyAlignment="1">
      <alignment horizontal="left" vertical="center"/>
    </xf>
    <xf numFmtId="0" fontId="321" fillId="4" borderId="0" xfId="1" applyFont="1" applyFill="1" applyAlignment="1">
      <alignment vertical="center"/>
    </xf>
    <xf numFmtId="0" fontId="34" fillId="4" borderId="0" xfId="1" applyFont="1" applyFill="1" applyAlignment="1">
      <alignment horizontal="left" vertical="center"/>
    </xf>
    <xf numFmtId="1" fontId="322" fillId="4" borderId="160" xfId="1" applyNumberFormat="1" applyFont="1" applyFill="1" applyBorder="1" applyAlignment="1" applyProtection="1">
      <alignment horizontal="center" vertical="center"/>
      <protection hidden="1"/>
    </xf>
    <xf numFmtId="0" fontId="41" fillId="4" borderId="0" xfId="1" applyFont="1" applyFill="1" applyAlignment="1" applyProtection="1">
      <alignment vertical="center"/>
      <protection locked="0"/>
    </xf>
    <xf numFmtId="0" fontId="12" fillId="4" borderId="0" xfId="1" applyFont="1" applyFill="1" applyAlignment="1" applyProtection="1">
      <alignment horizontal="right" vertical="center"/>
      <protection locked="0"/>
    </xf>
    <xf numFmtId="165" fontId="41" fillId="4" borderId="0" xfId="1" applyNumberFormat="1" applyFont="1" applyFill="1" applyAlignment="1" applyProtection="1">
      <alignment horizontal="left" vertical="center"/>
      <protection locked="0"/>
    </xf>
    <xf numFmtId="165" fontId="322" fillId="4" borderId="161" xfId="1" applyNumberFormat="1" applyFont="1" applyFill="1" applyBorder="1" applyAlignment="1" applyProtection="1">
      <alignment horizontal="center" vertical="center"/>
      <protection hidden="1"/>
    </xf>
    <xf numFmtId="0" fontId="323" fillId="6" borderId="10" xfId="24" applyFont="1" applyFill="1" applyBorder="1" applyAlignment="1">
      <alignment vertical="center"/>
    </xf>
    <xf numFmtId="0" fontId="323" fillId="6" borderId="0" xfId="24" applyFont="1" applyFill="1" applyAlignment="1">
      <alignment vertical="center"/>
    </xf>
    <xf numFmtId="0" fontId="324" fillId="6" borderId="0" xfId="24" applyFont="1" applyFill="1" applyAlignment="1">
      <alignment vertical="center"/>
    </xf>
    <xf numFmtId="0" fontId="324" fillId="6" borderId="16" xfId="24" applyFont="1" applyFill="1" applyBorder="1" applyAlignment="1">
      <alignment vertical="center"/>
    </xf>
    <xf numFmtId="0" fontId="34" fillId="4" borderId="0" xfId="1" applyFont="1" applyFill="1" applyAlignment="1">
      <alignment vertical="center"/>
    </xf>
    <xf numFmtId="0" fontId="117" fillId="4" borderId="0" xfId="1" applyFont="1" applyFill="1" applyAlignment="1">
      <alignment horizontal="center"/>
    </xf>
    <xf numFmtId="0" fontId="325" fillId="4" borderId="0" xfId="1" applyFont="1" applyFill="1" applyAlignment="1">
      <alignment horizontal="left"/>
    </xf>
    <xf numFmtId="0" fontId="303" fillId="6" borderId="10" xfId="24" applyFont="1" applyFill="1" applyBorder="1" applyAlignment="1">
      <alignment vertical="center"/>
    </xf>
    <xf numFmtId="0" fontId="87" fillId="6" borderId="0" xfId="9" applyFont="1" applyFill="1" applyBorder="1" applyAlignment="1">
      <alignment vertical="center"/>
    </xf>
    <xf numFmtId="0" fontId="326" fillId="79" borderId="0" xfId="24" applyFont="1" applyFill="1" applyAlignment="1">
      <alignment horizontal="right" vertical="center"/>
    </xf>
    <xf numFmtId="0" fontId="303" fillId="6" borderId="16" xfId="24" applyFont="1" applyFill="1" applyBorder="1" applyAlignment="1">
      <alignment vertical="center"/>
    </xf>
    <xf numFmtId="0" fontId="41" fillId="4" borderId="13" xfId="1" applyFont="1" applyFill="1" applyBorder="1" applyAlignment="1" applyProtection="1">
      <alignment vertical="center"/>
      <protection locked="0"/>
    </xf>
    <xf numFmtId="0" fontId="135" fillId="4" borderId="0" xfId="25" applyFont="1" applyFill="1" applyAlignment="1" applyProtection="1">
      <alignment vertical="center"/>
      <protection locked="0"/>
    </xf>
    <xf numFmtId="0" fontId="323" fillId="6" borderId="16" xfId="24" applyFont="1" applyFill="1" applyBorder="1" applyAlignment="1">
      <alignment vertical="center"/>
    </xf>
    <xf numFmtId="0" fontId="12" fillId="4" borderId="67" xfId="3" applyFont="1" applyFill="1" applyBorder="1"/>
    <xf numFmtId="0" fontId="12" fillId="4" borderId="66" xfId="3" applyFont="1" applyFill="1" applyBorder="1"/>
    <xf numFmtId="0" fontId="1" fillId="12" borderId="141" xfId="24" applyFill="1" applyBorder="1"/>
    <xf numFmtId="0" fontId="1" fillId="12" borderId="140" xfId="24" applyFill="1" applyBorder="1"/>
    <xf numFmtId="0" fontId="1" fillId="12" borderId="17" xfId="24" applyFill="1" applyBorder="1"/>
    <xf numFmtId="0" fontId="12" fillId="4" borderId="87" xfId="25" applyFont="1" applyFill="1" applyBorder="1" applyProtection="1">
      <protection locked="0"/>
    </xf>
    <xf numFmtId="0" fontId="12" fillId="4" borderId="86" xfId="25" applyFont="1" applyFill="1" applyBorder="1" applyProtection="1">
      <protection locked="0"/>
    </xf>
    <xf numFmtId="0" fontId="328" fillId="4" borderId="86" xfId="25" applyFont="1" applyFill="1" applyBorder="1" applyAlignment="1" applyProtection="1">
      <alignment vertical="top"/>
      <protection hidden="1"/>
    </xf>
    <xf numFmtId="0" fontId="12" fillId="4" borderId="87" xfId="1" applyFont="1" applyFill="1" applyBorder="1" applyProtection="1">
      <protection locked="0"/>
    </xf>
    <xf numFmtId="0" fontId="12" fillId="4" borderId="86" xfId="1" applyFont="1" applyFill="1" applyBorder="1" applyProtection="1">
      <protection locked="0"/>
    </xf>
    <xf numFmtId="0" fontId="12" fillId="4" borderId="85" xfId="1" applyFont="1" applyFill="1" applyBorder="1" applyProtection="1">
      <protection locked="0"/>
    </xf>
    <xf numFmtId="0" fontId="12" fillId="4" borderId="15" xfId="1" applyFont="1" applyFill="1" applyBorder="1" applyProtection="1">
      <protection locked="0"/>
    </xf>
    <xf numFmtId="0" fontId="12" fillId="4" borderId="0" xfId="25" applyFont="1" applyFill="1" applyProtection="1">
      <protection locked="0"/>
    </xf>
    <xf numFmtId="0" fontId="329" fillId="4" borderId="0" xfId="25" applyFont="1" applyFill="1" applyProtection="1">
      <protection locked="0"/>
    </xf>
    <xf numFmtId="0" fontId="319" fillId="4" borderId="0" xfId="26" applyFont="1" applyFill="1" applyAlignment="1" applyProtection="1">
      <alignment horizontal="left" vertical="center"/>
      <protection locked="0"/>
    </xf>
    <xf numFmtId="1" fontId="330" fillId="4" borderId="163" xfId="25" applyNumberFormat="1" applyFont="1" applyFill="1" applyBorder="1" applyAlignment="1" applyProtection="1">
      <alignment horizontal="center" vertical="center"/>
      <protection hidden="1"/>
    </xf>
    <xf numFmtId="0" fontId="95" fillId="4" borderId="0" xfId="1" applyFont="1" applyFill="1" applyAlignment="1">
      <alignment horizontal="left"/>
    </xf>
    <xf numFmtId="0" fontId="12" fillId="4" borderId="15" xfId="25" applyFont="1" applyFill="1" applyBorder="1" applyProtection="1">
      <protection locked="0"/>
    </xf>
    <xf numFmtId="0" fontId="328" fillId="4" borderId="0" xfId="25" applyFont="1" applyFill="1" applyAlignment="1" applyProtection="1">
      <alignment vertical="top"/>
      <protection hidden="1"/>
    </xf>
    <xf numFmtId="0" fontId="12" fillId="0" borderId="0" xfId="26" applyFont="1"/>
    <xf numFmtId="0" fontId="34" fillId="4" borderId="0" xfId="26" applyFont="1" applyFill="1" applyAlignment="1" applyProtection="1">
      <alignment horizontal="left" vertical="center"/>
      <protection locked="0"/>
    </xf>
    <xf numFmtId="0" fontId="34" fillId="4" borderId="0" xfId="1" applyFont="1" applyFill="1" applyAlignment="1" applyProtection="1">
      <alignment horizontal="left" vertical="center"/>
      <protection locked="0"/>
    </xf>
    <xf numFmtId="1" fontId="331" fillId="4" borderId="0" xfId="25" applyNumberFormat="1" applyFont="1" applyFill="1" applyAlignment="1" applyProtection="1">
      <alignment horizontal="center" vertical="center"/>
      <protection hidden="1"/>
    </xf>
    <xf numFmtId="0" fontId="332" fillId="4" borderId="0" xfId="1" applyFont="1" applyFill="1" applyAlignment="1" applyProtection="1">
      <alignment horizontal="center"/>
      <protection locked="0"/>
    </xf>
    <xf numFmtId="0" fontId="12" fillId="4" borderId="13" xfId="3" applyFont="1" applyFill="1" applyBorder="1" applyAlignment="1">
      <alignment horizontal="right" vertical="center"/>
    </xf>
    <xf numFmtId="0" fontId="35" fillId="4" borderId="15" xfId="15" applyFont="1" applyFill="1" applyBorder="1" applyAlignment="1" applyProtection="1">
      <alignment vertical="center"/>
      <protection locked="0"/>
    </xf>
    <xf numFmtId="0" fontId="35" fillId="4" borderId="0" xfId="15" applyFont="1" applyFill="1" applyAlignment="1" applyProtection="1">
      <alignment vertical="center"/>
      <protection locked="0"/>
    </xf>
    <xf numFmtId="0" fontId="333" fillId="4" borderId="0" xfId="1" applyFont="1" applyFill="1" applyAlignment="1" applyProtection="1">
      <alignment horizontal="center"/>
      <protection locked="0"/>
    </xf>
    <xf numFmtId="0" fontId="12" fillId="4" borderId="0" xfId="25" applyFont="1" applyFill="1" applyAlignment="1" applyProtection="1">
      <alignment horizontal="center" vertical="center"/>
      <protection hidden="1"/>
    </xf>
    <xf numFmtId="0" fontId="117" fillId="4" borderId="0" xfId="1" applyFont="1" applyFill="1" applyAlignment="1" applyProtection="1">
      <alignment horizontal="center" vertical="center"/>
      <protection locked="0"/>
    </xf>
    <xf numFmtId="0" fontId="12" fillId="4" borderId="0" xfId="25" applyFont="1" applyFill="1" applyAlignment="1" applyProtection="1">
      <alignment horizontal="left" vertical="center"/>
      <protection locked="0"/>
    </xf>
    <xf numFmtId="0" fontId="34" fillId="4" borderId="15" xfId="26" applyFont="1" applyFill="1" applyBorder="1" applyAlignment="1" applyProtection="1">
      <alignment horizontal="left" vertical="center"/>
      <protection locked="0"/>
    </xf>
    <xf numFmtId="0" fontId="35" fillId="4" borderId="0" xfId="15" applyFont="1" applyFill="1" applyAlignment="1" applyProtection="1">
      <alignment horizontal="center" vertical="center"/>
      <protection locked="0"/>
    </xf>
    <xf numFmtId="0" fontId="142" fillId="0" borderId="0" xfId="24" applyFont="1" applyAlignment="1">
      <alignment horizontal="center" vertical="center"/>
    </xf>
    <xf numFmtId="1" fontId="12" fillId="4" borderId="0" xfId="1" applyNumberFormat="1" applyFont="1" applyFill="1" applyAlignment="1" applyProtection="1">
      <alignment horizontal="center" vertical="center"/>
      <protection locked="0"/>
    </xf>
    <xf numFmtId="0" fontId="33" fillId="4" borderId="0" xfId="1" applyFont="1" applyFill="1" applyAlignment="1" applyProtection="1">
      <alignment horizontal="left" vertical="center"/>
      <protection locked="0"/>
    </xf>
    <xf numFmtId="0" fontId="334" fillId="4" borderId="0" xfId="1" applyFont="1" applyFill="1" applyAlignment="1">
      <alignment horizontal="center" vertical="center"/>
    </xf>
    <xf numFmtId="1" fontId="12" fillId="4" borderId="0" xfId="1" applyNumberFormat="1" applyFont="1" applyFill="1" applyAlignment="1" applyProtection="1">
      <alignment horizontal="center"/>
      <protection locked="0"/>
    </xf>
    <xf numFmtId="0" fontId="34" fillId="4" borderId="164" xfId="1" applyFont="1" applyFill="1" applyBorder="1" applyAlignment="1">
      <alignment horizontal="center" vertical="center"/>
    </xf>
    <xf numFmtId="1" fontId="319" fillId="4" borderId="166" xfId="1" applyNumberFormat="1" applyFont="1" applyFill="1" applyBorder="1" applyAlignment="1" applyProtection="1">
      <alignment horizontal="center" vertical="center"/>
      <protection hidden="1"/>
    </xf>
    <xf numFmtId="0" fontId="319" fillId="4" borderId="0" xfId="1" applyFont="1" applyFill="1" applyAlignment="1" applyProtection="1">
      <alignment horizontal="center" vertical="center"/>
      <protection locked="0"/>
    </xf>
    <xf numFmtId="1" fontId="319" fillId="4" borderId="167" xfId="1" applyNumberFormat="1" applyFont="1" applyFill="1" applyBorder="1" applyAlignment="1" applyProtection="1">
      <alignment horizontal="center" vertical="center"/>
      <protection hidden="1"/>
    </xf>
    <xf numFmtId="0" fontId="12" fillId="0" borderId="0" xfId="25" applyFont="1" applyProtection="1">
      <protection locked="0"/>
    </xf>
    <xf numFmtId="0" fontId="34" fillId="4" borderId="165" xfId="1" applyFont="1" applyFill="1" applyBorder="1" applyAlignment="1" applyProtection="1">
      <alignment vertical="center"/>
      <protection hidden="1"/>
    </xf>
    <xf numFmtId="0" fontId="35" fillId="44" borderId="15" xfId="15" applyFont="1" applyFill="1" applyBorder="1" applyAlignment="1" applyProtection="1">
      <alignment vertical="center"/>
      <protection locked="0"/>
    </xf>
    <xf numFmtId="0" fontId="35" fillId="44" borderId="0" xfId="15" applyFont="1" applyFill="1" applyAlignment="1" applyProtection="1">
      <alignment vertical="center"/>
      <protection locked="0"/>
    </xf>
    <xf numFmtId="165" fontId="10" fillId="44" borderId="0" xfId="1" applyNumberFormat="1" applyFont="1" applyFill="1" applyAlignment="1" applyProtection="1">
      <alignment horizontal="center" vertical="center"/>
      <protection locked="0"/>
    </xf>
    <xf numFmtId="164" fontId="9" fillId="44" borderId="0" xfId="1" applyNumberFormat="1" applyFont="1" applyFill="1" applyAlignment="1" applyProtection="1">
      <alignment horizontal="left" vertical="center"/>
      <protection locked="0"/>
    </xf>
    <xf numFmtId="0" fontId="59" fillId="65" borderId="16" xfId="1" applyFont="1" applyFill="1" applyBorder="1" applyAlignment="1" applyProtection="1">
      <alignment horizontal="center" vertical="center"/>
      <protection locked="0"/>
    </xf>
    <xf numFmtId="0" fontId="41" fillId="4" borderId="0" xfId="1" applyFont="1" applyFill="1" applyProtection="1">
      <protection locked="0"/>
    </xf>
    <xf numFmtId="0" fontId="41" fillId="4" borderId="13" xfId="1" applyFont="1" applyFill="1" applyBorder="1" applyProtection="1">
      <protection locked="0"/>
    </xf>
    <xf numFmtId="0" fontId="12" fillId="4" borderId="15" xfId="3" applyFont="1" applyFill="1" applyBorder="1"/>
    <xf numFmtId="0" fontId="12" fillId="0" borderId="67" xfId="3" applyFont="1" applyBorder="1"/>
    <xf numFmtId="0" fontId="12" fillId="0" borderId="66" xfId="3" applyFont="1" applyBorder="1"/>
    <xf numFmtId="0" fontId="62" fillId="4" borderId="87" xfId="4" applyFont="1" applyFill="1" applyBorder="1" applyAlignment="1">
      <alignment horizontal="left" vertical="center"/>
    </xf>
    <xf numFmtId="0" fontId="62" fillId="4" borderId="86" xfId="4" applyFont="1" applyFill="1" applyBorder="1" applyAlignment="1">
      <alignment horizontal="left" vertical="center"/>
    </xf>
    <xf numFmtId="0" fontId="62" fillId="4" borderId="168" xfId="4" applyFont="1" applyFill="1" applyBorder="1" applyAlignment="1">
      <alignment horizontal="left" vertical="center"/>
    </xf>
    <xf numFmtId="0" fontId="126" fillId="0" borderId="169" xfId="7" applyFont="1" applyBorder="1" applyAlignment="1">
      <alignment horizontal="center" vertical="center"/>
    </xf>
    <xf numFmtId="0" fontId="62" fillId="4" borderId="15" xfId="4" applyFont="1" applyFill="1" applyBorder="1" applyAlignment="1">
      <alignment horizontal="left" vertical="center"/>
    </xf>
    <xf numFmtId="0" fontId="126" fillId="0" borderId="170" xfId="7" applyFont="1" applyBorder="1" applyAlignment="1">
      <alignment horizontal="center" vertical="center"/>
    </xf>
    <xf numFmtId="0" fontId="62" fillId="4" borderId="34" xfId="4" applyFont="1" applyFill="1" applyBorder="1" applyAlignment="1">
      <alignment horizontal="left" vertical="center"/>
    </xf>
    <xf numFmtId="0" fontId="62" fillId="4" borderId="21" xfId="4" applyFont="1" applyFill="1" applyBorder="1" applyAlignment="1">
      <alignment horizontal="left" vertical="center"/>
    </xf>
    <xf numFmtId="0" fontId="62" fillId="4" borderId="171" xfId="4" applyFont="1" applyFill="1" applyBorder="1" applyAlignment="1">
      <alignment horizontal="left" vertical="center"/>
    </xf>
    <xf numFmtId="0" fontId="48" fillId="4" borderId="172" xfId="1" applyFont="1" applyFill="1" applyBorder="1" applyAlignment="1">
      <alignment horizontal="left" vertical="center"/>
    </xf>
    <xf numFmtId="0" fontId="18" fillId="15" borderId="14" xfId="1" applyFont="1" applyFill="1" applyBorder="1" applyAlignment="1">
      <alignment vertical="center"/>
    </xf>
    <xf numFmtId="0" fontId="18" fillId="15" borderId="0" xfId="1" applyFont="1" applyFill="1" applyAlignment="1">
      <alignment vertical="center"/>
    </xf>
    <xf numFmtId="0" fontId="14" fillId="15" borderId="173" xfId="1" applyFont="1" applyFill="1" applyBorder="1" applyAlignment="1">
      <alignment horizontal="right" vertical="center"/>
    </xf>
    <xf numFmtId="0" fontId="12" fillId="0" borderId="0" xfId="1" applyFont="1"/>
    <xf numFmtId="0" fontId="20" fillId="0" borderId="0" xfId="27"/>
    <xf numFmtId="0" fontId="35" fillId="3" borderId="0" xfId="1" applyFont="1" applyFill="1" applyAlignment="1">
      <alignment horizontal="center" vertical="center"/>
    </xf>
    <xf numFmtId="0" fontId="34" fillId="0" borderId="0" xfId="1" applyFont="1"/>
    <xf numFmtId="0" fontId="19" fillId="0" borderId="0" xfId="1" applyFont="1" applyAlignment="1">
      <alignment horizontal="center" vertical="top" textRotation="255"/>
    </xf>
    <xf numFmtId="0" fontId="343" fillId="0" borderId="16" xfId="1" applyFont="1" applyBorder="1" applyAlignment="1">
      <alignment horizontal="center" vertical="top" textRotation="255"/>
    </xf>
    <xf numFmtId="0" fontId="81" fillId="0" borderId="0" xfId="1" applyFont="1" applyAlignment="1">
      <alignment horizontal="center" vertical="top" textRotation="255"/>
    </xf>
    <xf numFmtId="0" fontId="345" fillId="0" borderId="0" xfId="1" applyFont="1" applyAlignment="1">
      <alignment horizontal="center" vertical="top" textRotation="255"/>
    </xf>
    <xf numFmtId="0" fontId="351" fillId="0" borderId="0" xfId="1" applyFont="1"/>
    <xf numFmtId="0" fontId="33" fillId="0" borderId="0" xfId="1" applyFont="1"/>
    <xf numFmtId="0" fontId="257" fillId="44" borderId="0" xfId="1" applyFont="1" applyFill="1" applyAlignment="1">
      <alignment horizontal="center" vertical="center"/>
    </xf>
    <xf numFmtId="0" fontId="352" fillId="44" borderId="0" xfId="1" applyFont="1" applyFill="1" applyAlignment="1">
      <alignment horizontal="center" vertical="center"/>
    </xf>
    <xf numFmtId="0" fontId="33" fillId="4" borderId="0" xfId="1" applyFont="1" applyFill="1"/>
    <xf numFmtId="0" fontId="353" fillId="0" borderId="0" xfId="1" applyFont="1"/>
    <xf numFmtId="0" fontId="354" fillId="0" borderId="0" xfId="1" applyFont="1"/>
    <xf numFmtId="0" fontId="75" fillId="0" borderId="0" xfId="1" applyFont="1"/>
    <xf numFmtId="0" fontId="355" fillId="0" borderId="0" xfId="1" applyFont="1"/>
    <xf numFmtId="0" fontId="356" fillId="0" borderId="0" xfId="1" applyFont="1"/>
    <xf numFmtId="0" fontId="357" fillId="0" borderId="0" xfId="1" applyFont="1"/>
    <xf numFmtId="0" fontId="358" fillId="0" borderId="0" xfId="1" applyFont="1"/>
    <xf numFmtId="0" fontId="359" fillId="0" borderId="0" xfId="1" applyFont="1"/>
    <xf numFmtId="0" fontId="42" fillId="0" borderId="0" xfId="1" applyFont="1"/>
    <xf numFmtId="0" fontId="360" fillId="0" borderId="0" xfId="1" applyFont="1"/>
    <xf numFmtId="0" fontId="361" fillId="0" borderId="0" xfId="1" applyFont="1"/>
    <xf numFmtId="0" fontId="114" fillId="0" borderId="0" xfId="1" applyFont="1"/>
    <xf numFmtId="0" fontId="20" fillId="4" borderId="0" xfId="27" applyFill="1"/>
    <xf numFmtId="0" fontId="362" fillId="4" borderId="0" xfId="1" applyFont="1" applyFill="1"/>
    <xf numFmtId="0" fontId="363" fillId="4" borderId="0" xfId="1" applyFont="1" applyFill="1"/>
    <xf numFmtId="0" fontId="55" fillId="4" borderId="0" xfId="1" applyFont="1" applyFill="1"/>
    <xf numFmtId="0" fontId="364" fillId="4" borderId="0" xfId="1" applyFont="1" applyFill="1"/>
    <xf numFmtId="0" fontId="365" fillId="0" borderId="0" xfId="1" applyFont="1"/>
    <xf numFmtId="0" fontId="17" fillId="0" borderId="0" xfId="28" applyFont="1"/>
    <xf numFmtId="0" fontId="366" fillId="0" borderId="0" xfId="28" applyFont="1"/>
    <xf numFmtId="0" fontId="17" fillId="0" borderId="0" xfId="25" applyFont="1"/>
    <xf numFmtId="0" fontId="48" fillId="0" borderId="0" xfId="25" applyFont="1" applyAlignment="1">
      <alignment horizontal="left" vertical="center"/>
    </xf>
    <xf numFmtId="0" fontId="79" fillId="0" borderId="0" xfId="25" applyFont="1" applyAlignment="1">
      <alignment horizontal="center" vertical="center"/>
    </xf>
    <xf numFmtId="0" fontId="17" fillId="95" borderId="0" xfId="28" applyFont="1" applyFill="1"/>
    <xf numFmtId="0" fontId="137" fillId="0" borderId="0" xfId="21" applyFont="1" applyAlignment="1">
      <alignment horizontal="center" vertical="center" wrapText="1"/>
    </xf>
    <xf numFmtId="0" fontId="35" fillId="6" borderId="0" xfId="21" applyFont="1" applyFill="1" applyAlignment="1">
      <alignment horizontal="left" vertical="center"/>
    </xf>
    <xf numFmtId="0" fontId="137" fillId="44" borderId="0" xfId="21" applyFont="1" applyFill="1" applyAlignment="1">
      <alignment horizontal="center" vertical="center" wrapText="1"/>
    </xf>
    <xf numFmtId="0" fontId="35" fillId="6" borderId="0" xfId="21" applyFont="1" applyFill="1" applyAlignment="1">
      <alignment horizontal="right" vertical="center"/>
    </xf>
    <xf numFmtId="0" fontId="305" fillId="6" borderId="0" xfId="21" applyFont="1" applyFill="1" applyAlignment="1">
      <alignment vertical="top"/>
    </xf>
    <xf numFmtId="0" fontId="35" fillId="0" borderId="0" xfId="21" applyFont="1" applyAlignment="1">
      <alignment horizontal="left" vertical="center"/>
    </xf>
    <xf numFmtId="0" fontId="137" fillId="4" borderId="0" xfId="21" applyFont="1" applyFill="1" applyAlignment="1">
      <alignment horizontal="center" vertical="center" wrapText="1"/>
    </xf>
    <xf numFmtId="0" fontId="305" fillId="0" borderId="0" xfId="21" applyFont="1" applyAlignment="1">
      <alignment vertical="top"/>
    </xf>
    <xf numFmtId="0" fontId="33" fillId="0" borderId="0" xfId="28" applyFont="1"/>
    <xf numFmtId="0" fontId="25" fillId="0" borderId="0" xfId="21" applyFont="1" applyAlignment="1">
      <alignment horizontal="center" vertical="center" wrapText="1"/>
    </xf>
    <xf numFmtId="0" fontId="367" fillId="0" borderId="177" xfId="21" applyFont="1" applyBorder="1" applyAlignment="1">
      <alignment vertical="center" wrapText="1"/>
    </xf>
    <xf numFmtId="0" fontId="368" fillId="0" borderId="178" xfId="21" applyFont="1" applyBorder="1" applyAlignment="1">
      <alignment vertical="center" wrapText="1"/>
    </xf>
    <xf numFmtId="0" fontId="367" fillId="0" borderId="178" xfId="21" applyFont="1" applyBorder="1" applyAlignment="1">
      <alignment vertical="center" wrapText="1"/>
    </xf>
    <xf numFmtId="0" fontId="137" fillId="15" borderId="179" xfId="25" applyFont="1" applyFill="1" applyBorder="1" applyAlignment="1">
      <alignment vertical="center"/>
    </xf>
    <xf numFmtId="0" fontId="368" fillId="44" borderId="178" xfId="21" applyFont="1" applyFill="1" applyBorder="1" applyAlignment="1">
      <alignment vertical="center" wrapText="1"/>
    </xf>
    <xf numFmtId="0" fontId="17" fillId="44" borderId="0" xfId="28" applyFont="1" applyFill="1"/>
    <xf numFmtId="0" fontId="367" fillId="0" borderId="181" xfId="21" applyFont="1" applyBorder="1" applyAlignment="1">
      <alignment vertical="center" wrapText="1"/>
    </xf>
    <xf numFmtId="0" fontId="368" fillId="0" borderId="0" xfId="21" applyFont="1" applyAlignment="1">
      <alignment vertical="center" wrapText="1"/>
    </xf>
    <xf numFmtId="0" fontId="367" fillId="0" borderId="0" xfId="21" applyFont="1" applyAlignment="1">
      <alignment vertical="center" wrapText="1"/>
    </xf>
    <xf numFmtId="0" fontId="137" fillId="0" borderId="182" xfId="25" applyFont="1" applyBorder="1" applyAlignment="1">
      <alignment vertical="center"/>
    </xf>
    <xf numFmtId="0" fontId="25" fillId="44" borderId="0" xfId="21" applyFont="1" applyFill="1" applyAlignment="1">
      <alignment horizontal="center" vertical="center" wrapText="1"/>
    </xf>
    <xf numFmtId="0" fontId="25" fillId="96" borderId="0" xfId="21" applyFont="1" applyFill="1" applyAlignment="1">
      <alignment horizontal="center" vertical="center" wrapText="1"/>
    </xf>
    <xf numFmtId="0" fontId="368" fillId="44" borderId="0" xfId="21" applyFont="1" applyFill="1" applyAlignment="1">
      <alignment vertical="center" wrapText="1"/>
    </xf>
    <xf numFmtId="0" fontId="367" fillId="0" borderId="184" xfId="21" applyFont="1" applyBorder="1" applyAlignment="1">
      <alignment vertical="center" wrapText="1"/>
    </xf>
    <xf numFmtId="0" fontId="368" fillId="0" borderId="185" xfId="21" applyFont="1" applyBorder="1" applyAlignment="1">
      <alignment vertical="center" wrapText="1"/>
    </xf>
    <xf numFmtId="0" fontId="367" fillId="0" borderId="185" xfId="21" applyFont="1" applyBorder="1" applyAlignment="1">
      <alignment vertical="center" wrapText="1"/>
    </xf>
    <xf numFmtId="0" fontId="137" fillId="15" borderId="186" xfId="25" applyFont="1" applyFill="1" applyBorder="1" applyAlignment="1">
      <alignment vertical="center"/>
    </xf>
    <xf numFmtId="0" fontId="368" fillId="44" borderId="185" xfId="21" applyFont="1" applyFill="1" applyBorder="1" applyAlignment="1">
      <alignment vertical="center" wrapText="1"/>
    </xf>
    <xf numFmtId="0" fontId="369" fillId="0" borderId="0" xfId="21" applyFont="1" applyAlignment="1">
      <alignment horizontal="center" vertical="center" wrapText="1"/>
    </xf>
    <xf numFmtId="0" fontId="17" fillId="0" borderId="0" xfId="21" applyFont="1" applyAlignment="1">
      <alignment vertical="top"/>
    </xf>
    <xf numFmtId="0" fontId="25" fillId="0" borderId="0" xfId="28" applyFont="1"/>
    <xf numFmtId="0" fontId="369" fillId="96" borderId="0" xfId="21" applyFont="1" applyFill="1" applyAlignment="1">
      <alignment horizontal="center" vertical="center" wrapText="1"/>
    </xf>
    <xf numFmtId="0" fontId="25" fillId="0" borderId="0" xfId="25" applyFont="1" applyAlignment="1">
      <alignment horizontal="center" vertical="center" wrapText="1"/>
    </xf>
    <xf numFmtId="0" fontId="17" fillId="44" borderId="0" xfId="21" applyFont="1" applyFill="1" applyAlignment="1">
      <alignment vertical="top"/>
    </xf>
    <xf numFmtId="0" fontId="25" fillId="0" borderId="0" xfId="28" applyFont="1" applyAlignment="1">
      <alignment horizontal="center" vertical="center" wrapText="1"/>
    </xf>
    <xf numFmtId="0" fontId="368" fillId="0" borderId="0" xfId="21" applyFont="1" applyAlignment="1">
      <alignment horizontal="center" vertical="center" wrapText="1"/>
    </xf>
    <xf numFmtId="0" fontId="369" fillId="44" borderId="0" xfId="21" applyFont="1" applyFill="1" applyAlignment="1">
      <alignment horizontal="center" vertical="center" wrapText="1"/>
    </xf>
    <xf numFmtId="0" fontId="369" fillId="4" borderId="0" xfId="21" applyFont="1" applyFill="1" applyAlignment="1">
      <alignment horizontal="center" vertical="center" wrapText="1"/>
    </xf>
    <xf numFmtId="0" fontId="25" fillId="4" borderId="0" xfId="21" applyFont="1" applyFill="1" applyAlignment="1">
      <alignment horizontal="center" vertical="center" wrapText="1"/>
    </xf>
    <xf numFmtId="0" fontId="17" fillId="4" borderId="0" xfId="21" applyFont="1" applyFill="1" applyAlignment="1">
      <alignment vertical="top"/>
    </xf>
    <xf numFmtId="0" fontId="368" fillId="4" borderId="0" xfId="21" applyFont="1" applyFill="1" applyAlignment="1">
      <alignment vertical="center" wrapText="1"/>
    </xf>
    <xf numFmtId="0" fontId="368" fillId="4" borderId="185" xfId="21" applyFont="1" applyFill="1" applyBorder="1" applyAlignment="1">
      <alignment vertical="center" wrapText="1"/>
    </xf>
    <xf numFmtId="0" fontId="368" fillId="4" borderId="178" xfId="21" applyFont="1" applyFill="1" applyBorder="1" applyAlignment="1">
      <alignment vertical="center" wrapText="1"/>
    </xf>
    <xf numFmtId="0" fontId="367" fillId="44" borderId="181" xfId="21" applyFont="1" applyFill="1" applyBorder="1" applyAlignment="1">
      <alignment vertical="center" wrapText="1"/>
    </xf>
    <xf numFmtId="0" fontId="367" fillId="44" borderId="0" xfId="21" applyFont="1" applyFill="1" applyAlignment="1">
      <alignment vertical="center" wrapText="1"/>
    </xf>
    <xf numFmtId="0" fontId="137" fillId="44" borderId="182" xfId="25" applyFont="1" applyFill="1" applyBorder="1" applyAlignment="1">
      <alignment vertical="center"/>
    </xf>
    <xf numFmtId="0" fontId="17" fillId="0" borderId="0" xfId="21" applyFont="1" applyAlignment="1">
      <alignment horizontal="left" vertical="center"/>
    </xf>
    <xf numFmtId="0" fontId="371" fillId="4" borderId="0" xfId="21" applyFont="1" applyFill="1" applyAlignment="1">
      <alignment horizontal="center" vertical="center" wrapText="1"/>
    </xf>
    <xf numFmtId="0" fontId="17" fillId="0" borderId="0" xfId="21" applyFont="1" applyAlignment="1">
      <alignment horizontal="right" vertical="center"/>
    </xf>
    <xf numFmtId="0" fontId="371" fillId="44" borderId="0" xfId="21" applyFont="1" applyFill="1" applyAlignment="1">
      <alignment horizontal="center" vertical="center" wrapText="1"/>
    </xf>
    <xf numFmtId="0" fontId="366" fillId="4" borderId="0" xfId="21" applyFont="1" applyFill="1" applyAlignment="1">
      <alignment vertical="top"/>
    </xf>
    <xf numFmtId="0" fontId="25" fillId="0" borderId="0" xfId="25" applyFont="1" applyAlignment="1">
      <alignment horizontal="center" vertical="center"/>
    </xf>
    <xf numFmtId="0" fontId="25" fillId="0" borderId="0" xfId="28" applyFont="1" applyAlignment="1">
      <alignment horizontal="center" vertical="center"/>
    </xf>
    <xf numFmtId="0" fontId="371" fillId="0" borderId="0" xfId="21" applyFont="1" applyAlignment="1">
      <alignment horizontal="center" vertical="center" wrapText="1"/>
    </xf>
    <xf numFmtId="0" fontId="372" fillId="96" borderId="0" xfId="21" applyFont="1" applyFill="1" applyAlignment="1">
      <alignment horizontal="center" vertical="center" wrapText="1"/>
    </xf>
    <xf numFmtId="0" fontId="366" fillId="44" borderId="0" xfId="21" applyFont="1" applyFill="1" applyAlignment="1">
      <alignment vertical="top"/>
    </xf>
    <xf numFmtId="0" fontId="366" fillId="0" borderId="0" xfId="21" applyFont="1" applyAlignment="1">
      <alignment vertical="top"/>
    </xf>
    <xf numFmtId="0" fontId="368" fillId="4" borderId="0" xfId="21" applyFont="1" applyFill="1" applyAlignment="1">
      <alignment horizontal="center" vertical="center" wrapText="1"/>
    </xf>
    <xf numFmtId="0" fontId="371" fillId="96" borderId="0" xfId="21" applyFont="1" applyFill="1" applyAlignment="1">
      <alignment horizontal="center" vertical="center" wrapText="1"/>
    </xf>
    <xf numFmtId="0" fontId="367" fillId="4" borderId="181" xfId="21" applyFont="1" applyFill="1" applyBorder="1" applyAlignment="1">
      <alignment vertical="center" wrapText="1"/>
    </xf>
    <xf numFmtId="0" fontId="367" fillId="4" borderId="0" xfId="21" applyFont="1" applyFill="1" applyAlignment="1">
      <alignment vertical="center" wrapText="1"/>
    </xf>
    <xf numFmtId="0" fontId="137" fillId="4" borderId="182" xfId="25" applyFont="1" applyFill="1" applyBorder="1" applyAlignment="1">
      <alignment vertical="center"/>
    </xf>
    <xf numFmtId="0" fontId="366" fillId="96" borderId="0" xfId="21" applyFont="1" applyFill="1" applyAlignment="1">
      <alignment vertical="top"/>
    </xf>
    <xf numFmtId="0" fontId="17" fillId="96" borderId="0" xfId="21" applyFont="1" applyFill="1" applyAlignment="1">
      <alignment vertical="top"/>
    </xf>
    <xf numFmtId="0" fontId="368" fillId="96" borderId="178" xfId="21" applyFont="1" applyFill="1" applyBorder="1" applyAlignment="1">
      <alignment vertical="center" wrapText="1"/>
    </xf>
    <xf numFmtId="0" fontId="368" fillId="96" borderId="0" xfId="21" applyFont="1" applyFill="1" applyAlignment="1">
      <alignment vertical="center" wrapText="1"/>
    </xf>
    <xf numFmtId="0" fontId="367" fillId="96" borderId="0" xfId="21" applyFont="1" applyFill="1" applyAlignment="1">
      <alignment vertical="center" wrapText="1"/>
    </xf>
    <xf numFmtId="0" fontId="137" fillId="96" borderId="182" xfId="25" applyFont="1" applyFill="1" applyBorder="1" applyAlignment="1">
      <alignment vertical="center"/>
    </xf>
    <xf numFmtId="0" fontId="137" fillId="96" borderId="0" xfId="21" applyFont="1" applyFill="1" applyAlignment="1">
      <alignment horizontal="center" vertical="center" wrapText="1"/>
    </xf>
    <xf numFmtId="0" fontId="367" fillId="44" borderId="182" xfId="21" applyFont="1" applyFill="1" applyBorder="1" applyAlignment="1">
      <alignment vertical="center" wrapText="1"/>
    </xf>
    <xf numFmtId="0" fontId="17" fillId="4" borderId="0" xfId="21" applyFont="1" applyFill="1" applyAlignment="1">
      <alignment horizontal="right" vertical="center"/>
    </xf>
    <xf numFmtId="0" fontId="366" fillId="4" borderId="0" xfId="21" applyFont="1" applyFill="1" applyAlignment="1">
      <alignment horizontal="right" vertical="center"/>
    </xf>
    <xf numFmtId="0" fontId="17" fillId="44" borderId="0" xfId="21" applyFont="1" applyFill="1" applyAlignment="1">
      <alignment horizontal="right" vertical="center"/>
    </xf>
    <xf numFmtId="0" fontId="17" fillId="4" borderId="0" xfId="28" applyFont="1" applyFill="1"/>
    <xf numFmtId="0" fontId="33" fillId="4" borderId="0" xfId="28" applyFont="1" applyFill="1"/>
    <xf numFmtId="0" fontId="12" fillId="0" borderId="0" xfId="1" applyFont="1" applyAlignment="1">
      <alignment vertical="center"/>
    </xf>
    <xf numFmtId="0" fontId="376" fillId="0" borderId="0" xfId="1" applyFont="1" applyAlignment="1">
      <alignment vertical="center" wrapText="1"/>
    </xf>
    <xf numFmtId="0" fontId="12" fillId="101" borderId="0" xfId="25" applyFont="1" applyFill="1" applyAlignment="1">
      <alignment vertical="center"/>
    </xf>
    <xf numFmtId="0" fontId="9" fillId="101" borderId="0" xfId="25" applyFont="1" applyFill="1"/>
    <xf numFmtId="0" fontId="12" fillId="4" borderId="62" xfId="1" applyFont="1" applyFill="1" applyBorder="1" applyAlignment="1">
      <alignment vertical="center"/>
    </xf>
    <xf numFmtId="0" fontId="12" fillId="4" borderId="61" xfId="1" applyFont="1" applyFill="1" applyBorder="1" applyAlignment="1">
      <alignment vertical="center"/>
    </xf>
    <xf numFmtId="0" fontId="12" fillId="4" borderId="61" xfId="1" applyFont="1" applyFill="1" applyBorder="1"/>
    <xf numFmtId="0" fontId="12" fillId="4" borderId="61" xfId="5" applyFont="1" applyFill="1" applyBorder="1" applyAlignment="1">
      <alignment horizontal="left" vertical="center"/>
    </xf>
    <xf numFmtId="0" fontId="305" fillId="4" borderId="61" xfId="5" applyFont="1" applyFill="1" applyBorder="1" applyAlignment="1">
      <alignment horizontal="left" vertical="center"/>
    </xf>
    <xf numFmtId="0" fontId="12" fillId="4" borderId="60" xfId="1" applyFont="1" applyFill="1" applyBorder="1" applyAlignment="1">
      <alignment vertical="center"/>
    </xf>
    <xf numFmtId="0" fontId="33" fillId="0" borderId="0" xfId="1" applyFont="1" applyAlignment="1">
      <alignment vertical="center"/>
    </xf>
    <xf numFmtId="0" fontId="48" fillId="17" borderId="0" xfId="25" applyFont="1" applyFill="1" applyAlignment="1">
      <alignment vertical="center"/>
    </xf>
    <xf numFmtId="0" fontId="48" fillId="17" borderId="0" xfId="25" applyFont="1" applyFill="1"/>
    <xf numFmtId="0" fontId="9" fillId="17" borderId="0" xfId="25" applyFont="1" applyFill="1" applyAlignment="1">
      <alignment vertical="center"/>
    </xf>
    <xf numFmtId="0" fontId="379" fillId="4" borderId="0" xfId="1" applyFont="1" applyFill="1" applyAlignment="1">
      <alignment horizontal="center" vertical="center"/>
    </xf>
    <xf numFmtId="169" fontId="365" fillId="21" borderId="0" xfId="1" applyNumberFormat="1" applyFont="1" applyFill="1" applyAlignment="1">
      <alignment horizontal="center" vertical="center"/>
    </xf>
    <xf numFmtId="169" fontId="380" fillId="4" borderId="0" xfId="15" applyNumberFormat="1" applyFont="1" applyFill="1" applyAlignment="1">
      <alignment horizontal="center" vertical="center"/>
    </xf>
    <xf numFmtId="165" fontId="381" fillId="4" borderId="0" xfId="27" applyNumberFormat="1" applyFont="1" applyFill="1" applyAlignment="1">
      <alignment horizontal="left" vertical="center" wrapText="1"/>
    </xf>
    <xf numFmtId="165" fontId="381" fillId="4" borderId="0" xfId="27" applyNumberFormat="1" applyFont="1" applyFill="1" applyAlignment="1">
      <alignment horizontal="left" vertical="center"/>
    </xf>
    <xf numFmtId="0" fontId="380" fillId="4" borderId="0" xfId="27" applyFont="1" applyFill="1" applyAlignment="1" applyProtection="1">
      <alignment horizontal="center" vertical="center"/>
      <protection locked="0"/>
    </xf>
    <xf numFmtId="0" fontId="193" fillId="4" borderId="0" xfId="27" applyFont="1" applyFill="1"/>
    <xf numFmtId="169" fontId="17" fillId="15" borderId="0" xfId="1" applyNumberFormat="1" applyFont="1" applyFill="1" applyAlignment="1">
      <alignment horizontal="center" vertical="top"/>
    </xf>
    <xf numFmtId="164" fontId="382" fillId="26" borderId="32" xfId="1" applyNumberFormat="1" applyFont="1" applyFill="1" applyBorder="1" applyAlignment="1">
      <alignment horizontal="left" vertical="center"/>
    </xf>
    <xf numFmtId="164" fontId="382" fillId="26" borderId="30" xfId="1" applyNumberFormat="1" applyFont="1" applyFill="1" applyBorder="1" applyAlignment="1">
      <alignment horizontal="left" vertical="center"/>
    </xf>
    <xf numFmtId="0" fontId="383" fillId="17" borderId="13" xfId="1" applyFont="1" applyFill="1" applyBorder="1" applyAlignment="1" applyProtection="1">
      <alignment horizontal="center" vertical="center"/>
      <protection hidden="1"/>
    </xf>
    <xf numFmtId="10" fontId="91" fillId="32" borderId="192" xfId="1" applyNumberFormat="1" applyFont="1" applyFill="1" applyBorder="1" applyAlignment="1">
      <alignment horizontal="center" vertical="center"/>
    </xf>
    <xf numFmtId="169" fontId="41" fillId="32" borderId="31" xfId="1" applyNumberFormat="1" applyFont="1" applyFill="1" applyBorder="1" applyAlignment="1">
      <alignment horizontal="center" vertical="center"/>
    </xf>
    <xf numFmtId="0" fontId="9" fillId="32" borderId="30" xfId="1" applyFont="1" applyFill="1" applyBorder="1" applyAlignment="1">
      <alignment horizontal="center" vertical="center"/>
    </xf>
    <xf numFmtId="169" fontId="12" fillId="29" borderId="31" xfId="1" applyNumberFormat="1" applyFont="1" applyFill="1" applyBorder="1" applyAlignment="1">
      <alignment horizontal="center" vertical="center"/>
    </xf>
    <xf numFmtId="169" fontId="57" fillId="46" borderId="28" xfId="15" applyNumberFormat="1" applyFont="1" applyFill="1" applyBorder="1" applyAlignment="1">
      <alignment horizontal="center" vertical="center"/>
    </xf>
    <xf numFmtId="165" fontId="384" fillId="46" borderId="28" xfId="27" applyNumberFormat="1" applyFont="1" applyFill="1" applyBorder="1" applyAlignment="1">
      <alignment horizontal="left" vertical="center" wrapText="1"/>
    </xf>
    <xf numFmtId="0" fontId="57" fillId="46" borderId="28" xfId="27" applyFont="1" applyFill="1" applyBorder="1" applyAlignment="1" applyProtection="1">
      <alignment horizontal="center" vertical="center"/>
      <protection locked="0"/>
    </xf>
    <xf numFmtId="10" fontId="91" fillId="38" borderId="192" xfId="1" applyNumberFormat="1" applyFont="1" applyFill="1" applyBorder="1" applyAlignment="1">
      <alignment horizontal="center" vertical="center"/>
    </xf>
    <xf numFmtId="169" fontId="41" fillId="38" borderId="31" xfId="1" applyNumberFormat="1" applyFont="1" applyFill="1" applyBorder="1" applyAlignment="1">
      <alignment horizontal="center" vertical="center"/>
    </xf>
    <xf numFmtId="0" fontId="9" fillId="38" borderId="30" xfId="1" applyFont="1" applyFill="1" applyBorder="1" applyAlignment="1">
      <alignment horizontal="center" vertical="center"/>
    </xf>
    <xf numFmtId="169" fontId="12" fillId="26" borderId="31" xfId="1" applyNumberFormat="1" applyFont="1" applyFill="1" applyBorder="1" applyAlignment="1">
      <alignment horizontal="center" vertical="center"/>
    </xf>
    <xf numFmtId="164" fontId="383" fillId="34" borderId="31" xfId="1" applyNumberFormat="1" applyFont="1" applyFill="1" applyBorder="1" applyAlignment="1">
      <alignment horizontal="center" vertical="center"/>
    </xf>
    <xf numFmtId="10" fontId="91" fillId="59" borderId="192" xfId="5" applyNumberFormat="1" applyFont="1" applyFill="1" applyBorder="1" applyAlignment="1">
      <alignment horizontal="center" vertical="center"/>
    </xf>
    <xf numFmtId="0" fontId="38" fillId="75" borderId="0" xfId="1" applyFont="1" applyFill="1" applyAlignment="1">
      <alignment horizontal="center" vertical="center"/>
    </xf>
    <xf numFmtId="169" fontId="36" fillId="27" borderId="31" xfId="1" applyNumberFormat="1" applyFont="1" applyFill="1" applyBorder="1" applyAlignment="1">
      <alignment horizontal="left" vertical="center"/>
    </xf>
    <xf numFmtId="165" fontId="58" fillId="15" borderId="21" xfId="27" applyNumberFormat="1" applyFont="1" applyFill="1" applyBorder="1" applyAlignment="1">
      <alignment horizontal="left" vertical="center" wrapText="1"/>
    </xf>
    <xf numFmtId="0" fontId="382" fillId="102" borderId="0" xfId="1" applyFont="1" applyFill="1" applyAlignment="1">
      <alignment horizontal="center" vertical="center"/>
    </xf>
    <xf numFmtId="0" fontId="151" fillId="65" borderId="0" xfId="1" applyFont="1" applyFill="1" applyAlignment="1" applyProtection="1">
      <alignment horizontal="right" vertical="center" wrapText="1"/>
      <protection hidden="1"/>
    </xf>
    <xf numFmtId="0" fontId="33" fillId="74" borderId="0" xfId="1" applyFont="1" applyFill="1" applyAlignment="1" applyProtection="1">
      <alignment horizontal="center" vertical="center" wrapText="1"/>
      <protection hidden="1"/>
    </xf>
    <xf numFmtId="0" fontId="33" fillId="74" borderId="0" xfId="1" applyFont="1" applyFill="1" applyAlignment="1" applyProtection="1">
      <alignment horizontal="center" wrapText="1"/>
      <protection hidden="1"/>
    </xf>
    <xf numFmtId="0" fontId="33" fillId="74" borderId="13" xfId="1" applyFont="1" applyFill="1" applyBorder="1" applyAlignment="1" applyProtection="1">
      <alignment horizontal="center"/>
      <protection hidden="1"/>
    </xf>
    <xf numFmtId="165" fontId="33" fillId="12" borderId="14" xfId="1" applyNumberFormat="1" applyFont="1" applyFill="1" applyBorder="1" applyAlignment="1">
      <alignment horizontal="center" vertical="center"/>
    </xf>
    <xf numFmtId="0" fontId="385" fillId="17" borderId="173" xfId="1" applyFont="1" applyFill="1" applyBorder="1" applyAlignment="1" applyProtection="1">
      <alignment horizontal="center" vertical="center"/>
      <protection hidden="1"/>
    </xf>
    <xf numFmtId="0" fontId="33" fillId="74" borderId="0" xfId="1" applyFont="1" applyFill="1" applyAlignment="1" applyProtection="1">
      <alignment horizontal="center" vertical="center"/>
      <protection hidden="1"/>
    </xf>
    <xf numFmtId="169" fontId="365" fillId="26" borderId="0" xfId="1" applyNumberFormat="1" applyFont="1" applyFill="1" applyAlignment="1">
      <alignment horizontal="center" vertical="center"/>
    </xf>
    <xf numFmtId="169" fontId="380" fillId="46" borderId="0" xfId="15" applyNumberFormat="1" applyFont="1" applyFill="1" applyAlignment="1">
      <alignment horizontal="center" vertical="center"/>
    </xf>
    <xf numFmtId="169" fontId="18" fillId="15" borderId="0" xfId="15" applyNumberFormat="1" applyFont="1" applyFill="1" applyAlignment="1">
      <alignment horizontal="center" vertical="center"/>
    </xf>
    <xf numFmtId="0" fontId="103" fillId="15" borderId="0" xfId="27" applyFont="1" applyFill="1" applyAlignment="1">
      <alignment horizontal="center"/>
    </xf>
    <xf numFmtId="0" fontId="18" fillId="15" borderId="0" xfId="1" applyFont="1" applyFill="1" applyAlignment="1" applyProtection="1">
      <alignment horizontal="center" vertical="center"/>
      <protection hidden="1"/>
    </xf>
    <xf numFmtId="0" fontId="18" fillId="15" borderId="16" xfId="1" applyFont="1" applyFill="1" applyBorder="1" applyAlignment="1" applyProtection="1">
      <alignment vertical="center"/>
      <protection hidden="1"/>
    </xf>
    <xf numFmtId="0" fontId="20" fillId="4" borderId="9" xfId="27" applyFill="1" applyBorder="1"/>
    <xf numFmtId="0" fontId="33" fillId="32" borderId="30" xfId="1" applyFont="1" applyFill="1" applyBorder="1" applyAlignment="1">
      <alignment horizontal="center" vertical="center"/>
    </xf>
    <xf numFmtId="0" fontId="388" fillId="46" borderId="28" xfId="27" applyFont="1" applyFill="1" applyBorder="1" applyAlignment="1" applyProtection="1">
      <alignment horizontal="center" vertical="center"/>
      <protection locked="0"/>
    </xf>
    <xf numFmtId="0" fontId="194" fillId="32" borderId="30" xfId="1" applyFont="1" applyFill="1" applyBorder="1" applyAlignment="1">
      <alignment horizontal="left" vertical="center"/>
    </xf>
    <xf numFmtId="0" fontId="21" fillId="32" borderId="30" xfId="1" applyFont="1" applyFill="1" applyBorder="1" applyAlignment="1">
      <alignment horizontal="center" vertical="center"/>
    </xf>
    <xf numFmtId="0" fontId="182" fillId="75" borderId="0" xfId="1" applyFont="1" applyFill="1" applyAlignment="1">
      <alignment vertical="center"/>
    </xf>
    <xf numFmtId="1" fontId="386" fillId="4" borderId="0" xfId="27" applyNumberFormat="1" applyFont="1" applyFill="1" applyAlignment="1">
      <alignment horizontal="center" vertical="center"/>
    </xf>
    <xf numFmtId="0" fontId="18" fillId="74" borderId="0" xfId="1" applyFont="1" applyFill="1" applyProtection="1">
      <protection hidden="1"/>
    </xf>
    <xf numFmtId="169" fontId="21" fillId="21" borderId="0" xfId="1" applyNumberFormat="1" applyFont="1" applyFill="1" applyAlignment="1">
      <alignment horizontal="center" vertical="center"/>
    </xf>
    <xf numFmtId="171" fontId="389" fillId="21" borderId="0" xfId="1" applyNumberFormat="1" applyFont="1" applyFill="1" applyAlignment="1" applyProtection="1">
      <alignment horizontal="center" vertical="center"/>
      <protection locked="0"/>
    </xf>
    <xf numFmtId="1" fontId="33" fillId="38" borderId="0" xfId="1" applyNumberFormat="1" applyFont="1" applyFill="1" applyAlignment="1">
      <alignment horizontal="center" vertical="center"/>
    </xf>
    <xf numFmtId="169" fontId="157" fillId="26" borderId="31" xfId="1" applyNumberFormat="1" applyFont="1" applyFill="1" applyBorder="1" applyAlignment="1">
      <alignment horizontal="left" vertical="center"/>
    </xf>
    <xf numFmtId="170" fontId="18" fillId="38" borderId="0" xfId="1" applyNumberFormat="1" applyFont="1" applyFill="1" applyAlignment="1">
      <alignment horizontal="center" vertical="center"/>
    </xf>
    <xf numFmtId="171" fontId="389" fillId="33" borderId="0" xfId="1" applyNumberFormat="1" applyFont="1" applyFill="1" applyAlignment="1" applyProtection="1">
      <alignment horizontal="center" vertical="center"/>
      <protection locked="0"/>
    </xf>
    <xf numFmtId="169" fontId="41" fillId="27" borderId="0" xfId="1" applyNumberFormat="1" applyFont="1" applyFill="1" applyAlignment="1">
      <alignment horizontal="left" vertical="center"/>
    </xf>
    <xf numFmtId="0" fontId="182" fillId="103" borderId="0" xfId="1" applyFont="1" applyFill="1" applyAlignment="1">
      <alignment horizontal="center" vertical="center"/>
    </xf>
    <xf numFmtId="0" fontId="18" fillId="74" borderId="0" xfId="1" applyFont="1" applyFill="1" applyAlignment="1" applyProtection="1">
      <alignment horizontal="center"/>
      <protection hidden="1"/>
    </xf>
    <xf numFmtId="0" fontId="20" fillId="0" borderId="189" xfId="27" applyBorder="1"/>
    <xf numFmtId="0" fontId="20" fillId="0" borderId="140" xfId="27" applyBorder="1"/>
    <xf numFmtId="0" fontId="390" fillId="46" borderId="28" xfId="27" applyFont="1" applyFill="1" applyBorder="1" applyAlignment="1" applyProtection="1">
      <alignment horizontal="center" vertical="center"/>
      <protection locked="0"/>
    </xf>
    <xf numFmtId="0" fontId="382" fillId="15" borderId="0" xfId="1" applyFont="1" applyFill="1" applyAlignment="1">
      <alignment horizontal="center" vertical="center"/>
    </xf>
    <xf numFmtId="169" fontId="160" fillId="26" borderId="31" xfId="1" applyNumberFormat="1" applyFont="1" applyFill="1" applyBorder="1" applyAlignment="1">
      <alignment horizontal="center" vertical="center"/>
    </xf>
    <xf numFmtId="0" fontId="379" fillId="4" borderId="0" xfId="1" applyFont="1" applyFill="1" applyAlignment="1">
      <alignment vertical="center"/>
    </xf>
    <xf numFmtId="0" fontId="182" fillId="19" borderId="0" xfId="1" applyFont="1" applyFill="1" applyAlignment="1">
      <alignment horizontal="center" vertical="center"/>
    </xf>
    <xf numFmtId="0" fontId="182" fillId="19" borderId="0" xfId="1" quotePrefix="1" applyFont="1" applyFill="1" applyAlignment="1">
      <alignment horizontal="left" vertical="center"/>
    </xf>
    <xf numFmtId="0" fontId="182" fillId="19" borderId="0" xfId="1" applyFont="1" applyFill="1" applyAlignment="1">
      <alignment horizontal="left" vertical="center"/>
    </xf>
    <xf numFmtId="0" fontId="391" fillId="10" borderId="13" xfId="5" applyFont="1" applyFill="1" applyBorder="1" applyAlignment="1">
      <alignment horizontal="center" vertical="center"/>
    </xf>
    <xf numFmtId="0" fontId="392" fillId="4" borderId="0" xfId="1" applyFont="1" applyFill="1" applyAlignment="1">
      <alignment vertical="center"/>
    </xf>
    <xf numFmtId="0" fontId="393" fillId="4" borderId="0" xfId="27" applyFont="1" applyFill="1"/>
    <xf numFmtId="0" fontId="394" fillId="4" borderId="87" xfId="27" applyFont="1" applyFill="1" applyBorder="1" applyAlignment="1">
      <alignment horizontal="left" vertical="center"/>
    </xf>
    <xf numFmtId="0" fontId="395" fillId="4" borderId="86" xfId="27" applyFont="1" applyFill="1" applyBorder="1"/>
    <xf numFmtId="0" fontId="394" fillId="4" borderId="86" xfId="27" applyFont="1" applyFill="1" applyBorder="1" applyAlignment="1">
      <alignment horizontal="left" vertical="center"/>
    </xf>
    <xf numFmtId="0" fontId="394" fillId="4" borderId="168" xfId="27" applyFont="1" applyFill="1" applyBorder="1" applyAlignment="1">
      <alignment horizontal="left" vertical="center"/>
    </xf>
    <xf numFmtId="0" fontId="335" fillId="0" borderId="169" xfId="7" applyFont="1" applyBorder="1" applyAlignment="1">
      <alignment horizontal="center" vertical="center"/>
    </xf>
    <xf numFmtId="0" fontId="14" fillId="4" borderId="86" xfId="1" applyFont="1" applyFill="1" applyBorder="1" applyAlignment="1" applyProtection="1">
      <alignment horizontal="right" vertical="center"/>
      <protection hidden="1"/>
    </xf>
    <xf numFmtId="164" fontId="33" fillId="26" borderId="200" xfId="1" applyNumberFormat="1" applyFont="1" applyFill="1" applyBorder="1" applyAlignment="1">
      <alignment horizontal="center" vertical="center"/>
    </xf>
    <xf numFmtId="0" fontId="33" fillId="26" borderId="201" xfId="1" applyFont="1" applyFill="1" applyBorder="1" applyAlignment="1">
      <alignment horizontal="center" vertical="center"/>
    </xf>
    <xf numFmtId="169" fontId="33" fillId="26" borderId="202" xfId="1" applyNumberFormat="1" applyFont="1" applyFill="1" applyBorder="1" applyAlignment="1">
      <alignment horizontal="center" vertical="center"/>
    </xf>
    <xf numFmtId="169" fontId="33" fillId="26" borderId="200" xfId="1" applyNumberFormat="1" applyFont="1" applyFill="1" applyBorder="1" applyAlignment="1">
      <alignment horizontal="center" vertical="center"/>
    </xf>
    <xf numFmtId="0" fontId="41" fillId="26" borderId="201" xfId="1" applyFont="1" applyFill="1" applyBorder="1" applyAlignment="1">
      <alignment horizontal="left" vertical="center"/>
    </xf>
    <xf numFmtId="0" fontId="33" fillId="26" borderId="202" xfId="1" applyFont="1" applyFill="1" applyBorder="1" applyAlignment="1">
      <alignment horizontal="center" vertical="center"/>
    </xf>
    <xf numFmtId="0" fontId="85" fillId="0" borderId="86" xfId="4" applyFont="1" applyBorder="1" applyAlignment="1">
      <alignment horizontal="left" vertical="center"/>
    </xf>
    <xf numFmtId="170" fontId="17" fillId="26" borderId="200" xfId="1" applyNumberFormat="1" applyFont="1" applyFill="1" applyBorder="1" applyAlignment="1">
      <alignment horizontal="center" vertical="center"/>
    </xf>
    <xf numFmtId="170" fontId="17" fillId="26" borderId="201" xfId="1" applyNumberFormat="1" applyFont="1" applyFill="1" applyBorder="1" applyAlignment="1">
      <alignment horizontal="center" vertical="center"/>
    </xf>
    <xf numFmtId="170" fontId="17" fillId="26" borderId="203" xfId="1" applyNumberFormat="1" applyFont="1" applyFill="1" applyBorder="1" applyAlignment="1">
      <alignment horizontal="center" vertical="center"/>
    </xf>
    <xf numFmtId="170" fontId="17" fillId="26" borderId="204" xfId="1" applyNumberFormat="1" applyFont="1" applyFill="1" applyBorder="1" applyAlignment="1">
      <alignment horizontal="center" vertical="center"/>
    </xf>
    <xf numFmtId="170" fontId="17" fillId="26" borderId="202" xfId="1" applyNumberFormat="1" applyFont="1" applyFill="1" applyBorder="1" applyAlignment="1">
      <alignment horizontal="center" vertical="center"/>
    </xf>
    <xf numFmtId="169" fontId="12" fillId="26" borderId="86" xfId="1" applyNumberFormat="1" applyFont="1" applyFill="1" applyBorder="1" applyAlignment="1">
      <alignment horizontal="center" vertical="center"/>
    </xf>
    <xf numFmtId="169" fontId="33" fillId="26" borderId="203" xfId="1" applyNumberFormat="1" applyFont="1" applyFill="1" applyBorder="1" applyAlignment="1">
      <alignment horizontal="center" vertical="center"/>
    </xf>
    <xf numFmtId="169" fontId="57" fillId="46" borderId="205" xfId="6" applyNumberFormat="1" applyFont="1" applyFill="1" applyBorder="1" applyAlignment="1">
      <alignment horizontal="center" vertical="center"/>
    </xf>
    <xf numFmtId="165" fontId="58" fillId="46" borderId="205" xfId="4" applyNumberFormat="1" applyFont="1" applyFill="1" applyBorder="1" applyAlignment="1">
      <alignment horizontal="left" vertical="center" wrapText="1"/>
    </xf>
    <xf numFmtId="0" fontId="57" fillId="46" borderId="205" xfId="4" applyFont="1" applyFill="1" applyBorder="1" applyAlignment="1" applyProtection="1">
      <alignment horizontal="center" vertical="center"/>
      <protection locked="0"/>
    </xf>
    <xf numFmtId="0" fontId="394" fillId="4" borderId="15" xfId="27" applyFont="1" applyFill="1" applyBorder="1" applyAlignment="1">
      <alignment horizontal="left" vertical="center"/>
    </xf>
    <xf numFmtId="0" fontId="394" fillId="4" borderId="0" xfId="27" applyFont="1" applyFill="1" applyAlignment="1">
      <alignment horizontal="left" vertical="center"/>
    </xf>
    <xf numFmtId="0" fontId="394" fillId="4" borderId="49" xfId="27" applyFont="1" applyFill="1" applyBorder="1" applyAlignment="1">
      <alignment horizontal="left" vertical="center"/>
    </xf>
    <xf numFmtId="0" fontId="335" fillId="0" borderId="170" xfId="7" applyFont="1" applyBorder="1" applyAlignment="1">
      <alignment horizontal="center" vertical="center"/>
    </xf>
    <xf numFmtId="164" fontId="33" fillId="45" borderId="32" xfId="1" applyNumberFormat="1" applyFont="1" applyFill="1" applyBorder="1" applyAlignment="1">
      <alignment horizontal="center" vertical="center"/>
    </xf>
    <xf numFmtId="169" fontId="33" fillId="45" borderId="30" xfId="1" applyNumberFormat="1" applyFont="1" applyFill="1" applyBorder="1" applyAlignment="1">
      <alignment horizontal="center" vertical="center"/>
    </xf>
    <xf numFmtId="0" fontId="38" fillId="105" borderId="0" xfId="1" applyFont="1" applyFill="1" applyAlignment="1">
      <alignment horizontal="center" vertical="center"/>
    </xf>
    <xf numFmtId="174" fontId="9" fillId="6" borderId="0" xfId="3" applyNumberFormat="1" applyFont="1" applyFill="1" applyAlignment="1">
      <alignment horizontal="center" vertical="center"/>
    </xf>
    <xf numFmtId="174" fontId="9" fillId="6" borderId="153" xfId="3" applyNumberFormat="1" applyFont="1" applyFill="1" applyBorder="1" applyAlignment="1">
      <alignment horizontal="center" vertical="center"/>
    </xf>
    <xf numFmtId="0" fontId="66" fillId="4" borderId="13" xfId="7" applyFont="1" applyFill="1" applyBorder="1" applyAlignment="1">
      <alignment horizontal="center" vertical="center"/>
    </xf>
    <xf numFmtId="164" fontId="33" fillId="29" borderId="32" xfId="1" applyNumberFormat="1" applyFont="1" applyFill="1" applyBorder="1" applyAlignment="1">
      <alignment horizontal="center" vertical="center"/>
    </xf>
    <xf numFmtId="0" fontId="64" fillId="17" borderId="13" xfId="1" applyFont="1" applyFill="1" applyBorder="1" applyAlignment="1" applyProtection="1">
      <alignment horizontal="center" vertical="center"/>
      <protection hidden="1"/>
    </xf>
    <xf numFmtId="0" fontId="85" fillId="4" borderId="0" xfId="4" applyFont="1" applyFill="1" applyAlignment="1">
      <alignment horizontal="left" vertical="center"/>
    </xf>
    <xf numFmtId="0" fontId="33" fillId="31" borderId="16" xfId="1" applyFont="1" applyFill="1" applyBorder="1" applyAlignment="1">
      <alignment horizontal="center" vertical="center"/>
    </xf>
    <xf numFmtId="165" fontId="58" fillId="46" borderId="28" xfId="22" applyNumberFormat="1" applyFont="1" applyFill="1" applyBorder="1" applyAlignment="1">
      <alignment horizontal="left" vertical="center" wrapText="1"/>
    </xf>
    <xf numFmtId="0" fontId="57" fillId="46" borderId="28" xfId="22" applyFont="1" applyFill="1" applyBorder="1" applyAlignment="1" applyProtection="1">
      <alignment horizontal="center" vertical="center"/>
      <protection locked="0"/>
    </xf>
    <xf numFmtId="166" fontId="40" fillId="16" borderId="15" xfId="1" applyNumberFormat="1" applyFont="1" applyFill="1" applyBorder="1" applyAlignment="1">
      <alignment horizontal="center" vertical="center"/>
    </xf>
    <xf numFmtId="170" fontId="33" fillId="63" borderId="153" xfId="1" applyNumberFormat="1" applyFont="1" applyFill="1" applyBorder="1" applyAlignment="1">
      <alignment horizontal="center" vertical="center"/>
    </xf>
    <xf numFmtId="0" fontId="20" fillId="0" borderId="13" xfId="4" applyBorder="1"/>
    <xf numFmtId="164" fontId="33" fillId="26" borderId="32" xfId="1" applyNumberFormat="1" applyFont="1" applyFill="1" applyBorder="1" applyAlignment="1">
      <alignment horizontal="center" vertical="center"/>
    </xf>
    <xf numFmtId="0" fontId="33" fillId="37" borderId="16" xfId="1" applyFont="1" applyFill="1" applyBorder="1" applyAlignment="1">
      <alignment horizontal="center" vertical="center"/>
    </xf>
    <xf numFmtId="0" fontId="41" fillId="15" borderId="15" xfId="3" applyFont="1" applyFill="1" applyBorder="1" applyAlignment="1">
      <alignment horizontal="center" vertical="center" wrapText="1"/>
    </xf>
    <xf numFmtId="167" fontId="33" fillId="18" borderId="153" xfId="1" applyNumberFormat="1" applyFont="1" applyFill="1" applyBorder="1" applyAlignment="1">
      <alignment horizontal="center" vertical="center"/>
    </xf>
    <xf numFmtId="0" fontId="20" fillId="4" borderId="13" xfId="4" applyFill="1" applyBorder="1"/>
    <xf numFmtId="173" fontId="75" fillId="56" borderId="15" xfId="3" applyNumberFormat="1" applyFont="1" applyFill="1" applyBorder="1" applyAlignment="1" applyProtection="1">
      <alignment horizontal="center" vertical="center"/>
      <protection locked="0"/>
    </xf>
    <xf numFmtId="0" fontId="75" fillId="15" borderId="0" xfId="4" applyFont="1" applyFill="1" applyAlignment="1">
      <alignment horizontal="right" vertical="center"/>
    </xf>
    <xf numFmtId="0" fontId="20" fillId="15" borderId="0" xfId="4" applyFill="1"/>
    <xf numFmtId="0" fontId="60" fillId="4" borderId="150" xfId="4" applyFont="1" applyFill="1" applyBorder="1"/>
    <xf numFmtId="0" fontId="64" fillId="4" borderId="151" xfId="3" applyFont="1" applyFill="1" applyBorder="1" applyAlignment="1">
      <alignment horizontal="left" vertical="center"/>
    </xf>
    <xf numFmtId="173" fontId="72" fillId="56" borderId="152" xfId="3" applyNumberFormat="1" applyFont="1" applyFill="1" applyBorder="1" applyAlignment="1" applyProtection="1">
      <alignment horizontal="center" vertical="center"/>
      <protection locked="0"/>
    </xf>
    <xf numFmtId="164" fontId="33" fillId="26" borderId="31" xfId="1" applyNumberFormat="1" applyFont="1" applyFill="1" applyBorder="1" applyAlignment="1">
      <alignment horizontal="center" vertical="center"/>
    </xf>
    <xf numFmtId="169" fontId="57" fillId="46" borderId="28" xfId="6" applyNumberFormat="1" applyFont="1" applyFill="1" applyBorder="1" applyAlignment="1">
      <alignment horizontal="center" vertical="center"/>
    </xf>
    <xf numFmtId="165" fontId="58" fillId="46" borderId="28" xfId="4" applyNumberFormat="1" applyFont="1" applyFill="1" applyBorder="1" applyAlignment="1">
      <alignment horizontal="left" vertical="center" wrapText="1"/>
    </xf>
    <xf numFmtId="0" fontId="57" fillId="46" borderId="28" xfId="4" applyFont="1" applyFill="1" applyBorder="1" applyAlignment="1" applyProtection="1">
      <alignment horizontal="center" vertical="center"/>
      <protection locked="0"/>
    </xf>
    <xf numFmtId="170" fontId="9" fillId="18" borderId="15" xfId="1" applyNumberFormat="1" applyFont="1" applyFill="1" applyBorder="1" applyAlignment="1">
      <alignment horizontal="center" vertical="center"/>
    </xf>
    <xf numFmtId="170" fontId="9" fillId="18" borderId="153" xfId="1" applyNumberFormat="1" applyFont="1" applyFill="1" applyBorder="1" applyAlignment="1">
      <alignment horizontal="center" vertical="center"/>
    </xf>
    <xf numFmtId="167" fontId="9" fillId="36" borderId="149" xfId="1" applyNumberFormat="1" applyFont="1" applyFill="1" applyBorder="1" applyAlignment="1">
      <alignment horizontal="center" vertical="center"/>
    </xf>
    <xf numFmtId="0" fontId="182" fillId="75" borderId="0" xfId="1" applyFont="1" applyFill="1" applyAlignment="1">
      <alignment horizontal="center" vertical="center"/>
    </xf>
    <xf numFmtId="169" fontId="33" fillId="26" borderId="0" xfId="1" applyNumberFormat="1" applyFont="1" applyFill="1" applyAlignment="1">
      <alignment horizontal="center" vertical="center"/>
    </xf>
    <xf numFmtId="0" fontId="182" fillId="15" borderId="0" xfId="1" applyFont="1" applyFill="1" applyAlignment="1">
      <alignment horizontal="center" vertical="center"/>
    </xf>
    <xf numFmtId="1" fontId="33" fillId="6" borderId="29" xfId="3" applyNumberFormat="1" applyFont="1" applyFill="1" applyBorder="1" applyAlignment="1">
      <alignment horizontal="center" vertical="center"/>
    </xf>
    <xf numFmtId="0" fontId="51" fillId="25" borderId="27" xfId="3" applyFont="1" applyFill="1" applyBorder="1" applyAlignment="1">
      <alignment horizontal="center" vertical="center"/>
    </xf>
    <xf numFmtId="0" fontId="51" fillId="25" borderId="28" xfId="3" applyFont="1" applyFill="1" applyBorder="1" applyAlignment="1">
      <alignment horizontal="center" vertical="center"/>
    </xf>
    <xf numFmtId="0" fontId="396" fillId="17" borderId="157" xfId="3" applyFont="1" applyFill="1" applyBorder="1" applyAlignment="1">
      <alignment horizontal="center" vertical="center"/>
    </xf>
    <xf numFmtId="0" fontId="55" fillId="25" borderId="27" xfId="3" applyFont="1" applyFill="1" applyBorder="1" applyAlignment="1">
      <alignment horizontal="center" vertical="center"/>
    </xf>
    <xf numFmtId="164" fontId="33" fillId="22" borderId="15" xfId="1" applyNumberFormat="1" applyFont="1" applyFill="1" applyBorder="1" applyAlignment="1" applyProtection="1">
      <alignment horizontal="center" vertical="center" wrapText="1"/>
      <protection hidden="1"/>
    </xf>
    <xf numFmtId="0" fontId="33" fillId="22" borderId="0" xfId="1" applyFont="1" applyFill="1" applyAlignment="1" applyProtection="1">
      <alignment horizontal="right" vertical="center"/>
      <protection hidden="1"/>
    </xf>
    <xf numFmtId="168" fontId="35" fillId="24" borderId="25" xfId="3" applyNumberFormat="1" applyFont="1" applyFill="1" applyBorder="1" applyAlignment="1">
      <alignment vertical="center"/>
    </xf>
    <xf numFmtId="168" fontId="35" fillId="24" borderId="24" xfId="3" applyNumberFormat="1" applyFont="1" applyFill="1" applyBorder="1" applyAlignment="1">
      <alignment vertical="center"/>
    </xf>
    <xf numFmtId="168" fontId="35" fillId="24" borderId="23" xfId="3" applyNumberFormat="1" applyFont="1" applyFill="1" applyBorder="1" applyAlignment="1">
      <alignment vertical="center"/>
    </xf>
    <xf numFmtId="168" fontId="35" fillId="24" borderId="22" xfId="3" applyNumberFormat="1" applyFont="1" applyFill="1" applyBorder="1" applyAlignment="1">
      <alignment vertical="center"/>
    </xf>
    <xf numFmtId="0" fontId="33" fillId="22" borderId="16" xfId="1" applyFont="1" applyFill="1" applyBorder="1" applyAlignment="1" applyProtection="1">
      <alignment horizontal="center" vertical="center"/>
      <protection hidden="1"/>
    </xf>
    <xf numFmtId="0" fontId="80" fillId="4" borderId="15" xfId="4" applyFont="1" applyFill="1" applyBorder="1" applyAlignment="1">
      <alignment vertical="center"/>
    </xf>
    <xf numFmtId="0" fontId="80" fillId="4" borderId="0" xfId="4" applyFont="1" applyFill="1" applyAlignment="1">
      <alignment vertical="center"/>
    </xf>
    <xf numFmtId="0" fontId="62" fillId="4" borderId="49" xfId="4" applyFont="1" applyFill="1" applyBorder="1" applyAlignment="1">
      <alignment vertical="center"/>
    </xf>
    <xf numFmtId="0" fontId="41" fillId="6" borderId="15" xfId="3" applyFont="1" applyFill="1" applyBorder="1" applyAlignment="1">
      <alignment horizontal="center" vertical="center" wrapText="1"/>
    </xf>
    <xf numFmtId="0" fontId="51" fillId="6" borderId="0" xfId="3" applyFont="1" applyFill="1" applyAlignment="1">
      <alignment horizontal="center" vertical="center"/>
    </xf>
    <xf numFmtId="0" fontId="33" fillId="6" borderId="149" xfId="3" applyFont="1" applyFill="1" applyBorder="1" applyAlignment="1">
      <alignment horizontal="center" vertical="center"/>
    </xf>
    <xf numFmtId="0" fontId="53" fillId="6" borderId="0" xfId="3" applyFont="1" applyFill="1" applyAlignment="1">
      <alignment horizontal="center" vertical="center"/>
    </xf>
    <xf numFmtId="0" fontId="51" fillId="6" borderId="21" xfId="3" applyFont="1" applyFill="1" applyBorder="1" applyAlignment="1">
      <alignment horizontal="center" vertical="center"/>
    </xf>
    <xf numFmtId="0" fontId="51" fillId="4" borderId="16" xfId="3" applyFont="1" applyFill="1" applyBorder="1" applyAlignment="1">
      <alignment horizontal="center" vertical="center"/>
    </xf>
    <xf numFmtId="0" fontId="51" fillId="4" borderId="13" xfId="3" applyFont="1" applyFill="1" applyBorder="1" applyAlignment="1">
      <alignment horizontal="center" vertical="center"/>
    </xf>
    <xf numFmtId="0" fontId="64" fillId="17" borderId="207" xfId="1" applyFont="1" applyFill="1" applyBorder="1" applyAlignment="1" applyProtection="1">
      <alignment horizontal="center" vertical="center"/>
      <protection hidden="1"/>
    </xf>
    <xf numFmtId="0" fontId="13" fillId="19" borderId="0" xfId="1" applyFont="1" applyFill="1" applyAlignment="1" applyProtection="1">
      <alignment horizontal="centerContinuous" vertical="center"/>
      <protection hidden="1"/>
    </xf>
    <xf numFmtId="0" fontId="13" fillId="19" borderId="0" xfId="1" applyFont="1" applyFill="1" applyAlignment="1" applyProtection="1">
      <alignment horizontal="center" vertical="center" wrapText="1"/>
      <protection hidden="1"/>
    </xf>
    <xf numFmtId="0" fontId="398" fillId="106" borderId="45" xfId="1" applyFont="1" applyFill="1" applyBorder="1" applyAlignment="1">
      <alignment vertical="center"/>
    </xf>
    <xf numFmtId="0" fontId="12" fillId="15" borderId="12" xfId="1" applyFont="1" applyFill="1" applyBorder="1" applyAlignment="1">
      <alignment horizontal="center" vertical="center"/>
    </xf>
    <xf numFmtId="0" fontId="33" fillId="15" borderId="0" xfId="1" applyFont="1" applyFill="1" applyAlignment="1" applyProtection="1">
      <alignment horizontal="center" vertical="center"/>
      <protection hidden="1"/>
    </xf>
    <xf numFmtId="0" fontId="33" fillId="15" borderId="0" xfId="1" applyFont="1" applyFill="1" applyAlignment="1" applyProtection="1">
      <alignment horizontal="left" vertical="center"/>
      <protection hidden="1"/>
    </xf>
    <xf numFmtId="167" fontId="33" fillId="18" borderId="0" xfId="1" applyNumberFormat="1" applyFont="1" applyFill="1" applyAlignment="1">
      <alignment horizontal="right" vertical="center"/>
    </xf>
    <xf numFmtId="0" fontId="33" fillId="15" borderId="0" xfId="1" applyFont="1" applyFill="1" applyAlignment="1">
      <alignment vertical="center"/>
    </xf>
    <xf numFmtId="0" fontId="21" fillId="15" borderId="0" xfId="5" applyFont="1" applyFill="1" applyAlignment="1">
      <alignment vertical="center" wrapText="1"/>
    </xf>
    <xf numFmtId="0" fontId="9" fillId="15" borderId="0" xfId="5" applyFont="1" applyFill="1" applyAlignment="1">
      <alignment vertical="center"/>
    </xf>
    <xf numFmtId="1" fontId="36" fillId="15" borderId="0" xfId="4" applyNumberFormat="1" applyFont="1" applyFill="1" applyAlignment="1">
      <alignment vertical="center" wrapText="1"/>
    </xf>
    <xf numFmtId="1" fontId="399" fillId="17" borderId="0" xfId="4" applyNumberFormat="1" applyFont="1" applyFill="1" applyAlignment="1">
      <alignment horizontal="center" vertical="center" wrapText="1"/>
    </xf>
    <xf numFmtId="0" fontId="33" fillId="15" borderId="14" xfId="1" applyFont="1" applyFill="1" applyBorder="1" applyAlignment="1" applyProtection="1">
      <alignment horizontal="center" vertical="center"/>
      <protection hidden="1"/>
    </xf>
    <xf numFmtId="0" fontId="20" fillId="15" borderId="0" xfId="4" applyFill="1" applyAlignment="1">
      <alignment horizontal="center"/>
    </xf>
    <xf numFmtId="0" fontId="115" fillId="15" borderId="14" xfId="1" applyFont="1" applyFill="1" applyBorder="1" applyAlignment="1">
      <alignment horizontal="right" vertical="center"/>
    </xf>
    <xf numFmtId="0" fontId="34" fillId="15" borderId="0" xfId="1" applyFont="1" applyFill="1" applyAlignment="1">
      <alignment horizontal="center" vertical="center"/>
    </xf>
    <xf numFmtId="2" fontId="21" fillId="14" borderId="0" xfId="1" applyNumberFormat="1" applyFont="1" applyFill="1" applyAlignment="1" applyProtection="1">
      <alignment horizontal="center" vertical="center"/>
      <protection locked="0"/>
    </xf>
    <xf numFmtId="0" fontId="14" fillId="6" borderId="0" xfId="1" applyFont="1" applyFill="1" applyAlignment="1">
      <alignment horizontal="right" vertical="center"/>
    </xf>
    <xf numFmtId="0" fontId="9" fillId="3" borderId="0" xfId="1" applyFont="1" applyFill="1" applyAlignment="1">
      <alignment horizontal="center" vertical="center"/>
    </xf>
    <xf numFmtId="0" fontId="402" fillId="6" borderId="0" xfId="1" applyFont="1" applyFill="1" applyAlignment="1">
      <alignment horizontal="right" vertical="center"/>
    </xf>
    <xf numFmtId="0" fontId="40" fillId="19" borderId="214" xfId="1" applyFont="1" applyFill="1" applyBorder="1" applyAlignment="1" applyProtection="1">
      <alignment horizontal="center" vertical="center" wrapText="1"/>
      <protection hidden="1"/>
    </xf>
    <xf numFmtId="0" fontId="14" fillId="6" borderId="0" xfId="1" applyFont="1" applyFill="1" applyAlignment="1">
      <alignment vertical="center"/>
    </xf>
    <xf numFmtId="0" fontId="14" fillId="6" borderId="0" xfId="1" applyFont="1" applyFill="1" applyAlignment="1">
      <alignment horizontal="left" vertical="center"/>
    </xf>
    <xf numFmtId="0" fontId="17" fillId="6" borderId="12" xfId="3" applyFont="1" applyFill="1" applyBorder="1" applyAlignment="1">
      <alignment horizontal="right" vertical="center"/>
    </xf>
    <xf numFmtId="0" fontId="25" fillId="6" borderId="0" xfId="1" applyFont="1" applyFill="1" applyAlignment="1">
      <alignment horizontal="left" vertical="center"/>
    </xf>
    <xf numFmtId="0" fontId="48" fillId="6" borderId="0" xfId="1" applyFont="1" applyFill="1" applyAlignment="1">
      <alignment horizontal="left" vertical="center"/>
    </xf>
    <xf numFmtId="0" fontId="404" fillId="15" borderId="0" xfId="1" applyFont="1" applyFill="1" applyAlignment="1" applyProtection="1">
      <alignment horizontal="center" vertical="center" wrapText="1"/>
      <protection hidden="1"/>
    </xf>
    <xf numFmtId="0" fontId="18" fillId="6" borderId="11" xfId="1" applyFont="1" applyFill="1" applyBorder="1" applyAlignment="1">
      <alignment horizontal="right" vertical="center"/>
    </xf>
    <xf numFmtId="0" fontId="41" fillId="6" borderId="0" xfId="1" applyFont="1" applyFill="1" applyAlignment="1">
      <alignment horizontal="center" vertical="center"/>
    </xf>
    <xf numFmtId="0" fontId="48" fillId="6" borderId="0" xfId="1" applyFont="1" applyFill="1" applyAlignment="1">
      <alignment horizontal="right" vertical="center"/>
    </xf>
    <xf numFmtId="0" fontId="17" fillId="6" borderId="0" xfId="1" applyFont="1" applyFill="1" applyAlignment="1">
      <alignment horizontal="left" vertical="center"/>
    </xf>
    <xf numFmtId="0" fontId="17" fillId="6" borderId="141" xfId="1" applyFont="1" applyFill="1" applyBorder="1" applyAlignment="1">
      <alignment horizontal="left" vertical="center"/>
    </xf>
    <xf numFmtId="0" fontId="144" fillId="6" borderId="17" xfId="1" applyFont="1" applyFill="1" applyBorder="1" applyAlignment="1">
      <alignment horizontal="left" vertical="center"/>
    </xf>
    <xf numFmtId="0" fontId="16" fillId="0" borderId="0" xfId="1" applyFont="1" applyAlignment="1">
      <alignment vertical="center"/>
    </xf>
    <xf numFmtId="191" fontId="115" fillId="4" borderId="0" xfId="1" applyNumberFormat="1" applyFont="1" applyFill="1" applyAlignment="1">
      <alignment horizontal="center" vertical="center" wrapText="1"/>
    </xf>
    <xf numFmtId="0" fontId="41" fillId="107" borderId="217" xfId="3" applyFont="1" applyFill="1" applyBorder="1" applyAlignment="1">
      <alignment horizontal="right" vertical="center"/>
    </xf>
    <xf numFmtId="0" fontId="21" fillId="22" borderId="212" xfId="1" applyFont="1" applyFill="1" applyBorder="1" applyAlignment="1">
      <alignment vertical="center"/>
    </xf>
    <xf numFmtId="0" fontId="21" fillId="22" borderId="218" xfId="1" applyFont="1" applyFill="1" applyBorder="1" applyAlignment="1">
      <alignment vertical="center"/>
    </xf>
    <xf numFmtId="0" fontId="391" fillId="108" borderId="8" xfId="5" applyFont="1" applyFill="1" applyBorder="1" applyAlignment="1">
      <alignment horizontal="center" vertical="center"/>
    </xf>
    <xf numFmtId="0" fontId="391" fillId="108" borderId="13" xfId="5" applyFont="1" applyFill="1" applyBorder="1" applyAlignment="1">
      <alignment horizontal="center" vertical="center"/>
    </xf>
    <xf numFmtId="0" fontId="1" fillId="0" borderId="0" xfId="29"/>
    <xf numFmtId="0" fontId="1" fillId="0" borderId="0" xfId="24"/>
    <xf numFmtId="0" fontId="1" fillId="6" borderId="0" xfId="24" applyFill="1"/>
    <xf numFmtId="0" fontId="6" fillId="6" borderId="0" xfId="1" applyFill="1" applyProtection="1">
      <protection hidden="1"/>
    </xf>
    <xf numFmtId="0" fontId="405" fillId="6" borderId="0" xfId="1" applyFont="1" applyFill="1" applyAlignment="1" applyProtection="1">
      <alignment horizontal="left" vertical="center"/>
      <protection hidden="1"/>
    </xf>
    <xf numFmtId="0" fontId="406" fillId="6" borderId="0" xfId="1" applyFont="1" applyFill="1" applyProtection="1">
      <protection hidden="1"/>
    </xf>
    <xf numFmtId="0" fontId="407" fillId="6" borderId="0" xfId="1" applyFont="1" applyFill="1" applyProtection="1">
      <protection hidden="1"/>
    </xf>
    <xf numFmtId="0" fontId="408" fillId="6" borderId="0" xfId="30" applyFont="1" applyFill="1" applyAlignment="1" applyProtection="1">
      <protection hidden="1"/>
    </xf>
    <xf numFmtId="0" fontId="409" fillId="6" borderId="0" xfId="1" applyFont="1" applyFill="1" applyProtection="1">
      <protection hidden="1"/>
    </xf>
    <xf numFmtId="0" fontId="6" fillId="6" borderId="0" xfId="3" applyFill="1"/>
    <xf numFmtId="0" fontId="410" fillId="6" borderId="0" xfId="3" applyFont="1" applyFill="1" applyAlignment="1">
      <alignment horizontal="left" vertical="center"/>
    </xf>
    <xf numFmtId="0" fontId="411" fillId="109" borderId="0" xfId="31" applyFont="1" applyFill="1" applyAlignment="1">
      <alignment horizontal="left" vertical="center" wrapText="1"/>
    </xf>
    <xf numFmtId="0" fontId="412" fillId="109" borderId="0" xfId="31" applyFont="1" applyFill="1" applyAlignment="1">
      <alignment horizontal="right" vertical="center"/>
    </xf>
    <xf numFmtId="0" fontId="6" fillId="48" borderId="0" xfId="3" applyFill="1"/>
    <xf numFmtId="0" fontId="410" fillId="48" borderId="0" xfId="3" applyFont="1" applyFill="1" applyAlignment="1">
      <alignment horizontal="left" vertical="center"/>
    </xf>
    <xf numFmtId="0" fontId="413" fillId="95" borderId="0" xfId="3" applyFont="1" applyFill="1" applyAlignment="1">
      <alignment horizontal="left" vertical="center"/>
    </xf>
    <xf numFmtId="0" fontId="409" fillId="110" borderId="0" xfId="21" applyFont="1" applyFill="1" applyAlignment="1">
      <alignment horizontal="right" vertical="center"/>
    </xf>
    <xf numFmtId="49" fontId="133" fillId="4" borderId="187" xfId="3" applyNumberFormat="1" applyFont="1" applyFill="1" applyBorder="1" applyAlignment="1">
      <alignment horizontal="left" vertical="center"/>
    </xf>
    <xf numFmtId="0" fontId="154" fillId="48" borderId="0" xfId="21" applyFont="1" applyFill="1" applyAlignment="1">
      <alignment vertical="top"/>
    </xf>
    <xf numFmtId="0" fontId="6" fillId="17" borderId="0" xfId="3" applyFill="1" applyAlignment="1">
      <alignment horizontal="centerContinuous" vertical="center"/>
    </xf>
    <xf numFmtId="0" fontId="410" fillId="17" borderId="0" xfId="3" applyFont="1" applyFill="1" applyAlignment="1">
      <alignment horizontal="centerContinuous" vertical="center"/>
    </xf>
    <xf numFmtId="0" fontId="27" fillId="17" borderId="0" xfId="3" applyFont="1" applyFill="1" applyAlignment="1">
      <alignment horizontal="centerContinuous" vertical="center"/>
    </xf>
    <xf numFmtId="0" fontId="1" fillId="4" borderId="0" xfId="29" applyFill="1"/>
    <xf numFmtId="0" fontId="1" fillId="4" borderId="0" xfId="32" applyFill="1"/>
    <xf numFmtId="0" fontId="414" fillId="4" borderId="0" xfId="32" applyFont="1" applyFill="1" applyAlignment="1">
      <alignment horizontal="left" vertical="center"/>
    </xf>
    <xf numFmtId="0" fontId="415" fillId="4" borderId="0" xfId="32" applyFont="1" applyFill="1" applyAlignment="1">
      <alignment vertical="center"/>
    </xf>
    <xf numFmtId="0" fontId="416" fillId="4" borderId="0" xfId="32" applyFont="1" applyFill="1" applyAlignment="1">
      <alignment vertical="center"/>
    </xf>
    <xf numFmtId="0" fontId="414" fillId="4" borderId="0" xfId="32" applyFont="1" applyFill="1" applyAlignment="1">
      <alignment horizontal="right" vertical="center"/>
    </xf>
    <xf numFmtId="0" fontId="46" fillId="4" borderId="0" xfId="32" applyFont="1" applyFill="1" applyAlignment="1">
      <alignment vertical="center"/>
    </xf>
    <xf numFmtId="9" fontId="6" fillId="6" borderId="41" xfId="32" applyNumberFormat="1" applyFont="1" applyFill="1" applyBorder="1" applyAlignment="1" applyProtection="1">
      <alignment horizontal="left" vertical="center"/>
      <protection locked="0"/>
    </xf>
    <xf numFmtId="0" fontId="6" fillId="6" borderId="189" xfId="32" applyFont="1" applyFill="1" applyBorder="1" applyAlignment="1" applyProtection="1">
      <alignment horizontal="right" vertical="center"/>
      <protection locked="0"/>
    </xf>
    <xf numFmtId="177" fontId="6" fillId="6" borderId="190" xfId="32" applyNumberFormat="1" applyFont="1" applyFill="1" applyBorder="1" applyAlignment="1" applyProtection="1">
      <alignment horizontal="left" vertical="center"/>
      <protection locked="0"/>
    </xf>
    <xf numFmtId="9" fontId="6" fillId="6" borderId="190" xfId="32" applyNumberFormat="1" applyFont="1" applyFill="1" applyBorder="1" applyAlignment="1" applyProtection="1">
      <alignment horizontal="left" vertical="center"/>
      <protection locked="0"/>
    </xf>
    <xf numFmtId="0" fontId="6" fillId="6" borderId="91" xfId="32" applyFont="1" applyFill="1" applyBorder="1" applyAlignment="1" applyProtection="1">
      <alignment horizontal="left" vertical="center"/>
      <protection locked="0"/>
    </xf>
    <xf numFmtId="192" fontId="6" fillId="6" borderId="12" xfId="32" applyNumberFormat="1" applyFont="1" applyFill="1" applyBorder="1" applyAlignment="1" applyProtection="1">
      <alignment horizontal="left" vertical="center"/>
      <protection locked="0"/>
    </xf>
    <xf numFmtId="0" fontId="6" fillId="6" borderId="0" xfId="32" applyFont="1" applyFill="1" applyAlignment="1" applyProtection="1">
      <alignment horizontal="right" vertical="center"/>
      <protection locked="0"/>
    </xf>
    <xf numFmtId="177" fontId="6" fillId="6" borderId="10" xfId="32" applyNumberFormat="1" applyFont="1" applyFill="1" applyBorder="1" applyAlignment="1" applyProtection="1">
      <alignment horizontal="left" vertical="center"/>
      <protection locked="0"/>
    </xf>
    <xf numFmtId="192" fontId="6" fillId="6" borderId="10" xfId="32" applyNumberFormat="1" applyFont="1" applyFill="1" applyBorder="1" applyAlignment="1" applyProtection="1">
      <alignment horizontal="left" vertical="center"/>
      <protection locked="0"/>
    </xf>
    <xf numFmtId="0" fontId="6" fillId="6" borderId="13" xfId="32" applyFont="1" applyFill="1" applyBorder="1" applyAlignment="1" applyProtection="1">
      <alignment horizontal="left" vertical="center"/>
      <protection locked="0"/>
    </xf>
    <xf numFmtId="192" fontId="419" fillId="25" borderId="12" xfId="32" applyNumberFormat="1" applyFont="1" applyFill="1" applyBorder="1" applyAlignment="1" applyProtection="1">
      <alignment horizontal="center" vertical="center"/>
      <protection locked="0"/>
    </xf>
    <xf numFmtId="0" fontId="419" fillId="6" borderId="0" xfId="32" applyFont="1" applyFill="1" applyAlignment="1" applyProtection="1">
      <alignment horizontal="right" vertical="center"/>
      <protection locked="0"/>
    </xf>
    <xf numFmtId="173" fontId="419" fillId="25" borderId="10" xfId="32" applyNumberFormat="1" applyFont="1" applyFill="1" applyBorder="1" applyAlignment="1" applyProtection="1">
      <alignment horizontal="center" vertical="center"/>
      <protection locked="0"/>
    </xf>
    <xf numFmtId="192" fontId="419" fillId="25" borderId="10" xfId="32" applyNumberFormat="1" applyFont="1" applyFill="1" applyBorder="1" applyAlignment="1" applyProtection="1">
      <alignment horizontal="center" vertical="center"/>
      <protection locked="0"/>
    </xf>
    <xf numFmtId="0" fontId="419" fillId="6" borderId="13" xfId="32" applyFont="1" applyFill="1" applyBorder="1" applyAlignment="1" applyProtection="1">
      <alignment horizontal="left" vertical="center"/>
      <protection locked="0"/>
    </xf>
    <xf numFmtId="192" fontId="420" fillId="25" borderId="19" xfId="32" applyNumberFormat="1" applyFont="1" applyFill="1" applyBorder="1" applyAlignment="1" applyProtection="1">
      <alignment horizontal="center" vertical="center"/>
      <protection locked="0"/>
    </xf>
    <xf numFmtId="0" fontId="420" fillId="6" borderId="140" xfId="32" applyFont="1" applyFill="1" applyBorder="1" applyAlignment="1" applyProtection="1">
      <alignment horizontal="right" vertical="center"/>
      <protection locked="0"/>
    </xf>
    <xf numFmtId="192" fontId="420" fillId="25" borderId="10" xfId="32" applyNumberFormat="1" applyFont="1" applyFill="1" applyBorder="1" applyAlignment="1" applyProtection="1">
      <alignment horizontal="center" vertical="center"/>
      <protection locked="0"/>
    </xf>
    <xf numFmtId="0" fontId="420" fillId="6" borderId="48" xfId="32" applyFont="1" applyFill="1" applyBorder="1" applyAlignment="1" applyProtection="1">
      <alignment horizontal="left" vertical="center"/>
      <protection locked="0"/>
    </xf>
    <xf numFmtId="189" fontId="133" fillId="3" borderId="224" xfId="32" applyNumberFormat="1" applyFont="1" applyFill="1" applyBorder="1" applyAlignment="1" applyProtection="1">
      <alignment horizontal="center" vertical="center"/>
      <protection locked="0"/>
    </xf>
    <xf numFmtId="0" fontId="133" fillId="3" borderId="28" xfId="32" applyFont="1" applyFill="1" applyBorder="1" applyAlignment="1" applyProtection="1">
      <alignment horizontal="right" vertical="center"/>
      <protection locked="0"/>
    </xf>
    <xf numFmtId="0" fontId="6" fillId="3" borderId="28" xfId="1" applyFill="1" applyBorder="1" applyProtection="1">
      <protection hidden="1"/>
    </xf>
    <xf numFmtId="189" fontId="133" fillId="3" borderId="28" xfId="32" applyNumberFormat="1" applyFont="1" applyFill="1" applyBorder="1" applyAlignment="1" applyProtection="1">
      <alignment horizontal="center" vertical="center"/>
      <protection locked="0"/>
    </xf>
    <xf numFmtId="164" fontId="133" fillId="3" borderId="28" xfId="32" applyNumberFormat="1" applyFont="1" applyFill="1" applyBorder="1" applyAlignment="1" applyProtection="1">
      <alignment horizontal="center" vertical="center"/>
      <protection locked="0"/>
    </xf>
    <xf numFmtId="0" fontId="6" fillId="3" borderId="28" xfId="32" applyFont="1" applyFill="1" applyBorder="1" applyAlignment="1" applyProtection="1">
      <alignment horizontal="right" vertical="center"/>
      <protection locked="0"/>
    </xf>
    <xf numFmtId="0" fontId="6" fillId="3" borderId="110" xfId="32" applyFont="1" applyFill="1" applyBorder="1" applyAlignment="1" applyProtection="1">
      <alignment horizontal="left" vertical="center"/>
      <protection locked="0"/>
    </xf>
    <xf numFmtId="192" fontId="420" fillId="25" borderId="12" xfId="32" applyNumberFormat="1" applyFont="1" applyFill="1" applyBorder="1" applyAlignment="1" applyProtection="1">
      <alignment horizontal="center" vertical="center"/>
      <protection locked="0"/>
    </xf>
    <xf numFmtId="0" fontId="420" fillId="6" borderId="0" xfId="32" applyFont="1" applyFill="1" applyAlignment="1" applyProtection="1">
      <alignment horizontal="right" vertical="center"/>
      <protection locked="0"/>
    </xf>
    <xf numFmtId="0" fontId="420" fillId="6" borderId="13" xfId="32" applyFont="1" applyFill="1" applyBorder="1" applyAlignment="1" applyProtection="1">
      <alignment horizontal="left" vertical="center"/>
      <protection locked="0"/>
    </xf>
    <xf numFmtId="0" fontId="27" fillId="46" borderId="6" xfId="5" applyFont="1" applyFill="1" applyBorder="1" applyAlignment="1" applyProtection="1">
      <alignment horizontal="right" vertical="center"/>
      <protection locked="0"/>
    </xf>
    <xf numFmtId="0" fontId="27" fillId="46" borderId="4" xfId="5" applyFont="1" applyFill="1" applyBorder="1" applyAlignment="1" applyProtection="1">
      <alignment horizontal="centerContinuous" vertical="center"/>
      <protection locked="0"/>
    </xf>
    <xf numFmtId="0" fontId="405" fillId="46" borderId="135" xfId="5" applyFont="1" applyFill="1" applyBorder="1" applyAlignment="1" applyProtection="1">
      <alignment horizontal="centerContinuous" vertical="center"/>
      <protection locked="0"/>
    </xf>
    <xf numFmtId="189" fontId="133" fillId="4" borderId="41" xfId="32" applyNumberFormat="1" applyFont="1" applyFill="1" applyBorder="1" applyAlignment="1" applyProtection="1">
      <alignment horizontal="center" vertical="center"/>
      <protection locked="0"/>
    </xf>
    <xf numFmtId="0" fontId="133" fillId="4" borderId="189" xfId="32" applyFont="1" applyFill="1" applyBorder="1" applyAlignment="1" applyProtection="1">
      <alignment horizontal="right" vertical="center"/>
      <protection locked="0"/>
    </xf>
    <xf numFmtId="164" fontId="133" fillId="4" borderId="190" xfId="32" applyNumberFormat="1" applyFont="1" applyFill="1" applyBorder="1" applyAlignment="1" applyProtection="1">
      <alignment horizontal="center" vertical="center"/>
      <protection locked="0"/>
    </xf>
    <xf numFmtId="0" fontId="6" fillId="4" borderId="189" xfId="32" applyFont="1" applyFill="1" applyBorder="1" applyAlignment="1" applyProtection="1">
      <alignment horizontal="right" vertical="center"/>
      <protection locked="0"/>
    </xf>
    <xf numFmtId="189" fontId="133" fillId="4" borderId="190" xfId="32" applyNumberFormat="1" applyFont="1" applyFill="1" applyBorder="1" applyAlignment="1" applyProtection="1">
      <alignment horizontal="center" vertical="center"/>
      <protection locked="0"/>
    </xf>
    <xf numFmtId="0" fontId="133" fillId="4" borderId="91" xfId="32" applyFont="1" applyFill="1" applyBorder="1" applyAlignment="1" applyProtection="1">
      <alignment horizontal="left" vertical="center"/>
      <protection locked="0"/>
    </xf>
    <xf numFmtId="164" fontId="133" fillId="4" borderId="12" xfId="32" applyNumberFormat="1" applyFont="1" applyFill="1" applyBorder="1" applyAlignment="1" applyProtection="1">
      <alignment horizontal="center" vertical="center"/>
      <protection locked="0"/>
    </xf>
    <xf numFmtId="0" fontId="6" fillId="4" borderId="0" xfId="32" applyFont="1" applyFill="1" applyAlignment="1" applyProtection="1">
      <alignment horizontal="right" vertical="center"/>
      <protection locked="0"/>
    </xf>
    <xf numFmtId="164" fontId="133" fillId="4" borderId="10" xfId="32" applyNumberFormat="1" applyFont="1" applyFill="1" applyBorder="1" applyAlignment="1" applyProtection="1">
      <alignment horizontal="center" vertical="center"/>
      <protection locked="0"/>
    </xf>
    <xf numFmtId="0" fontId="107" fillId="4" borderId="0" xfId="32" applyFont="1" applyFill="1" applyAlignment="1" applyProtection="1">
      <alignment horizontal="right" vertical="center"/>
      <protection locked="0"/>
    </xf>
    <xf numFmtId="0" fontId="107" fillId="4" borderId="13" xfId="32" applyFont="1" applyFill="1" applyBorder="1" applyAlignment="1" applyProtection="1">
      <alignment horizontal="left" vertical="center"/>
      <protection locked="0"/>
    </xf>
    <xf numFmtId="164" fontId="421" fillId="25" borderId="12" xfId="32" applyNumberFormat="1" applyFont="1" applyFill="1" applyBorder="1" applyAlignment="1" applyProtection="1">
      <alignment horizontal="center" vertical="center"/>
      <protection locked="0"/>
    </xf>
    <xf numFmtId="0" fontId="422" fillId="4" borderId="0" xfId="32" applyFont="1" applyFill="1" applyAlignment="1" applyProtection="1">
      <alignment horizontal="right" vertical="center" wrapText="1"/>
      <protection locked="0"/>
    </xf>
    <xf numFmtId="173" fontId="423" fillId="25" borderId="10" xfId="32" applyNumberFormat="1" applyFont="1" applyFill="1" applyBorder="1" applyAlignment="1" applyProtection="1">
      <alignment horizontal="center" vertical="center"/>
      <protection locked="0"/>
    </xf>
    <xf numFmtId="164" fontId="421" fillId="25" borderId="10" xfId="32" applyNumberFormat="1" applyFont="1" applyFill="1" applyBorder="1" applyAlignment="1" applyProtection="1">
      <alignment horizontal="center" vertical="center"/>
      <protection locked="0"/>
    </xf>
    <xf numFmtId="0" fontId="419" fillId="4" borderId="0" xfId="32" applyFont="1" applyFill="1" applyAlignment="1" applyProtection="1">
      <alignment horizontal="right" vertical="center"/>
      <protection locked="0"/>
    </xf>
    <xf numFmtId="0" fontId="419" fillId="4" borderId="13" xfId="32" applyFont="1" applyFill="1" applyBorder="1" applyAlignment="1" applyProtection="1">
      <alignment horizontal="left" vertical="center"/>
      <protection locked="0"/>
    </xf>
    <xf numFmtId="164" fontId="424" fillId="25" borderId="10" xfId="32" applyNumberFormat="1" applyFont="1" applyFill="1" applyBorder="1" applyAlignment="1" applyProtection="1">
      <alignment horizontal="center" vertical="center"/>
      <protection locked="0"/>
    </xf>
    <xf numFmtId="0" fontId="420" fillId="4" borderId="0" xfId="32" applyFont="1" applyFill="1" applyAlignment="1" applyProtection="1">
      <alignment horizontal="right" vertical="center"/>
      <protection locked="0"/>
    </xf>
    <xf numFmtId="0" fontId="420" fillId="4" borderId="13" xfId="32" applyFont="1" applyFill="1" applyBorder="1" applyAlignment="1" applyProtection="1">
      <alignment horizontal="left" vertical="center"/>
      <protection locked="0"/>
    </xf>
    <xf numFmtId="189" fontId="133" fillId="4" borderId="12" xfId="32" applyNumberFormat="1" applyFont="1" applyFill="1" applyBorder="1" applyAlignment="1" applyProtection="1">
      <alignment horizontal="center" vertical="center"/>
      <protection locked="0"/>
    </xf>
    <xf numFmtId="0" fontId="133" fillId="4" borderId="0" xfId="32" applyFont="1" applyFill="1" applyAlignment="1" applyProtection="1">
      <alignment horizontal="right" vertical="center"/>
      <protection locked="0"/>
    </xf>
    <xf numFmtId="189" fontId="133" fillId="4" borderId="10" xfId="32" applyNumberFormat="1" applyFont="1" applyFill="1" applyBorder="1" applyAlignment="1" applyProtection="1">
      <alignment horizontal="center" vertical="center"/>
      <protection locked="0"/>
    </xf>
    <xf numFmtId="0" fontId="6" fillId="4" borderId="13" xfId="32" applyFont="1" applyFill="1" applyBorder="1" applyAlignment="1" applyProtection="1">
      <alignment horizontal="left" vertical="center"/>
      <protection locked="0"/>
    </xf>
    <xf numFmtId="164" fontId="424" fillId="25" borderId="12" xfId="32" applyNumberFormat="1" applyFont="1" applyFill="1" applyBorder="1" applyAlignment="1" applyProtection="1">
      <alignment horizontal="center" vertical="center"/>
      <protection locked="0"/>
    </xf>
    <xf numFmtId="189" fontId="421" fillId="25" borderId="10" xfId="32" applyNumberFormat="1" applyFont="1" applyFill="1" applyBorder="1" applyAlignment="1" applyProtection="1">
      <alignment horizontal="center" vertical="center"/>
      <protection locked="0"/>
    </xf>
    <xf numFmtId="0" fontId="422" fillId="4" borderId="13" xfId="32" applyFont="1" applyFill="1" applyBorder="1" applyAlignment="1" applyProtection="1">
      <alignment horizontal="left" vertical="center" wrapText="1"/>
      <protection locked="0"/>
    </xf>
    <xf numFmtId="0" fontId="420" fillId="4" borderId="20" xfId="32" applyFont="1" applyFill="1" applyBorder="1" applyAlignment="1" applyProtection="1">
      <alignment horizontal="right" vertical="center"/>
      <protection locked="0"/>
    </xf>
    <xf numFmtId="0" fontId="27" fillId="46" borderId="135" xfId="5" applyFont="1" applyFill="1" applyBorder="1" applyAlignment="1" applyProtection="1">
      <alignment horizontal="centerContinuous" vertical="center"/>
      <protection locked="0"/>
    </xf>
    <xf numFmtId="0" fontId="23" fillId="4" borderId="0" xfId="5" applyFill="1" applyAlignment="1">
      <alignment vertical="center"/>
    </xf>
    <xf numFmtId="0" fontId="27" fillId="4" borderId="0" xfId="32" applyFont="1" applyFill="1"/>
    <xf numFmtId="169" fontId="426" fillId="12" borderId="13" xfId="15" applyNumberFormat="1" applyFont="1" applyFill="1" applyBorder="1" applyAlignment="1">
      <alignment horizontal="left" vertical="center"/>
    </xf>
    <xf numFmtId="169" fontId="426" fillId="12" borderId="227" xfId="15" applyNumberFormat="1" applyFont="1" applyFill="1" applyBorder="1" applyAlignment="1">
      <alignment vertical="center"/>
    </xf>
    <xf numFmtId="193" fontId="428" fillId="6" borderId="12" xfId="15" applyNumberFormat="1" applyFont="1" applyFill="1" applyBorder="1" applyAlignment="1">
      <alignment vertical="center"/>
    </xf>
    <xf numFmtId="193" fontId="429" fillId="6" borderId="0" xfId="15" applyNumberFormat="1" applyFont="1" applyFill="1" applyAlignment="1">
      <alignment horizontal="center" vertical="center"/>
    </xf>
    <xf numFmtId="0" fontId="307" fillId="4" borderId="13" xfId="5" applyFont="1" applyFill="1" applyBorder="1" applyAlignment="1">
      <alignment horizontal="right" vertical="center"/>
    </xf>
    <xf numFmtId="0" fontId="431" fillId="6" borderId="12" xfId="1" applyFont="1" applyFill="1" applyBorder="1" applyAlignment="1">
      <alignment vertical="center"/>
    </xf>
    <xf numFmtId="0" fontId="431" fillId="6" borderId="0" xfId="1" applyFont="1" applyFill="1" applyAlignment="1">
      <alignment vertical="center"/>
    </xf>
    <xf numFmtId="0" fontId="432" fillId="6" borderId="143" xfId="1" applyFont="1" applyFill="1" applyBorder="1" applyAlignment="1">
      <alignment vertical="center"/>
    </xf>
    <xf numFmtId="0" fontId="433" fillId="6" borderId="13" xfId="1" applyFont="1" applyFill="1" applyBorder="1" applyAlignment="1">
      <alignment horizontal="center" vertical="center"/>
    </xf>
    <xf numFmtId="0" fontId="1" fillId="6" borderId="41" xfId="32" applyFill="1" applyBorder="1"/>
    <xf numFmtId="0" fontId="1" fillId="6" borderId="189" xfId="32" applyFill="1" applyBorder="1"/>
    <xf numFmtId="193" fontId="429" fillId="6" borderId="0" xfId="15" applyNumberFormat="1" applyFont="1" applyFill="1" applyAlignment="1">
      <alignment horizontal="left" vertical="center"/>
    </xf>
    <xf numFmtId="0" fontId="434" fillId="6" borderId="91" xfId="1" applyFont="1" applyFill="1" applyBorder="1" applyAlignment="1">
      <alignment horizontal="center" vertical="center"/>
    </xf>
    <xf numFmtId="0" fontId="1" fillId="6" borderId="12" xfId="32" applyFill="1" applyBorder="1"/>
    <xf numFmtId="0" fontId="435" fillId="6" borderId="0" xfId="32" applyFont="1" applyFill="1" applyAlignment="1">
      <alignment horizontal="left" vertical="center"/>
    </xf>
    <xf numFmtId="0" fontId="27" fillId="4" borderId="0" xfId="32" applyFont="1" applyFill="1" applyAlignment="1">
      <alignment horizontal="center" vertical="center"/>
    </xf>
    <xf numFmtId="0" fontId="436" fillId="6" borderId="114" xfId="32" applyFont="1" applyFill="1" applyBorder="1" applyAlignment="1">
      <alignment horizontal="center" vertical="center"/>
    </xf>
    <xf numFmtId="0" fontId="435" fillId="6" borderId="0" xfId="32" applyFont="1" applyFill="1" applyAlignment="1">
      <alignment horizontal="right" vertical="center"/>
    </xf>
    <xf numFmtId="0" fontId="1" fillId="6" borderId="0" xfId="32" applyFill="1"/>
    <xf numFmtId="0" fontId="1" fillId="6" borderId="13" xfId="32" applyFill="1" applyBorder="1"/>
    <xf numFmtId="174" fontId="27" fillId="6" borderId="231" xfId="5" applyNumberFormat="1" applyFont="1" applyFill="1" applyBorder="1" applyAlignment="1">
      <alignment horizontal="center" vertical="center"/>
    </xf>
    <xf numFmtId="0" fontId="1" fillId="6" borderId="0" xfId="32" applyFill="1" applyAlignment="1">
      <alignment horizontal="left"/>
    </xf>
    <xf numFmtId="0" fontId="1" fillId="0" borderId="0" xfId="32"/>
    <xf numFmtId="0" fontId="434" fillId="6" borderId="0" xfId="1" applyFont="1" applyFill="1" applyAlignment="1">
      <alignment horizontal="left" vertical="center"/>
    </xf>
    <xf numFmtId="171" fontId="437" fillId="25" borderId="0" xfId="32" applyNumberFormat="1" applyFont="1" applyFill="1" applyAlignment="1" applyProtection="1">
      <alignment horizontal="center" vertical="center"/>
      <protection locked="0"/>
    </xf>
    <xf numFmtId="0" fontId="435" fillId="0" borderId="0" xfId="32" applyFont="1" applyAlignment="1">
      <alignment horizontal="right" vertical="center"/>
    </xf>
    <xf numFmtId="0" fontId="1" fillId="0" borderId="13" xfId="32" applyBorder="1"/>
    <xf numFmtId="0" fontId="1" fillId="6" borderId="114" xfId="32" applyFill="1" applyBorder="1" applyAlignment="1">
      <alignment horizontal="center" vertical="center"/>
    </xf>
    <xf numFmtId="2" fontId="428" fillId="6" borderId="232" xfId="15" applyNumberFormat="1" applyFont="1" applyFill="1" applyBorder="1" applyAlignment="1">
      <alignment horizontal="center" vertical="center"/>
    </xf>
    <xf numFmtId="0" fontId="323" fillId="25" borderId="217" xfId="5" applyFont="1" applyFill="1" applyBorder="1" applyAlignment="1">
      <alignment horizontal="center" vertical="center"/>
    </xf>
    <xf numFmtId="0" fontId="438" fillId="6" borderId="0" xfId="32" applyFont="1" applyFill="1" applyAlignment="1">
      <alignment horizontal="right" vertical="center"/>
    </xf>
    <xf numFmtId="0" fontId="436" fillId="6" borderId="0" xfId="32" applyFont="1" applyFill="1" applyAlignment="1">
      <alignment horizontal="right" vertical="center"/>
    </xf>
    <xf numFmtId="0" fontId="436" fillId="6" borderId="0" xfId="32" applyFont="1" applyFill="1" applyAlignment="1">
      <alignment vertical="center"/>
    </xf>
    <xf numFmtId="0" fontId="436" fillId="6" borderId="13" xfId="32" applyFont="1" applyFill="1" applyBorder="1" applyAlignment="1">
      <alignment vertical="center"/>
    </xf>
    <xf numFmtId="0" fontId="27" fillId="4" borderId="0" xfId="32" applyFont="1" applyFill="1" applyAlignment="1">
      <alignment horizontal="left" vertical="center"/>
    </xf>
    <xf numFmtId="1" fontId="439" fillId="6" borderId="0" xfId="15" applyNumberFormat="1" applyFont="1" applyFill="1" applyAlignment="1">
      <alignment horizontal="center" vertical="center"/>
    </xf>
    <xf numFmtId="0" fontId="440" fillId="6" borderId="0" xfId="1" applyFont="1" applyFill="1" applyAlignment="1" applyProtection="1">
      <alignment horizontal="left" vertical="center"/>
      <protection hidden="1"/>
    </xf>
    <xf numFmtId="0" fontId="441" fillId="6" borderId="13" xfId="1" applyFont="1" applyFill="1" applyBorder="1" applyAlignment="1">
      <alignment horizontal="center" vertical="center"/>
    </xf>
    <xf numFmtId="1" fontId="439" fillId="6" borderId="114" xfId="15" applyNumberFormat="1" applyFont="1" applyFill="1" applyBorder="1" applyAlignment="1">
      <alignment horizontal="center" vertical="center"/>
    </xf>
    <xf numFmtId="165" fontId="1" fillId="6" borderId="0" xfId="32" applyNumberFormat="1" applyFill="1" applyAlignment="1">
      <alignment horizontal="center" vertical="center"/>
    </xf>
    <xf numFmtId="169" fontId="442" fillId="25" borderId="233" xfId="15" applyNumberFormat="1" applyFont="1" applyFill="1" applyBorder="1" applyAlignment="1">
      <alignment horizontal="center" vertical="center"/>
    </xf>
    <xf numFmtId="0" fontId="443" fillId="6" borderId="0" xfId="32" applyFont="1" applyFill="1" applyAlignment="1">
      <alignment horizontal="right" vertical="center"/>
    </xf>
    <xf numFmtId="0" fontId="107" fillId="6" borderId="232" xfId="5" applyFont="1" applyFill="1" applyBorder="1" applyAlignment="1">
      <alignment horizontal="center" vertical="center"/>
    </xf>
    <xf numFmtId="0" fontId="107" fillId="6" borderId="232" xfId="32" applyFont="1" applyFill="1" applyBorder="1" applyAlignment="1" applyProtection="1">
      <alignment horizontal="center" vertical="center"/>
      <protection locked="0"/>
    </xf>
    <xf numFmtId="0" fontId="444" fillId="6" borderId="0" xfId="32" applyFont="1" applyFill="1" applyAlignment="1">
      <alignment horizontal="right"/>
    </xf>
    <xf numFmtId="0" fontId="436" fillId="0" borderId="0" xfId="32" applyFont="1" applyAlignment="1">
      <alignment horizontal="right"/>
    </xf>
    <xf numFmtId="0" fontId="436" fillId="6" borderId="0" xfId="32" applyFont="1" applyFill="1" applyAlignment="1">
      <alignment vertical="center" wrapText="1"/>
    </xf>
    <xf numFmtId="0" fontId="436" fillId="6" borderId="13" xfId="32" applyFont="1" applyFill="1" applyBorder="1" applyAlignment="1">
      <alignment vertical="center" wrapText="1"/>
    </xf>
    <xf numFmtId="0" fontId="434" fillId="6" borderId="13" xfId="1" applyFont="1" applyFill="1" applyBorder="1" applyAlignment="1">
      <alignment horizontal="center" vertical="center"/>
    </xf>
    <xf numFmtId="0" fontId="431" fillId="6" borderId="143" xfId="1" applyFont="1" applyFill="1" applyBorder="1" applyAlignment="1">
      <alignment vertical="center"/>
    </xf>
    <xf numFmtId="0" fontId="446" fillId="6" borderId="13" xfId="1" applyFont="1" applyFill="1" applyBorder="1" applyAlignment="1">
      <alignment horizontal="center" vertical="center"/>
    </xf>
    <xf numFmtId="0" fontId="1" fillId="6" borderId="41" xfId="32" applyFill="1" applyBorder="1" applyAlignment="1">
      <alignment vertical="center"/>
    </xf>
    <xf numFmtId="0" fontId="1" fillId="6" borderId="189" xfId="32" applyFill="1" applyBorder="1" applyAlignment="1">
      <alignment vertical="center"/>
    </xf>
    <xf numFmtId="0" fontId="1" fillId="6" borderId="91" xfId="32" applyFill="1" applyBorder="1" applyAlignment="1">
      <alignment vertical="center"/>
    </xf>
    <xf numFmtId="0" fontId="1" fillId="6" borderId="12" xfId="32" applyFill="1" applyBorder="1" applyAlignment="1">
      <alignment vertical="center"/>
    </xf>
    <xf numFmtId="0" fontId="1" fillId="6" borderId="0" xfId="32" applyFill="1" applyAlignment="1">
      <alignment vertical="center"/>
    </xf>
    <xf numFmtId="0" fontId="1" fillId="6" borderId="13" xfId="32" applyFill="1" applyBorder="1" applyAlignment="1">
      <alignment vertical="center"/>
    </xf>
    <xf numFmtId="174" fontId="27" fillId="6" borderId="0" xfId="32" applyNumberFormat="1" applyFont="1" applyFill="1" applyAlignment="1">
      <alignment horizontal="center" vertical="center"/>
    </xf>
    <xf numFmtId="0" fontId="1" fillId="6" borderId="0" xfId="32" applyFill="1" applyAlignment="1">
      <alignment horizontal="left" vertical="center"/>
    </xf>
    <xf numFmtId="0" fontId="1" fillId="0" borderId="0" xfId="32" applyAlignment="1">
      <alignment vertical="center"/>
    </xf>
    <xf numFmtId="0" fontId="1" fillId="0" borderId="13" xfId="32" applyBorder="1" applyAlignment="1">
      <alignment vertical="center"/>
    </xf>
    <xf numFmtId="2" fontId="429" fillId="6" borderId="231" xfId="5" applyNumberFormat="1" applyFont="1" applyFill="1" applyBorder="1" applyAlignment="1">
      <alignment horizontal="center" vertical="center"/>
    </xf>
    <xf numFmtId="2" fontId="447" fillId="6" borderId="114" xfId="15" applyNumberFormat="1" applyFont="1" applyFill="1" applyBorder="1" applyAlignment="1">
      <alignment horizontal="center" vertical="center"/>
    </xf>
    <xf numFmtId="165" fontId="448" fillId="25" borderId="217" xfId="15" applyNumberFormat="1" applyFont="1" applyFill="1" applyBorder="1" applyAlignment="1">
      <alignment horizontal="center" vertical="center"/>
    </xf>
    <xf numFmtId="0" fontId="107" fillId="6" borderId="234" xfId="5" applyFont="1" applyFill="1" applyBorder="1" applyAlignment="1">
      <alignment horizontal="center" vertical="center"/>
    </xf>
    <xf numFmtId="0" fontId="107" fillId="6" borderId="234" xfId="32" applyFont="1" applyFill="1" applyBorder="1" applyAlignment="1" applyProtection="1">
      <alignment horizontal="center" vertical="center"/>
      <protection locked="0"/>
    </xf>
    <xf numFmtId="0" fontId="107" fillId="6" borderId="0" xfId="5" applyFont="1" applyFill="1" applyAlignment="1">
      <alignment horizontal="center" vertical="center"/>
    </xf>
    <xf numFmtId="0" fontId="444" fillId="6" borderId="0" xfId="32" applyFont="1" applyFill="1" applyAlignment="1">
      <alignment horizontal="right" vertical="center"/>
    </xf>
    <xf numFmtId="0" fontId="436" fillId="0" borderId="0" xfId="32" applyFont="1" applyAlignment="1">
      <alignment horizontal="right" vertical="center"/>
    </xf>
    <xf numFmtId="0" fontId="449" fillId="111" borderId="0" xfId="29" applyFont="1" applyFill="1" applyAlignment="1">
      <alignment horizontal="center" vertical="center"/>
    </xf>
    <xf numFmtId="0" fontId="6" fillId="4" borderId="12" xfId="32" applyFont="1" applyFill="1" applyBorder="1"/>
    <xf numFmtId="0" fontId="6" fillId="4" borderId="0" xfId="32" applyFont="1" applyFill="1"/>
    <xf numFmtId="0" fontId="451" fillId="4" borderId="0" xfId="32" applyFont="1" applyFill="1"/>
    <xf numFmtId="0" fontId="452" fillId="4" borderId="0" xfId="10" applyFont="1" applyFill="1" applyAlignment="1">
      <alignment horizontal="left" vertical="center"/>
    </xf>
    <xf numFmtId="2" fontId="27" fillId="4" borderId="0" xfId="10" applyNumberFormat="1" applyFont="1" applyFill="1" applyAlignment="1">
      <alignment horizontal="center" vertical="center"/>
    </xf>
    <xf numFmtId="195" fontId="450" fillId="4" borderId="0" xfId="10" applyNumberFormat="1" applyFont="1" applyFill="1" applyAlignment="1">
      <alignment horizontal="center" vertical="center"/>
    </xf>
    <xf numFmtId="194" fontId="450" fillId="4" borderId="0" xfId="10" applyNumberFormat="1" applyFont="1" applyFill="1" applyAlignment="1">
      <alignment horizontal="center" vertical="center"/>
    </xf>
    <xf numFmtId="194" fontId="450" fillId="4" borderId="13" xfId="10" applyNumberFormat="1" applyFont="1" applyFill="1" applyBorder="1" applyAlignment="1">
      <alignment horizontal="left" vertical="center"/>
    </xf>
    <xf numFmtId="194" fontId="450" fillId="4" borderId="13" xfId="10" applyNumberFormat="1" applyFont="1" applyFill="1" applyBorder="1" applyAlignment="1">
      <alignment horizontal="center" vertical="center"/>
    </xf>
    <xf numFmtId="0" fontId="418" fillId="4" borderId="12" xfId="11" applyFont="1" applyFill="1" applyBorder="1" applyAlignment="1">
      <alignment horizontal="center" vertical="center"/>
    </xf>
    <xf numFmtId="0" fontId="418" fillId="4" borderId="0" xfId="11" applyFont="1" applyFill="1" applyAlignment="1">
      <alignment horizontal="center" vertical="center"/>
    </xf>
    <xf numFmtId="0" fontId="1" fillId="4" borderId="190" xfId="32" applyFill="1" applyBorder="1"/>
    <xf numFmtId="0" fontId="1" fillId="4" borderId="189" xfId="32" applyFill="1" applyBorder="1"/>
    <xf numFmtId="0" fontId="6" fillId="0" borderId="189" xfId="1" applyBorder="1" applyProtection="1">
      <protection hidden="1"/>
    </xf>
    <xf numFmtId="0" fontId="1" fillId="4" borderId="39" xfId="32" applyFill="1" applyBorder="1"/>
    <xf numFmtId="165" fontId="154" fillId="4" borderId="10" xfId="10" applyNumberFormat="1" applyFont="1" applyFill="1" applyBorder="1" applyAlignment="1">
      <alignment horizontal="center" vertical="center"/>
    </xf>
    <xf numFmtId="0" fontId="154" fillId="4" borderId="0" xfId="32" applyFont="1" applyFill="1" applyAlignment="1">
      <alignment horizontal="left" vertical="center"/>
    </xf>
    <xf numFmtId="0" fontId="154" fillId="4" borderId="0" xfId="32" applyFont="1" applyFill="1" applyAlignment="1">
      <alignment horizontal="center" vertical="center"/>
    </xf>
    <xf numFmtId="169" fontId="154" fillId="4" borderId="0" xfId="10" applyNumberFormat="1" applyFont="1" applyFill="1" applyAlignment="1">
      <alignment horizontal="center" vertical="center"/>
    </xf>
    <xf numFmtId="0" fontId="154" fillId="4" borderId="0" xfId="10" applyFont="1" applyFill="1" applyAlignment="1">
      <alignment vertical="center"/>
    </xf>
    <xf numFmtId="0" fontId="6" fillId="114" borderId="0" xfId="1" applyFill="1" applyProtection="1">
      <protection hidden="1"/>
    </xf>
    <xf numFmtId="0" fontId="352" fillId="114" borderId="16" xfId="11" applyFont="1" applyFill="1" applyBorder="1" applyAlignment="1">
      <alignment horizontal="center" vertical="center"/>
    </xf>
    <xf numFmtId="0" fontId="1" fillId="4" borderId="10" xfId="32" applyFill="1" applyBorder="1"/>
    <xf numFmtId="0" fontId="456" fillId="4" borderId="0" xfId="11" applyFont="1" applyFill="1"/>
    <xf numFmtId="0" fontId="456" fillId="4" borderId="16" xfId="11" applyFont="1" applyFill="1" applyBorder="1"/>
    <xf numFmtId="174" fontId="154" fillId="4" borderId="0" xfId="10" applyNumberFormat="1" applyFont="1" applyFill="1" applyAlignment="1">
      <alignment horizontal="left" vertical="center"/>
    </xf>
    <xf numFmtId="0" fontId="154" fillId="4" borderId="0" xfId="10" applyFont="1" applyFill="1" applyAlignment="1">
      <alignment horizontal="right" vertical="center"/>
    </xf>
    <xf numFmtId="0" fontId="409" fillId="4" borderId="0" xfId="10" applyFont="1" applyFill="1" applyAlignment="1">
      <alignment horizontal="center" wrapText="1"/>
    </xf>
    <xf numFmtId="0" fontId="6" fillId="80" borderId="0" xfId="1" applyFill="1" applyProtection="1">
      <protection hidden="1"/>
    </xf>
    <xf numFmtId="0" fontId="352" fillId="80" borderId="16" xfId="11" applyFont="1" applyFill="1" applyBorder="1" applyAlignment="1">
      <alignment horizontal="center" vertical="center"/>
    </xf>
    <xf numFmtId="0" fontId="458" fillId="6" borderId="239" xfId="32" applyFont="1" applyFill="1" applyBorder="1" applyAlignment="1">
      <alignment horizontal="center" vertical="center"/>
    </xf>
    <xf numFmtId="0" fontId="458" fillId="6" borderId="240" xfId="32" applyFont="1" applyFill="1" applyBorder="1" applyAlignment="1">
      <alignment horizontal="center" vertical="center"/>
    </xf>
    <xf numFmtId="2" fontId="458" fillId="6" borderId="240" xfId="5" applyNumberFormat="1" applyFont="1" applyFill="1" applyBorder="1" applyAlignment="1">
      <alignment horizontal="center" vertical="center"/>
    </xf>
    <xf numFmtId="1" fontId="458" fillId="6" borderId="240" xfId="5" applyNumberFormat="1" applyFont="1" applyFill="1" applyBorder="1" applyAlignment="1">
      <alignment horizontal="center" vertical="center"/>
    </xf>
    <xf numFmtId="177" fontId="458" fillId="6" borderId="240" xfId="5" applyNumberFormat="1" applyFont="1" applyFill="1" applyBorder="1" applyAlignment="1">
      <alignment horizontal="center" vertical="center"/>
    </xf>
    <xf numFmtId="177" fontId="458" fillId="6" borderId="241" xfId="5" applyNumberFormat="1" applyFont="1" applyFill="1" applyBorder="1" applyAlignment="1">
      <alignment horizontal="center" vertical="center"/>
    </xf>
    <xf numFmtId="0" fontId="458" fillId="6" borderId="12" xfId="32" applyFont="1" applyFill="1" applyBorder="1" applyAlignment="1">
      <alignment horizontal="center" vertical="center"/>
    </xf>
    <xf numFmtId="0" fontId="458" fillId="6" borderId="0" xfId="32" applyFont="1" applyFill="1" applyAlignment="1">
      <alignment horizontal="center" vertical="center"/>
    </xf>
    <xf numFmtId="2" fontId="458" fillId="6" borderId="0" xfId="5" applyNumberFormat="1" applyFont="1" applyFill="1" applyAlignment="1">
      <alignment horizontal="center" vertical="center"/>
    </xf>
    <xf numFmtId="1" fontId="458" fillId="6" borderId="0" xfId="5" applyNumberFormat="1" applyFont="1" applyFill="1" applyAlignment="1">
      <alignment horizontal="center" vertical="center"/>
    </xf>
    <xf numFmtId="177" fontId="458" fillId="6" borderId="0" xfId="5" applyNumberFormat="1" applyFont="1" applyFill="1" applyAlignment="1">
      <alignment horizontal="center" vertical="center"/>
    </xf>
    <xf numFmtId="177" fontId="458" fillId="6" borderId="13" xfId="5" applyNumberFormat="1" applyFont="1" applyFill="1" applyBorder="1" applyAlignment="1">
      <alignment horizontal="center" vertical="center"/>
    </xf>
    <xf numFmtId="177" fontId="458" fillId="115" borderId="12" xfId="5" applyNumberFormat="1" applyFont="1" applyFill="1" applyBorder="1" applyAlignment="1">
      <alignment horizontal="center" vertical="center"/>
    </xf>
    <xf numFmtId="0" fontId="458" fillId="6" borderId="0" xfId="32" applyFont="1" applyFill="1" applyAlignment="1">
      <alignment horizontal="centerContinuous" vertical="center"/>
    </xf>
    <xf numFmtId="0" fontId="458" fillId="6" borderId="0" xfId="32" applyFont="1" applyFill="1" applyAlignment="1">
      <alignment horizontal="center" vertical="center" wrapText="1"/>
    </xf>
    <xf numFmtId="1" fontId="458" fillId="6" borderId="0" xfId="5" applyNumberFormat="1" applyFont="1" applyFill="1" applyAlignment="1">
      <alignment horizontal="centerContinuous" vertical="center"/>
    </xf>
    <xf numFmtId="196" fontId="458" fillId="6" borderId="0" xfId="5" applyNumberFormat="1" applyFont="1" applyFill="1" applyAlignment="1">
      <alignment horizontal="center" vertical="center" wrapText="1"/>
    </xf>
    <xf numFmtId="196" fontId="458" fillId="6" borderId="13" xfId="5" applyNumberFormat="1" applyFont="1" applyFill="1" applyBorder="1" applyAlignment="1">
      <alignment horizontal="center" vertical="center" wrapText="1"/>
    </xf>
    <xf numFmtId="0" fontId="88" fillId="3" borderId="0" xfId="32" applyFont="1" applyFill="1" applyAlignment="1">
      <alignment horizontal="centerContinuous" vertical="center"/>
    </xf>
    <xf numFmtId="0" fontId="6" fillId="4" borderId="12" xfId="32" applyFont="1" applyFill="1" applyBorder="1" applyAlignment="1">
      <alignment vertical="center"/>
    </xf>
    <xf numFmtId="0" fontId="107" fillId="4" borderId="0" xfId="32" applyFont="1" applyFill="1" applyAlignment="1">
      <alignment vertical="center"/>
    </xf>
    <xf numFmtId="2" fontId="27" fillId="4" borderId="0" xfId="32" applyNumberFormat="1" applyFont="1" applyFill="1" applyAlignment="1">
      <alignment horizontal="center" vertical="center"/>
    </xf>
    <xf numFmtId="0" fontId="6" fillId="4" borderId="0" xfId="32" applyFont="1" applyFill="1" applyAlignment="1">
      <alignment horizontal="center" vertical="center" wrapText="1"/>
    </xf>
    <xf numFmtId="0" fontId="6" fillId="4" borderId="13" xfId="32" applyFont="1" applyFill="1" applyBorder="1" applyAlignment="1">
      <alignment horizontal="center" vertical="center" wrapText="1"/>
    </xf>
    <xf numFmtId="0" fontId="6" fillId="42" borderId="12" xfId="32" applyFont="1" applyFill="1" applyBorder="1" applyAlignment="1">
      <alignment vertical="center"/>
    </xf>
    <xf numFmtId="0" fontId="107" fillId="42" borderId="0" xfId="32" applyFont="1" applyFill="1" applyAlignment="1">
      <alignment vertical="center"/>
    </xf>
    <xf numFmtId="177" fontId="445" fillId="4" borderId="12" xfId="5" applyNumberFormat="1" applyFont="1" applyFill="1" applyBorder="1" applyAlignment="1">
      <alignment horizontal="center" vertical="center"/>
    </xf>
    <xf numFmtId="196" fontId="459" fillId="4" borderId="0" xfId="5" applyNumberFormat="1" applyFont="1" applyFill="1" applyAlignment="1">
      <alignment horizontal="right" vertical="center" wrapText="1"/>
    </xf>
    <xf numFmtId="177" fontId="437" fillId="4" borderId="0" xfId="5" applyNumberFormat="1" applyFont="1" applyFill="1" applyAlignment="1">
      <alignment horizontal="center" vertical="center"/>
    </xf>
    <xf numFmtId="196" fontId="423" fillId="4" borderId="0" xfId="5" applyNumberFormat="1" applyFont="1" applyFill="1" applyAlignment="1">
      <alignment horizontal="right" vertical="center" wrapText="1"/>
    </xf>
    <xf numFmtId="196" fontId="460" fillId="4" borderId="0" xfId="5" applyNumberFormat="1" applyFont="1" applyFill="1" applyAlignment="1">
      <alignment horizontal="center" vertical="center" wrapText="1"/>
    </xf>
    <xf numFmtId="196" fontId="460" fillId="4" borderId="13" xfId="5" applyNumberFormat="1" applyFont="1" applyFill="1" applyBorder="1" applyAlignment="1">
      <alignment horizontal="center" vertical="center" wrapText="1"/>
    </xf>
    <xf numFmtId="0" fontId="1" fillId="39" borderId="12" xfId="32" applyFill="1" applyBorder="1" applyAlignment="1">
      <alignment vertical="center"/>
    </xf>
    <xf numFmtId="0" fontId="1" fillId="39" borderId="0" xfId="32" applyFill="1" applyAlignment="1">
      <alignment vertical="center"/>
    </xf>
    <xf numFmtId="0" fontId="1" fillId="39" borderId="0" xfId="32" applyFill="1" applyAlignment="1">
      <alignment horizontal="centerContinuous" vertical="center"/>
    </xf>
    <xf numFmtId="0" fontId="107" fillId="39" borderId="13" xfId="32" applyFont="1" applyFill="1" applyBorder="1" applyAlignment="1">
      <alignment horizontal="centerContinuous" vertical="center"/>
    </xf>
    <xf numFmtId="0" fontId="1" fillId="4" borderId="239" xfId="32" applyFill="1" applyBorder="1"/>
    <xf numFmtId="0" fontId="1" fillId="4" borderId="240" xfId="32" applyFill="1" applyBorder="1"/>
    <xf numFmtId="177" fontId="88" fillId="4" borderId="240" xfId="32" applyNumberFormat="1" applyFont="1" applyFill="1" applyBorder="1" applyAlignment="1" applyProtection="1">
      <alignment horizontal="center" vertical="center" wrapText="1"/>
      <protection locked="0"/>
    </xf>
    <xf numFmtId="0" fontId="409" fillId="4" borderId="240" xfId="32" applyFont="1" applyFill="1" applyBorder="1" applyAlignment="1">
      <alignment horizontal="center" vertical="center"/>
    </xf>
    <xf numFmtId="0" fontId="6" fillId="4" borderId="240" xfId="1" applyFill="1" applyBorder="1" applyProtection="1">
      <protection hidden="1"/>
    </xf>
    <xf numFmtId="0" fontId="1" fillId="4" borderId="240" xfId="29" applyFill="1" applyBorder="1"/>
    <xf numFmtId="177" fontId="461" fillId="4" borderId="240" xfId="32" applyNumberFormat="1" applyFont="1" applyFill="1" applyBorder="1" applyAlignment="1">
      <alignment vertical="center"/>
    </xf>
    <xf numFmtId="177" fontId="461" fillId="4" borderId="241" xfId="32" applyNumberFormat="1" applyFont="1" applyFill="1" applyBorder="1" applyAlignment="1">
      <alignment vertical="center"/>
    </xf>
    <xf numFmtId="177" fontId="454" fillId="25" borderId="12" xfId="5" applyNumberFormat="1" applyFont="1" applyFill="1" applyBorder="1" applyAlignment="1">
      <alignment horizontal="center" vertical="center"/>
    </xf>
    <xf numFmtId="177" fontId="454" fillId="25" borderId="0" xfId="5" applyNumberFormat="1" applyFont="1" applyFill="1" applyAlignment="1">
      <alignment horizontal="center" vertical="center"/>
    </xf>
    <xf numFmtId="197" fontId="154" fillId="4" borderId="0" xfId="5" applyNumberFormat="1" applyFont="1" applyFill="1" applyAlignment="1">
      <alignment horizontal="center" vertical="center"/>
    </xf>
    <xf numFmtId="0" fontId="352" fillId="80" borderId="13" xfId="32" applyFont="1" applyFill="1" applyBorder="1" applyAlignment="1">
      <alignment horizontal="center" vertical="center"/>
    </xf>
    <xf numFmtId="174" fontId="454" fillId="4" borderId="12" xfId="5" applyNumberFormat="1" applyFont="1" applyFill="1" applyBorder="1" applyAlignment="1">
      <alignment horizontal="center" vertical="center"/>
    </xf>
    <xf numFmtId="174" fontId="454" fillId="4" borderId="0" xfId="5" applyNumberFormat="1" applyFont="1" applyFill="1" applyAlignment="1">
      <alignment horizontal="center" vertical="center"/>
    </xf>
    <xf numFmtId="0" fontId="463" fillId="4" borderId="0" xfId="1" applyFont="1" applyFill="1" applyProtection="1">
      <protection hidden="1"/>
    </xf>
    <xf numFmtId="0" fontId="464" fillId="4" borderId="0" xfId="29" applyFont="1" applyFill="1"/>
    <xf numFmtId="0" fontId="465" fillId="4" borderId="0" xfId="32" applyFont="1" applyFill="1" applyAlignment="1">
      <alignment horizontal="right" vertical="center"/>
    </xf>
    <xf numFmtId="177" fontId="461" fillId="4" borderId="13" xfId="32" applyNumberFormat="1" applyFont="1" applyFill="1" applyBorder="1" applyAlignment="1">
      <alignment vertical="center"/>
    </xf>
    <xf numFmtId="0" fontId="409" fillId="4" borderId="0" xfId="32" applyFont="1" applyFill="1" applyAlignment="1">
      <alignment horizontal="center" vertical="center"/>
    </xf>
    <xf numFmtId="0" fontId="409" fillId="4" borderId="0" xfId="32" applyFont="1" applyFill="1" applyAlignment="1">
      <alignment horizontal="right" vertical="center"/>
    </xf>
    <xf numFmtId="174" fontId="154" fillId="4" borderId="12" xfId="5" applyNumberFormat="1" applyFont="1" applyFill="1" applyBorder="1" applyAlignment="1">
      <alignment horizontal="center" vertical="center"/>
    </xf>
    <xf numFmtId="174" fontId="154" fillId="4" borderId="0" xfId="5" applyNumberFormat="1" applyFont="1" applyFill="1" applyAlignment="1">
      <alignment horizontal="center" vertical="center"/>
    </xf>
    <xf numFmtId="0" fontId="27" fillId="4" borderId="0" xfId="32" applyFont="1" applyFill="1" applyAlignment="1">
      <alignment horizontal="right" vertical="center"/>
    </xf>
    <xf numFmtId="0" fontId="352" fillId="4" borderId="13" xfId="32" applyFont="1" applyFill="1" applyBorder="1" applyAlignment="1">
      <alignment horizontal="center" vertical="center"/>
    </xf>
    <xf numFmtId="171" fontId="409" fillId="4" borderId="12" xfId="11" applyNumberFormat="1" applyFont="1" applyFill="1" applyBorder="1" applyAlignment="1" applyProtection="1">
      <alignment horizontal="center" vertical="center"/>
      <protection locked="0"/>
    </xf>
    <xf numFmtId="177" fontId="409" fillId="4" borderId="0" xfId="5" applyNumberFormat="1" applyFont="1" applyFill="1" applyAlignment="1">
      <alignment horizontal="center" vertical="center"/>
    </xf>
    <xf numFmtId="2" fontId="409" fillId="4" borderId="0" xfId="5" applyNumberFormat="1" applyFont="1" applyFill="1" applyAlignment="1">
      <alignment horizontal="center" vertical="center"/>
    </xf>
    <xf numFmtId="1" fontId="454" fillId="25" borderId="12" xfId="5" applyNumberFormat="1" applyFont="1" applyFill="1" applyBorder="1" applyAlignment="1">
      <alignment horizontal="center" vertical="center"/>
    </xf>
    <xf numFmtId="1" fontId="454" fillId="25" borderId="0" xfId="5" applyNumberFormat="1" applyFont="1" applyFill="1" applyAlignment="1">
      <alignment horizontal="center" vertical="center"/>
    </xf>
    <xf numFmtId="174" fontId="454" fillId="25" borderId="0" xfId="5" applyNumberFormat="1" applyFont="1" applyFill="1" applyAlignment="1">
      <alignment horizontal="center" vertical="center"/>
    </xf>
    <xf numFmtId="0" fontId="1" fillId="4" borderId="12" xfId="32" applyFill="1" applyBorder="1"/>
    <xf numFmtId="196" fontId="466" fillId="4" borderId="0" xfId="5" applyNumberFormat="1" applyFont="1" applyFill="1" applyAlignment="1">
      <alignment vertical="center"/>
    </xf>
    <xf numFmtId="0" fontId="420" fillId="4" borderId="12" xfId="5" applyFont="1" applyFill="1" applyBorder="1" applyAlignment="1">
      <alignment horizontal="center" vertical="center"/>
    </xf>
    <xf numFmtId="0" fontId="420" fillId="4" borderId="0" xfId="5" applyFont="1" applyFill="1" applyAlignment="1">
      <alignment horizontal="center" vertical="center"/>
    </xf>
    <xf numFmtId="0" fontId="27" fillId="4" borderId="0" xfId="11" applyFont="1" applyFill="1" applyAlignment="1">
      <alignment horizontal="center" vertical="center"/>
    </xf>
    <xf numFmtId="196" fontId="409" fillId="4" borderId="0" xfId="5" applyNumberFormat="1" applyFont="1" applyFill="1" applyAlignment="1">
      <alignment horizontal="right" vertical="center" wrapText="1"/>
    </xf>
    <xf numFmtId="0" fontId="420" fillId="25" borderId="245" xfId="5" applyFont="1" applyFill="1" applyBorder="1" applyAlignment="1">
      <alignment horizontal="center" vertical="center"/>
    </xf>
    <xf numFmtId="0" fontId="420" fillId="25" borderId="246" xfId="5" applyFont="1" applyFill="1" applyBorder="1" applyAlignment="1">
      <alignment horizontal="center" vertical="center"/>
    </xf>
    <xf numFmtId="196" fontId="409" fillId="4" borderId="0" xfId="5" applyNumberFormat="1" applyFont="1" applyFill="1" applyAlignment="1">
      <alignment vertical="center" wrapText="1"/>
    </xf>
    <xf numFmtId="196" fontId="27" fillId="4" borderId="12" xfId="5" applyNumberFormat="1" applyFont="1" applyFill="1" applyBorder="1" applyAlignment="1">
      <alignment vertical="center"/>
    </xf>
    <xf numFmtId="196" fontId="27" fillId="4" borderId="0" xfId="5" applyNumberFormat="1" applyFont="1" applyFill="1" applyAlignment="1">
      <alignment vertical="center"/>
    </xf>
    <xf numFmtId="0" fontId="467" fillId="4" borderId="12" xfId="11" applyFont="1" applyFill="1" applyBorder="1" applyAlignment="1">
      <alignment horizontal="center" vertical="center"/>
    </xf>
    <xf numFmtId="198" fontId="409" fillId="4" borderId="0" xfId="33" applyNumberFormat="1" applyFont="1" applyFill="1" applyAlignment="1">
      <alignment horizontal="center" vertical="center"/>
    </xf>
    <xf numFmtId="0" fontId="23" fillId="4" borderId="0" xfId="11" applyFill="1" applyAlignment="1">
      <alignment horizontal="centerContinuous" vertical="center"/>
    </xf>
    <xf numFmtId="199" fontId="468" fillId="4" borderId="0" xfId="33" applyNumberFormat="1" applyFont="1" applyFill="1" applyAlignment="1">
      <alignment horizontal="centerContinuous" vertical="center"/>
    </xf>
    <xf numFmtId="199" fontId="409" fillId="4" borderId="0" xfId="33" applyNumberFormat="1" applyFont="1" applyFill="1" applyAlignment="1">
      <alignment horizontal="centerContinuous" vertical="center"/>
    </xf>
    <xf numFmtId="0" fontId="409" fillId="4" borderId="0" xfId="33" applyFont="1" applyFill="1" applyAlignment="1">
      <alignment horizontal="right" vertical="center"/>
    </xf>
    <xf numFmtId="0" fontId="6" fillId="4" borderId="190" xfId="1" applyFill="1" applyBorder="1" applyProtection="1">
      <protection hidden="1"/>
    </xf>
    <xf numFmtId="0" fontId="1" fillId="4" borderId="189" xfId="32" applyFill="1" applyBorder="1" applyAlignment="1">
      <alignment vertical="center"/>
    </xf>
    <xf numFmtId="0" fontId="6" fillId="4" borderId="189" xfId="1" applyFill="1" applyBorder="1" applyProtection="1">
      <protection hidden="1"/>
    </xf>
    <xf numFmtId="9" fontId="1" fillId="4" borderId="189" xfId="32" applyNumberFormat="1" applyFill="1" applyBorder="1" applyAlignment="1">
      <alignment vertical="center"/>
    </xf>
    <xf numFmtId="0" fontId="1" fillId="4" borderId="189" xfId="29" applyFill="1" applyBorder="1"/>
    <xf numFmtId="0" fontId="1" fillId="4" borderId="39" xfId="32" applyFill="1" applyBorder="1" applyAlignment="1">
      <alignment vertical="center"/>
    </xf>
    <xf numFmtId="0" fontId="6" fillId="4" borderId="10" xfId="1" applyFill="1" applyBorder="1" applyProtection="1">
      <protection hidden="1"/>
    </xf>
    <xf numFmtId="0" fontId="1" fillId="4" borderId="0" xfId="32" applyFill="1" applyAlignment="1">
      <alignment vertical="center"/>
    </xf>
    <xf numFmtId="0" fontId="88" fillId="4" borderId="0" xfId="32" applyFont="1" applyFill="1" applyAlignment="1">
      <alignment vertical="center"/>
    </xf>
    <xf numFmtId="173" fontId="470" fillId="4" borderId="0" xfId="32" applyNumberFormat="1" applyFont="1" applyFill="1" applyAlignment="1" applyProtection="1">
      <alignment horizontal="center" vertical="center"/>
      <protection locked="0"/>
    </xf>
    <xf numFmtId="173" fontId="419" fillId="25" borderId="0" xfId="32" applyNumberFormat="1" applyFont="1" applyFill="1" applyAlignment="1" applyProtection="1">
      <alignment horizontal="center" vertical="center"/>
      <protection locked="0"/>
    </xf>
    <xf numFmtId="177" fontId="461" fillId="4" borderId="0" xfId="32" applyNumberFormat="1" applyFont="1" applyFill="1" applyAlignment="1">
      <alignment vertical="center"/>
    </xf>
    <xf numFmtId="173" fontId="471" fillId="25" borderId="0" xfId="32" applyNumberFormat="1" applyFont="1" applyFill="1" applyAlignment="1" applyProtection="1">
      <alignment horizontal="center" vertical="center"/>
      <protection locked="0"/>
    </xf>
    <xf numFmtId="177" fontId="472" fillId="0" borderId="0" xfId="32" applyNumberFormat="1" applyFont="1" applyAlignment="1" applyProtection="1">
      <alignment horizontal="center" vertical="center" wrapText="1"/>
      <protection locked="0"/>
    </xf>
    <xf numFmtId="177" fontId="420" fillId="56" borderId="0" xfId="32" applyNumberFormat="1" applyFont="1" applyFill="1" applyAlignment="1" applyProtection="1">
      <alignment horizontal="center" vertical="center"/>
      <protection locked="0"/>
    </xf>
    <xf numFmtId="0" fontId="6" fillId="4" borderId="39" xfId="1" applyFill="1" applyBorder="1" applyProtection="1">
      <protection hidden="1"/>
    </xf>
    <xf numFmtId="0" fontId="473" fillId="4" borderId="10" xfId="32" applyFont="1" applyFill="1" applyBorder="1" applyAlignment="1">
      <alignment horizontal="left" vertical="center"/>
    </xf>
    <xf numFmtId="0" fontId="473" fillId="4" borderId="0" xfId="32" applyFont="1" applyFill="1" applyAlignment="1">
      <alignment horizontal="left" vertical="center"/>
    </xf>
    <xf numFmtId="0" fontId="146" fillId="4" borderId="0" xfId="32" applyFont="1" applyFill="1" applyAlignment="1">
      <alignment horizontal="left" vertical="center"/>
    </xf>
    <xf numFmtId="0" fontId="142" fillId="4" borderId="0" xfId="32" applyFont="1" applyFill="1" applyAlignment="1">
      <alignment horizontal="left" vertical="center"/>
    </xf>
    <xf numFmtId="0" fontId="473" fillId="4" borderId="16" xfId="32" applyFont="1" applyFill="1" applyBorder="1" applyAlignment="1">
      <alignment horizontal="left" vertical="center"/>
    </xf>
    <xf numFmtId="0" fontId="474" fillId="4" borderId="0" xfId="1" applyFont="1" applyFill="1" applyAlignment="1">
      <alignment horizontal="center" vertical="center"/>
    </xf>
    <xf numFmtId="0" fontId="475" fillId="4" borderId="0" xfId="32" applyFont="1" applyFill="1" applyAlignment="1">
      <alignment horizontal="left" vertical="center"/>
    </xf>
    <xf numFmtId="0" fontId="476" fillId="4" borderId="0" xfId="32" applyFont="1" applyFill="1" applyAlignment="1">
      <alignment horizontal="left" vertical="center"/>
    </xf>
    <xf numFmtId="187" fontId="476" fillId="4" borderId="0" xfId="5" applyNumberFormat="1" applyFont="1" applyFill="1" applyAlignment="1">
      <alignment horizontal="centerContinuous" vertical="center"/>
    </xf>
    <xf numFmtId="185" fontId="476" fillId="4" borderId="0" xfId="5" applyNumberFormat="1" applyFont="1" applyFill="1" applyAlignment="1">
      <alignment horizontal="centerContinuous" vertical="center"/>
    </xf>
    <xf numFmtId="187" fontId="27" fillId="4" borderId="0" xfId="5" applyNumberFormat="1" applyFont="1" applyFill="1" applyAlignment="1">
      <alignment horizontal="centerContinuous" vertical="center"/>
    </xf>
    <xf numFmtId="187" fontId="405" fillId="4" borderId="0" xfId="5" applyNumberFormat="1" applyFont="1" applyFill="1" applyAlignment="1">
      <alignment horizontal="centerContinuous" vertical="center"/>
    </xf>
    <xf numFmtId="165" fontId="27" fillId="4" borderId="247" xfId="5" applyNumberFormat="1" applyFont="1" applyFill="1" applyBorder="1" applyAlignment="1">
      <alignment horizontal="center" vertical="center"/>
    </xf>
    <xf numFmtId="165" fontId="27" fillId="4" borderId="231" xfId="5" applyNumberFormat="1" applyFont="1" applyFill="1" applyBorder="1" applyAlignment="1">
      <alignment horizontal="center" vertical="center"/>
    </xf>
    <xf numFmtId="0" fontId="107" fillId="4" borderId="0" xfId="32" applyFont="1" applyFill="1" applyAlignment="1">
      <alignment horizontal="left" vertical="center"/>
    </xf>
    <xf numFmtId="187" fontId="107" fillId="4" borderId="0" xfId="5" applyNumberFormat="1" applyFont="1" applyFill="1" applyAlignment="1">
      <alignment horizontal="centerContinuous" vertical="center"/>
    </xf>
    <xf numFmtId="165" fontId="107" fillId="4" borderId="247" xfId="5" applyNumberFormat="1" applyFont="1" applyFill="1" applyBorder="1" applyAlignment="1">
      <alignment horizontal="center" vertical="center"/>
    </xf>
    <xf numFmtId="165" fontId="107" fillId="4" borderId="231" xfId="5" applyNumberFormat="1" applyFont="1" applyFill="1" applyBorder="1" applyAlignment="1">
      <alignment horizontal="center" vertical="center"/>
    </xf>
    <xf numFmtId="0" fontId="107" fillId="4" borderId="0" xfId="32" applyFont="1" applyFill="1" applyAlignment="1">
      <alignment horizontal="right" vertical="center"/>
    </xf>
    <xf numFmtId="0" fontId="477" fillId="4" borderId="0" xfId="1" applyFont="1" applyFill="1" applyProtection="1">
      <protection hidden="1"/>
    </xf>
    <xf numFmtId="0" fontId="27" fillId="4" borderId="234" xfId="5" applyFont="1" applyFill="1" applyBorder="1" applyAlignment="1">
      <alignment horizontal="center" vertical="center"/>
    </xf>
    <xf numFmtId="0" fontId="27" fillId="4" borderId="234" xfId="32" applyFont="1" applyFill="1" applyBorder="1" applyAlignment="1" applyProtection="1">
      <alignment horizontal="center" vertical="center"/>
      <protection locked="0"/>
    </xf>
    <xf numFmtId="0" fontId="27" fillId="4" borderId="0" xfId="5" applyFont="1" applyFill="1" applyAlignment="1">
      <alignment horizontal="center" vertical="center"/>
    </xf>
    <xf numFmtId="0" fontId="27" fillId="4" borderId="0" xfId="5" applyFont="1" applyFill="1" applyAlignment="1">
      <alignment horizontal="right" vertical="center"/>
    </xf>
    <xf numFmtId="0" fontId="474" fillId="4" borderId="0" xfId="1" applyFont="1" applyFill="1" applyAlignment="1">
      <alignment horizontal="left" vertical="center"/>
    </xf>
    <xf numFmtId="171" fontId="437" fillId="25" borderId="248" xfId="32" applyNumberFormat="1" applyFont="1" applyFill="1" applyBorder="1" applyAlignment="1" applyProtection="1">
      <alignment horizontal="center" vertical="center"/>
      <protection locked="0"/>
    </xf>
    <xf numFmtId="0" fontId="454" fillId="4" borderId="0" xfId="32" applyFont="1" applyFill="1" applyAlignment="1">
      <alignment horizontal="center" vertical="center"/>
    </xf>
    <xf numFmtId="165" fontId="453" fillId="25" borderId="249" xfId="5" applyNumberFormat="1" applyFont="1" applyFill="1" applyBorder="1" applyAlignment="1">
      <alignment horizontal="center" vertical="center"/>
    </xf>
    <xf numFmtId="165" fontId="437" fillId="25" borderId="249" xfId="5" applyNumberFormat="1" applyFont="1" applyFill="1" applyBorder="1" applyAlignment="1">
      <alignment horizontal="center" vertical="center"/>
    </xf>
    <xf numFmtId="0" fontId="437" fillId="4" borderId="0" xfId="32" applyFont="1" applyFill="1" applyAlignment="1">
      <alignment horizontal="right" vertical="center"/>
    </xf>
    <xf numFmtId="0" fontId="1" fillId="0" borderId="250" xfId="32" applyBorder="1"/>
    <xf numFmtId="2" fontId="107" fillId="4" borderId="0" xfId="32" applyNumberFormat="1" applyFont="1" applyFill="1" applyAlignment="1">
      <alignment horizontal="left" vertical="center"/>
    </xf>
    <xf numFmtId="0" fontId="445" fillId="25" borderId="249" xfId="5" applyFont="1" applyFill="1" applyBorder="1" applyAlignment="1">
      <alignment horizontal="center" vertical="center"/>
    </xf>
    <xf numFmtId="0" fontId="445" fillId="4" borderId="0" xfId="32" applyFont="1" applyFill="1" applyAlignment="1">
      <alignment horizontal="right" vertical="center"/>
    </xf>
    <xf numFmtId="0" fontId="307" fillId="4" borderId="10" xfId="5" applyFont="1" applyFill="1" applyBorder="1" applyAlignment="1" applyProtection="1">
      <alignment horizontal="center" vertical="center"/>
      <protection locked="0"/>
    </xf>
    <xf numFmtId="0" fontId="307" fillId="4" borderId="0" xfId="5" applyFont="1" applyFill="1" applyAlignment="1" applyProtection="1">
      <alignment horizontal="center" vertical="center"/>
      <protection locked="0"/>
    </xf>
    <xf numFmtId="0" fontId="307" fillId="4" borderId="16" xfId="5" applyFont="1" applyFill="1" applyBorder="1" applyAlignment="1" applyProtection="1">
      <alignment horizontal="center" vertical="center"/>
      <protection locked="0"/>
    </xf>
    <xf numFmtId="0" fontId="6" fillId="4" borderId="141" xfId="1" applyFill="1" applyBorder="1" applyProtection="1">
      <protection hidden="1"/>
    </xf>
    <xf numFmtId="0" fontId="6" fillId="4" borderId="88" xfId="1" applyFill="1" applyBorder="1" applyProtection="1">
      <protection hidden="1"/>
    </xf>
    <xf numFmtId="0" fontId="6" fillId="4" borderId="17" xfId="1" applyFill="1" applyBorder="1" applyProtection="1">
      <protection hidden="1"/>
    </xf>
    <xf numFmtId="0" fontId="6" fillId="4" borderId="0" xfId="1" applyFill="1" applyAlignment="1">
      <alignment horizontal="center" vertical="center"/>
    </xf>
    <xf numFmtId="0" fontId="6" fillId="4" borderId="0" xfId="1" applyFill="1" applyAlignment="1">
      <alignment horizontal="centerContinuous" vertical="center"/>
    </xf>
    <xf numFmtId="0" fontId="6" fillId="4" borderId="0" xfId="1" applyFill="1" applyAlignment="1">
      <alignment horizontal="center" vertical="center" wrapText="1"/>
    </xf>
    <xf numFmtId="196" fontId="6" fillId="0" borderId="15" xfId="5" applyNumberFormat="1" applyFont="1" applyBorder="1" applyAlignment="1">
      <alignment horizontal="center" vertical="center"/>
    </xf>
    <xf numFmtId="196" fontId="6" fillId="0" borderId="0" xfId="5" applyNumberFormat="1" applyFont="1" applyAlignment="1">
      <alignment horizontal="center" vertical="center"/>
    </xf>
    <xf numFmtId="196" fontId="6" fillId="0" borderId="13" xfId="5" applyNumberFormat="1" applyFont="1" applyBorder="1" applyAlignment="1">
      <alignment horizontal="center" vertical="center"/>
    </xf>
    <xf numFmtId="177" fontId="6" fillId="0" borderId="15" xfId="32" applyNumberFormat="1" applyFont="1" applyBorder="1" applyAlignment="1" applyProtection="1">
      <alignment horizontal="center" vertical="center" wrapText="1"/>
      <protection locked="0"/>
    </xf>
    <xf numFmtId="177" fontId="6" fillId="0" borderId="0" xfId="32" applyNumberFormat="1" applyFont="1" applyAlignment="1" applyProtection="1">
      <alignment horizontal="center" vertical="center" wrapText="1"/>
      <protection locked="0"/>
    </xf>
    <xf numFmtId="177" fontId="6" fillId="0" borderId="13" xfId="32" applyNumberFormat="1" applyFont="1" applyBorder="1" applyAlignment="1" applyProtection="1">
      <alignment horizontal="center" vertical="center" wrapText="1"/>
      <protection locked="0"/>
    </xf>
    <xf numFmtId="0" fontId="1" fillId="46" borderId="7" xfId="32" applyFill="1" applyBorder="1" applyAlignment="1">
      <alignment horizontal="centerContinuous" vertical="center"/>
    </xf>
    <xf numFmtId="0" fontId="1" fillId="46" borderId="9" xfId="32" applyFill="1" applyBorder="1" applyAlignment="1">
      <alignment horizontal="centerContinuous" vertical="center"/>
    </xf>
    <xf numFmtId="0" fontId="27" fillId="46" borderId="9" xfId="32" applyFont="1" applyFill="1" applyBorder="1" applyAlignment="1">
      <alignment horizontal="centerContinuous" vertical="center"/>
    </xf>
    <xf numFmtId="0" fontId="27" fillId="46" borderId="8" xfId="32" applyFont="1" applyFill="1" applyBorder="1" applyAlignment="1">
      <alignment horizontal="centerContinuous" vertical="center"/>
    </xf>
    <xf numFmtId="0" fontId="6" fillId="46" borderId="7" xfId="32" applyFont="1" applyFill="1" applyBorder="1" applyAlignment="1">
      <alignment horizontal="centerContinuous" vertical="center" wrapText="1"/>
    </xf>
    <xf numFmtId="0" fontId="6" fillId="46" borderId="9" xfId="32" applyFont="1" applyFill="1" applyBorder="1" applyAlignment="1">
      <alignment horizontal="centerContinuous" vertical="center" wrapText="1"/>
    </xf>
    <xf numFmtId="1" fontId="484" fillId="46" borderId="8" xfId="32" applyNumberFormat="1" applyFont="1" applyFill="1" applyBorder="1" applyAlignment="1">
      <alignment horizontal="centerContinuous" vertical="center" wrapText="1"/>
    </xf>
    <xf numFmtId="0" fontId="6" fillId="4" borderId="239" xfId="1" applyFill="1" applyBorder="1" applyAlignment="1">
      <alignment horizontal="center" vertical="center"/>
    </xf>
    <xf numFmtId="0" fontId="6" fillId="4" borderId="240" xfId="1" applyFill="1" applyBorder="1" applyAlignment="1">
      <alignment horizontal="center" vertical="center"/>
    </xf>
    <xf numFmtId="0" fontId="6" fillId="4" borderId="240" xfId="1" applyFill="1" applyBorder="1" applyAlignment="1">
      <alignment horizontal="centerContinuous" vertical="center"/>
    </xf>
    <xf numFmtId="0" fontId="6" fillId="4" borderId="15" xfId="1" applyFill="1" applyBorder="1" applyAlignment="1">
      <alignment horizontal="center" vertical="center"/>
    </xf>
    <xf numFmtId="0" fontId="6" fillId="1" borderId="15" xfId="1" applyFill="1" applyBorder="1" applyAlignment="1">
      <alignment vertical="center"/>
    </xf>
    <xf numFmtId="0" fontId="6" fillId="1" borderId="0" xfId="1" applyFill="1" applyAlignment="1">
      <alignment vertical="center"/>
    </xf>
    <xf numFmtId="0" fontId="409" fillId="4" borderId="0" xfId="1" applyFont="1" applyFill="1" applyAlignment="1">
      <alignment horizontal="centerContinuous" vertical="center"/>
    </xf>
    <xf numFmtId="0" fontId="6" fillId="4" borderId="16" xfId="1" applyFill="1" applyBorder="1" applyAlignment="1">
      <alignment horizontal="center" vertical="center" wrapText="1"/>
    </xf>
    <xf numFmtId="0" fontId="20" fillId="4" borderId="189" xfId="32" applyFont="1" applyFill="1" applyBorder="1" applyAlignment="1">
      <alignment horizontal="center"/>
    </xf>
    <xf numFmtId="0" fontId="20" fillId="4" borderId="189" xfId="32" applyFont="1" applyFill="1" applyBorder="1"/>
    <xf numFmtId="0" fontId="20" fillId="4" borderId="9" xfId="32" applyFont="1" applyFill="1" applyBorder="1"/>
    <xf numFmtId="0" fontId="6" fillId="4" borderId="189" xfId="1" applyFill="1" applyBorder="1" applyAlignment="1">
      <alignment horizontal="left" vertical="center"/>
    </xf>
    <xf numFmtId="0" fontId="6" fillId="4" borderId="189" xfId="1" applyFill="1" applyBorder="1" applyAlignment="1">
      <alignment horizontal="center" vertical="center"/>
    </xf>
    <xf numFmtId="49" fontId="64" fillId="39" borderId="262" xfId="2" applyNumberFormat="1" applyFont="1" applyFill="1" applyBorder="1" applyAlignment="1">
      <alignment horizontal="center" vertical="center"/>
    </xf>
    <xf numFmtId="49" fontId="64" fillId="39" borderId="263" xfId="2" applyNumberFormat="1" applyFont="1" applyFill="1" applyBorder="1" applyAlignment="1">
      <alignment horizontal="center" vertical="center"/>
    </xf>
    <xf numFmtId="49" fontId="64" fillId="39" borderId="206" xfId="2" applyNumberFormat="1" applyFont="1" applyFill="1" applyBorder="1" applyAlignment="1">
      <alignment horizontal="center" vertical="center"/>
    </xf>
    <xf numFmtId="0" fontId="6" fillId="4" borderId="0" xfId="1" applyFill="1" applyAlignment="1">
      <alignment horizontal="left" vertical="center"/>
    </xf>
    <xf numFmtId="49" fontId="1" fillId="4" borderId="100" xfId="2" applyNumberFormat="1" applyFill="1" applyBorder="1" applyAlignment="1">
      <alignment horizontal="center" vertical="center"/>
    </xf>
    <xf numFmtId="49" fontId="1" fillId="4" borderId="187" xfId="2" applyNumberFormat="1" applyFill="1" applyBorder="1" applyAlignment="1">
      <alignment horizontal="center" vertical="center"/>
    </xf>
    <xf numFmtId="49" fontId="486" fillId="4" borderId="264" xfId="2" applyNumberFormat="1" applyFont="1" applyFill="1" applyBorder="1" applyAlignment="1">
      <alignment horizontal="center" vertical="center"/>
    </xf>
    <xf numFmtId="0" fontId="486" fillId="4" borderId="88" xfId="1" applyFont="1" applyFill="1" applyBorder="1" applyAlignment="1">
      <alignment horizontal="left" vertical="center"/>
    </xf>
    <xf numFmtId="0" fontId="42" fillId="17" borderId="88" xfId="1" applyFont="1" applyFill="1" applyBorder="1" applyAlignment="1">
      <alignment horizontal="center" vertical="center"/>
    </xf>
    <xf numFmtId="0" fontId="133" fillId="4" borderId="0" xfId="1" applyFont="1" applyFill="1" applyProtection="1">
      <protection hidden="1"/>
    </xf>
    <xf numFmtId="0" fontId="154" fillId="4" borderId="0" xfId="1" applyFont="1" applyFill="1" applyAlignment="1" applyProtection="1">
      <alignment horizontal="left"/>
      <protection hidden="1"/>
    </xf>
    <xf numFmtId="0" fontId="133" fillId="4" borderId="0" xfId="1" applyFont="1" applyFill="1" applyAlignment="1" applyProtection="1">
      <alignment vertical="center"/>
      <protection hidden="1"/>
    </xf>
    <xf numFmtId="49" fontId="64" fillId="39" borderId="111" xfId="2" applyNumberFormat="1" applyFont="1" applyFill="1" applyBorder="1" applyAlignment="1">
      <alignment horizontal="center" vertical="center"/>
    </xf>
    <xf numFmtId="49" fontId="64" fillId="39" borderId="180" xfId="2" applyNumberFormat="1" applyFont="1" applyFill="1" applyBorder="1" applyAlignment="1">
      <alignment horizontal="center" vertical="center"/>
    </xf>
    <xf numFmtId="49" fontId="64" fillId="39" borderId="265" xfId="2" quotePrefix="1" applyNumberFormat="1" applyFont="1" applyFill="1" applyBorder="1" applyAlignment="1">
      <alignment horizontal="center" vertical="center"/>
    </xf>
    <xf numFmtId="49" fontId="1" fillId="4" borderId="41" xfId="32" applyNumberFormat="1" applyFill="1" applyBorder="1" applyAlignment="1">
      <alignment horizontal="center" vertical="center"/>
    </xf>
    <xf numFmtId="49" fontId="1" fillId="4" borderId="189" xfId="32" applyNumberFormat="1" applyFill="1" applyBorder="1" applyAlignment="1">
      <alignment horizontal="center" vertical="center"/>
    </xf>
    <xf numFmtId="49" fontId="33" fillId="4" borderId="91" xfId="32" applyNumberFormat="1" applyFont="1" applyFill="1" applyBorder="1" applyAlignment="1">
      <alignment horizontal="right" vertical="center"/>
    </xf>
    <xf numFmtId="49" fontId="64" fillId="39" borderId="95" xfId="2" applyNumberFormat="1" applyFont="1" applyFill="1" applyBorder="1" applyAlignment="1">
      <alignment horizontal="center" vertical="center"/>
    </xf>
    <xf numFmtId="49" fontId="64" fillId="39" borderId="183" xfId="2" applyNumberFormat="1" applyFont="1" applyFill="1" applyBorder="1" applyAlignment="1">
      <alignment horizontal="center" vertical="center"/>
    </xf>
    <xf numFmtId="49" fontId="64" fillId="39" borderId="2" xfId="2" quotePrefix="1" applyNumberFormat="1" applyFont="1" applyFill="1" applyBorder="1" applyAlignment="1">
      <alignment horizontal="center" vertical="center"/>
    </xf>
    <xf numFmtId="49" fontId="1" fillId="4" borderId="266" xfId="32" applyNumberFormat="1" applyFill="1" applyBorder="1" applyAlignment="1">
      <alignment horizontal="center" vertical="center"/>
    </xf>
    <xf numFmtId="49" fontId="1" fillId="4" borderId="267" xfId="32" applyNumberFormat="1" applyFill="1" applyBorder="1" applyAlignment="1">
      <alignment horizontal="center" vertical="center"/>
    </xf>
    <xf numFmtId="49" fontId="33" fillId="4" borderId="268" xfId="32" applyNumberFormat="1" applyFont="1" applyFill="1" applyBorder="1" applyAlignment="1">
      <alignment horizontal="right" vertical="center"/>
    </xf>
    <xf numFmtId="49" fontId="488" fillId="4" borderId="100" xfId="2" applyNumberFormat="1" applyFont="1" applyFill="1" applyBorder="1" applyAlignment="1">
      <alignment horizontal="center" vertical="center"/>
    </xf>
    <xf numFmtId="49" fontId="488" fillId="4" borderId="187" xfId="2" applyNumberFormat="1" applyFont="1" applyFill="1" applyBorder="1" applyAlignment="1">
      <alignment horizontal="center" vertical="center"/>
    </xf>
    <xf numFmtId="49" fontId="9" fillId="4" borderId="100" xfId="2" applyNumberFormat="1" applyFont="1" applyFill="1" applyBorder="1" applyAlignment="1">
      <alignment horizontal="center" vertical="center"/>
    </xf>
    <xf numFmtId="49" fontId="9" fillId="4" borderId="187" xfId="2" applyNumberFormat="1" applyFont="1" applyFill="1" applyBorder="1" applyAlignment="1">
      <alignment horizontal="center" vertical="center"/>
    </xf>
    <xf numFmtId="49" fontId="33" fillId="4" borderId="264" xfId="2" applyNumberFormat="1" applyFont="1" applyFill="1" applyBorder="1" applyAlignment="1">
      <alignment horizontal="center" vertical="center"/>
    </xf>
    <xf numFmtId="0" fontId="489" fillId="4" borderId="0" xfId="30" applyFont="1" applyFill="1" applyAlignment="1" applyProtection="1">
      <alignment vertical="center"/>
      <protection hidden="1"/>
    </xf>
    <xf numFmtId="0" fontId="490" fillId="4" borderId="0" xfId="30" applyFont="1" applyFill="1" applyAlignment="1" applyProtection="1">
      <alignment vertical="center"/>
      <protection hidden="1"/>
    </xf>
    <xf numFmtId="0" fontId="489" fillId="0" borderId="0" xfId="30" applyFont="1" applyAlignment="1" applyProtection="1">
      <alignment vertical="center"/>
    </xf>
    <xf numFmtId="0" fontId="284" fillId="67" borderId="0" xfId="1" applyFont="1" applyFill="1" applyAlignment="1" applyProtection="1">
      <alignment vertical="center"/>
      <protection hidden="1"/>
    </xf>
    <xf numFmtId="0" fontId="154" fillId="4" borderId="0" xfId="1" applyFont="1" applyFill="1" applyAlignment="1" applyProtection="1">
      <alignment vertical="center"/>
      <protection hidden="1"/>
    </xf>
    <xf numFmtId="0" fontId="491" fillId="0" borderId="0" xfId="34" applyFont="1" applyAlignment="1" applyProtection="1">
      <alignment vertical="center"/>
    </xf>
    <xf numFmtId="0" fontId="492" fillId="67" borderId="0" xfId="1" applyFont="1" applyFill="1" applyAlignment="1" applyProtection="1">
      <alignment vertical="center"/>
      <protection hidden="1"/>
    </xf>
    <xf numFmtId="0" fontId="86" fillId="4" borderId="0" xfId="30" applyFill="1" applyAlignment="1" applyProtection="1">
      <alignment vertical="center"/>
      <protection hidden="1"/>
    </xf>
    <xf numFmtId="0" fontId="33" fillId="67" borderId="0" xfId="1" applyFont="1" applyFill="1" applyAlignment="1" applyProtection="1">
      <alignment vertical="center"/>
      <protection hidden="1"/>
    </xf>
    <xf numFmtId="0" fontId="490" fillId="4" borderId="0" xfId="34" applyFont="1" applyFill="1" applyAlignment="1" applyProtection="1">
      <alignment vertical="center"/>
      <protection hidden="1"/>
    </xf>
    <xf numFmtId="0" fontId="493" fillId="4" borderId="0" xfId="34" applyFont="1" applyFill="1" applyAlignment="1" applyProtection="1">
      <alignment vertical="center"/>
      <protection hidden="1"/>
    </xf>
    <xf numFmtId="0" fontId="154" fillId="4" borderId="0" xfId="1" applyFont="1" applyFill="1" applyProtection="1">
      <protection hidden="1"/>
    </xf>
    <xf numFmtId="0" fontId="494" fillId="4" borderId="0" xfId="1" applyFont="1" applyFill="1" applyProtection="1">
      <protection hidden="1"/>
    </xf>
    <xf numFmtId="169" fontId="495" fillId="118" borderId="0" xfId="15" applyNumberFormat="1" applyFont="1" applyFill="1" applyAlignment="1">
      <alignment horizontal="center" vertical="center"/>
    </xf>
    <xf numFmtId="0" fontId="20" fillId="55" borderId="13" xfId="32" applyFont="1" applyFill="1" applyBorder="1" applyAlignment="1" applyProtection="1">
      <alignment horizontal="center" vertical="center"/>
      <protection locked="0"/>
    </xf>
    <xf numFmtId="0" fontId="6" fillId="4" borderId="0" xfId="1" applyFill="1" applyAlignment="1" applyProtection="1">
      <alignment vertical="center"/>
      <protection hidden="1"/>
    </xf>
    <xf numFmtId="0" fontId="496" fillId="4" borderId="0" xfId="1" applyFont="1" applyFill="1" applyProtection="1">
      <protection hidden="1"/>
    </xf>
    <xf numFmtId="0" fontId="27" fillId="4" borderId="0" xfId="1" applyFont="1" applyFill="1" applyAlignment="1" applyProtection="1">
      <alignment horizontal="left"/>
      <protection hidden="1"/>
    </xf>
    <xf numFmtId="0" fontId="1" fillId="0" borderId="0" xfId="32" applyAlignment="1">
      <alignment horizontal="center" vertical="center"/>
    </xf>
    <xf numFmtId="0" fontId="6" fillId="0" borderId="0" xfId="3"/>
    <xf numFmtId="169" fontId="9" fillId="4" borderId="0" xfId="1" applyNumberFormat="1" applyFont="1" applyFill="1" applyAlignment="1">
      <alignment horizontal="center" vertical="center"/>
    </xf>
    <xf numFmtId="172" fontId="501" fillId="4" borderId="0" xfId="6" applyNumberFormat="1" applyFont="1" applyFill="1" applyAlignment="1" applyProtection="1">
      <alignment horizontal="center" vertical="center"/>
      <protection locked="0"/>
    </xf>
    <xf numFmtId="3" fontId="79" fillId="4" borderId="0" xfId="6" applyNumberFormat="1" applyFont="1" applyFill="1" applyAlignment="1" applyProtection="1">
      <alignment horizontal="center" vertical="center"/>
      <protection locked="0"/>
    </xf>
    <xf numFmtId="0" fontId="34" fillId="4" borderId="0" xfId="1" applyFont="1" applyFill="1" applyAlignment="1" applyProtection="1">
      <alignment horizontal="left" vertical="center"/>
      <protection hidden="1"/>
    </xf>
    <xf numFmtId="0" fontId="502" fillId="4" borderId="0" xfId="1" applyFont="1" applyFill="1" applyAlignment="1">
      <alignment horizontal="center" vertical="center"/>
    </xf>
    <xf numFmtId="0" fontId="133" fillId="0" borderId="0" xfId="3" applyFont="1"/>
    <xf numFmtId="0" fontId="503" fillId="4" borderId="0" xfId="5" applyFont="1" applyFill="1" applyAlignment="1">
      <alignment horizontal="center" vertical="center"/>
    </xf>
    <xf numFmtId="0" fontId="6" fillId="0" borderId="0" xfId="3" applyAlignment="1">
      <alignment horizontal="center"/>
    </xf>
    <xf numFmtId="0" fontId="504" fillId="0" borderId="0" xfId="1" applyFont="1" applyAlignment="1">
      <alignment horizontal="center" vertical="center"/>
    </xf>
    <xf numFmtId="0" fontId="505" fillId="4" borderId="0" xfId="5" applyFont="1" applyFill="1" applyAlignment="1">
      <alignment horizontal="center" vertical="center"/>
    </xf>
    <xf numFmtId="0" fontId="9" fillId="4" borderId="0" xfId="1" applyFont="1" applyFill="1" applyAlignment="1" applyProtection="1">
      <alignment horizontal="right" vertical="center"/>
      <protection hidden="1"/>
    </xf>
    <xf numFmtId="0" fontId="501" fillId="4" borderId="0" xfId="1" applyFont="1" applyFill="1" applyAlignment="1" applyProtection="1">
      <alignment horizontal="center" vertical="center" wrapText="1"/>
      <protection hidden="1"/>
    </xf>
    <xf numFmtId="0" fontId="79" fillId="4" borderId="0" xfId="1" applyFont="1" applyFill="1" applyAlignment="1" applyProtection="1">
      <alignment horizontal="center" vertical="center" wrapText="1"/>
      <protection hidden="1"/>
    </xf>
    <xf numFmtId="0" fontId="41" fillId="4" borderId="278" xfId="1" applyFont="1" applyFill="1" applyBorder="1" applyAlignment="1" applyProtection="1">
      <alignment horizontal="right" vertical="center"/>
      <protection hidden="1"/>
    </xf>
    <xf numFmtId="0" fontId="506" fillId="4" borderId="189" xfId="1" applyFont="1" applyFill="1" applyBorder="1" applyAlignment="1" applyProtection="1">
      <alignment horizontal="center" vertical="center" wrapText="1"/>
      <protection hidden="1"/>
    </xf>
    <xf numFmtId="0" fontId="129" fillId="4" borderId="279" xfId="1" applyFont="1" applyFill="1" applyBorder="1" applyAlignment="1" applyProtection="1">
      <alignment horizontal="center" vertical="center" wrapText="1"/>
      <protection hidden="1"/>
    </xf>
    <xf numFmtId="0" fontId="41" fillId="4" borderId="278" xfId="1" applyFont="1" applyFill="1" applyBorder="1" applyAlignment="1" applyProtection="1">
      <alignment horizontal="center" vertical="center"/>
      <protection hidden="1"/>
    </xf>
    <xf numFmtId="0" fontId="9" fillId="0" borderId="0" xfId="3" applyFont="1" applyAlignment="1">
      <alignment horizontal="center" vertical="center" wrapText="1"/>
    </xf>
    <xf numFmtId="0" fontId="1" fillId="0" borderId="0" xfId="35" applyAlignment="1">
      <alignment wrapText="1"/>
    </xf>
    <xf numFmtId="0" fontId="1" fillId="0" borderId="0" xfId="35"/>
    <xf numFmtId="0" fontId="18" fillId="4" borderId="0" xfId="1" applyFont="1" applyFill="1" applyAlignment="1" applyProtection="1">
      <alignment horizontal="left" vertical="center"/>
      <protection hidden="1"/>
    </xf>
    <xf numFmtId="0" fontId="507" fillId="4" borderId="0" xfId="1" applyFont="1" applyFill="1" applyAlignment="1" applyProtection="1">
      <alignment horizontal="center" vertical="center"/>
      <protection hidden="1"/>
    </xf>
    <xf numFmtId="0" fontId="12" fillId="4" borderId="0" xfId="1" applyFont="1" applyFill="1" applyAlignment="1">
      <alignment vertical="center"/>
    </xf>
    <xf numFmtId="0" fontId="508" fillId="4" borderId="0" xfId="9" applyFont="1" applyFill="1" applyAlignment="1">
      <alignment horizontal="left" vertical="center"/>
    </xf>
    <xf numFmtId="0" fontId="326" fillId="79" borderId="0" xfId="35" applyFont="1" applyFill="1" applyAlignment="1">
      <alignment horizontal="right" vertical="center"/>
    </xf>
    <xf numFmtId="0" fontId="1" fillId="4" borderId="0" xfId="35" applyFill="1"/>
    <xf numFmtId="0" fontId="508" fillId="0" borderId="0" xfId="9" applyFont="1" applyAlignment="1">
      <alignment horizontal="left" vertical="center"/>
    </xf>
    <xf numFmtId="0" fontId="509" fillId="4" borderId="0" xfId="35" applyFont="1" applyFill="1" applyAlignment="1">
      <alignment horizontal="justify" vertical="center"/>
    </xf>
    <xf numFmtId="0" fontId="511" fillId="4" borderId="0" xfId="35" applyFont="1" applyFill="1" applyAlignment="1">
      <alignment horizontal="justify" vertical="center"/>
    </xf>
    <xf numFmtId="0" fontId="510" fillId="4" borderId="0" xfId="35" applyFont="1" applyFill="1" applyAlignment="1">
      <alignment horizontal="justify" vertical="center"/>
    </xf>
    <xf numFmtId="0" fontId="87" fillId="4" borderId="0" xfId="9" applyFont="1" applyFill="1" applyBorder="1" applyAlignment="1" applyProtection="1">
      <alignment horizontal="right" vertical="center"/>
      <protection hidden="1"/>
    </xf>
    <xf numFmtId="0" fontId="331" fillId="4" borderId="0" xfId="1" applyFont="1" applyFill="1" applyAlignment="1" applyProtection="1">
      <alignment horizontal="center" vertical="center"/>
      <protection hidden="1"/>
    </xf>
    <xf numFmtId="0" fontId="331" fillId="4" borderId="0" xfId="1" applyFont="1" applyFill="1" applyAlignment="1" applyProtection="1">
      <alignment horizontal="left" vertical="center"/>
      <protection hidden="1"/>
    </xf>
    <xf numFmtId="0" fontId="104" fillId="4" borderId="0" xfId="1" applyFont="1" applyFill="1" applyAlignment="1" applyProtection="1">
      <alignment horizontal="left" vertical="center"/>
      <protection hidden="1"/>
    </xf>
    <xf numFmtId="0" fontId="104" fillId="4" borderId="0" xfId="1" applyFont="1" applyFill="1" applyAlignment="1" applyProtection="1">
      <alignment horizontal="center" vertical="center"/>
      <protection hidden="1"/>
    </xf>
    <xf numFmtId="0" fontId="41" fillId="4" borderId="0" xfId="1" applyFont="1" applyFill="1" applyAlignment="1">
      <alignment vertical="center"/>
    </xf>
    <xf numFmtId="0" fontId="87" fillId="4" borderId="0" xfId="9" applyFont="1" applyFill="1" applyAlignment="1">
      <alignment vertical="center"/>
    </xf>
    <xf numFmtId="0" fontId="331" fillId="4" borderId="0" xfId="1" applyFont="1" applyFill="1" applyAlignment="1">
      <alignment horizontal="center" vertical="center"/>
    </xf>
    <xf numFmtId="0" fontId="30" fillId="15" borderId="13" xfId="1" applyFont="1" applyFill="1" applyBorder="1" applyAlignment="1" applyProtection="1">
      <alignment horizontal="center" vertical="center"/>
      <protection hidden="1"/>
    </xf>
    <xf numFmtId="0" fontId="30" fillId="4" borderId="0" xfId="1" applyFont="1" applyFill="1" applyAlignment="1" applyProtection="1">
      <alignment horizontal="left" vertical="center"/>
      <protection locked="0"/>
    </xf>
    <xf numFmtId="0" fontId="115" fillId="4" borderId="0" xfId="1" applyFont="1" applyFill="1" applyAlignment="1">
      <alignment vertical="center"/>
    </xf>
    <xf numFmtId="0" fontId="331" fillId="4" borderId="0" xfId="5" applyFont="1" applyFill="1" applyAlignment="1">
      <alignment horizontal="center" vertical="center"/>
    </xf>
    <xf numFmtId="0" fontId="512" fillId="4" borderId="0" xfId="5" applyFont="1" applyFill="1" applyAlignment="1">
      <alignment vertical="center"/>
    </xf>
    <xf numFmtId="0" fontId="111" fillId="15" borderId="13" xfId="1" applyFont="1" applyFill="1" applyBorder="1" applyAlignment="1" applyProtection="1">
      <alignment horizontal="center" vertical="center"/>
      <protection hidden="1"/>
    </xf>
    <xf numFmtId="0" fontId="135" fillId="4" borderId="0" xfId="1" applyFont="1" applyFill="1" applyAlignment="1">
      <alignment vertical="center"/>
    </xf>
    <xf numFmtId="0" fontId="60" fillId="4" borderId="0" xfId="1" applyFont="1" applyFill="1" applyAlignment="1" applyProtection="1">
      <alignment horizontal="left" vertical="center"/>
      <protection locked="0"/>
    </xf>
    <xf numFmtId="0" fontId="513" fillId="0" borderId="286" xfId="1" applyFont="1" applyBorder="1" applyAlignment="1">
      <alignment vertical="center"/>
    </xf>
    <xf numFmtId="0" fontId="513" fillId="0" borderId="287" xfId="1" applyFont="1" applyBorder="1" applyAlignment="1">
      <alignment vertical="center"/>
    </xf>
    <xf numFmtId="0" fontId="12" fillId="0" borderId="287" xfId="1" applyFont="1" applyBorder="1" applyAlignment="1">
      <alignment vertical="center"/>
    </xf>
    <xf numFmtId="0" fontId="12" fillId="0" borderId="288" xfId="1" applyFont="1" applyBorder="1" applyAlignment="1">
      <alignment vertical="center"/>
    </xf>
    <xf numFmtId="0" fontId="115" fillId="4" borderId="0" xfId="1" applyFont="1" applyFill="1"/>
    <xf numFmtId="0" fontId="513" fillId="0" borderId="14" xfId="1" applyFont="1" applyBorder="1" applyAlignment="1">
      <alignment vertical="center"/>
    </xf>
    <xf numFmtId="0" fontId="514" fillId="4" borderId="0" xfId="5" applyFont="1" applyFill="1" applyAlignment="1">
      <alignment horizontal="center" vertical="center"/>
    </xf>
    <xf numFmtId="0" fontId="515" fillId="4" borderId="0" xfId="5" applyFont="1" applyFill="1" applyAlignment="1">
      <alignment horizontal="center" vertical="center"/>
    </xf>
    <xf numFmtId="0" fontId="516" fillId="4" borderId="15" xfId="5" applyFont="1" applyFill="1" applyBorder="1" applyAlignment="1">
      <alignment horizontal="center" vertical="center"/>
    </xf>
    <xf numFmtId="0" fontId="135" fillId="4" borderId="0" xfId="1" applyFont="1" applyFill="1"/>
    <xf numFmtId="0" fontId="517" fillId="4" borderId="0" xfId="5" applyFont="1" applyFill="1" applyAlignment="1">
      <alignment horizontal="center" vertical="center"/>
    </xf>
    <xf numFmtId="0" fontId="18" fillId="4" borderId="0" xfId="1" applyFont="1" applyFill="1" applyAlignment="1" applyProtection="1">
      <alignment vertical="center" wrapText="1"/>
      <protection hidden="1"/>
    </xf>
    <xf numFmtId="0" fontId="36" fillId="4" borderId="0" xfId="1" applyFont="1" applyFill="1" applyAlignment="1" applyProtection="1">
      <alignment horizontal="left" vertical="center"/>
      <protection hidden="1"/>
    </xf>
    <xf numFmtId="0" fontId="516" fillId="4" borderId="0" xfId="5" applyFont="1" applyFill="1" applyAlignment="1">
      <alignment horizontal="center" vertical="center"/>
    </xf>
    <xf numFmtId="0" fontId="1" fillId="4" borderId="0" xfId="35" applyFill="1" applyAlignment="1">
      <alignment wrapText="1"/>
    </xf>
    <xf numFmtId="0" fontId="18" fillId="0" borderId="0" xfId="1" applyFont="1" applyAlignment="1">
      <alignment horizontal="center" vertical="center"/>
    </xf>
    <xf numFmtId="0" fontId="87" fillId="4" borderId="0" xfId="9" applyFont="1" applyFill="1" applyBorder="1" applyAlignment="1">
      <alignment vertical="center"/>
    </xf>
    <xf numFmtId="0" fontId="4" fillId="68" borderId="0" xfId="35" applyFont="1" applyFill="1" applyAlignment="1">
      <alignment vertical="center"/>
    </xf>
    <xf numFmtId="0" fontId="103" fillId="4" borderId="0" xfId="35" applyFont="1" applyFill="1" applyAlignment="1">
      <alignment vertical="center"/>
    </xf>
    <xf numFmtId="0" fontId="33" fillId="4" borderId="0" xfId="1" applyFont="1" applyFill="1" applyAlignment="1" applyProtection="1">
      <alignment vertical="center" wrapText="1"/>
      <protection hidden="1"/>
    </xf>
    <xf numFmtId="0" fontId="18" fillId="4" borderId="0" xfId="1" applyFont="1" applyFill="1" applyAlignment="1" applyProtection="1">
      <alignment horizontal="left" vertical="center" wrapText="1"/>
      <protection hidden="1"/>
    </xf>
    <xf numFmtId="0" fontId="1" fillId="0" borderId="286" xfId="36" applyFont="1" applyBorder="1" applyAlignment="1">
      <alignment vertical="center"/>
    </xf>
    <xf numFmtId="0" fontId="1" fillId="0" borderId="287" xfId="36" applyFont="1" applyBorder="1" applyAlignment="1">
      <alignment vertical="center"/>
    </xf>
    <xf numFmtId="0" fontId="518" fillId="0" borderId="287" xfId="36" applyFont="1" applyBorder="1" applyAlignment="1">
      <alignment vertical="center"/>
    </xf>
    <xf numFmtId="0" fontId="1" fillId="0" borderId="288" xfId="36" applyFont="1" applyBorder="1" applyAlignment="1">
      <alignment vertical="center"/>
    </xf>
    <xf numFmtId="0" fontId="159" fillId="4" borderId="0" xfId="5" applyFont="1" applyFill="1" applyAlignment="1">
      <alignment vertical="center"/>
    </xf>
    <xf numFmtId="0" fontId="159" fillId="4" borderId="15" xfId="5" applyFont="1" applyFill="1" applyBorder="1" applyAlignment="1">
      <alignment vertical="center"/>
    </xf>
    <xf numFmtId="0" fontId="34" fillId="0" borderId="289" xfId="1" applyFont="1" applyBorder="1" applyAlignment="1">
      <alignment horizontal="left" vertical="center"/>
    </xf>
    <xf numFmtId="0" fontId="103" fillId="0" borderId="0" xfId="35" applyFont="1" applyAlignment="1">
      <alignment vertical="center" wrapText="1"/>
    </xf>
    <xf numFmtId="0" fontId="400" fillId="4" borderId="15" xfId="5" applyFont="1" applyFill="1" applyBorder="1" applyAlignment="1">
      <alignment horizontal="center" vertical="center"/>
    </xf>
    <xf numFmtId="0" fontId="22" fillId="4" borderId="13" xfId="1" applyFont="1" applyFill="1" applyBorder="1" applyAlignment="1">
      <alignment horizontal="center" vertical="center"/>
    </xf>
    <xf numFmtId="0" fontId="400" fillId="4" borderId="0" xfId="5" applyFont="1" applyFill="1" applyAlignment="1">
      <alignment horizontal="center" vertical="center"/>
    </xf>
    <xf numFmtId="0" fontId="33" fillId="4" borderId="0" xfId="1" applyFont="1" applyFill="1" applyAlignment="1" applyProtection="1">
      <alignment horizontal="left" vertical="center"/>
      <protection hidden="1"/>
    </xf>
    <xf numFmtId="0" fontId="21" fillId="0" borderId="0" xfId="1" applyFont="1" applyAlignment="1">
      <alignment vertical="center"/>
    </xf>
    <xf numFmtId="0" fontId="21" fillId="0" borderId="0" xfId="1" applyFont="1"/>
    <xf numFmtId="0" fontId="365" fillId="0" borderId="13" xfId="1" applyFont="1" applyBorder="1" applyAlignment="1">
      <alignment horizontal="center" vertical="center"/>
    </xf>
    <xf numFmtId="0" fontId="41" fillId="4" borderId="0" xfId="1" applyFont="1" applyFill="1" applyAlignment="1">
      <alignment horizontal="centerContinuous" vertical="center"/>
    </xf>
    <xf numFmtId="0" fontId="383" fillId="4" borderId="0" xfId="5" applyFont="1" applyFill="1" applyAlignment="1">
      <alignment horizontal="centerContinuous" vertical="center"/>
    </xf>
    <xf numFmtId="0" fontId="148" fillId="0" borderId="0" xfId="1" applyFont="1" applyAlignment="1">
      <alignment vertical="center"/>
    </xf>
    <xf numFmtId="0" fontId="414" fillId="17" borderId="0" xfId="35" applyFont="1" applyFill="1" applyAlignment="1">
      <alignment horizontal="center" vertical="center"/>
    </xf>
    <xf numFmtId="0" fontId="519" fillId="67" borderId="0" xfId="1" applyFont="1" applyFill="1" applyAlignment="1">
      <alignment horizontal="left" vertical="center"/>
    </xf>
    <xf numFmtId="0" fontId="520" fillId="67" borderId="0" xfId="35" applyFont="1" applyFill="1" applyAlignment="1">
      <alignment vertical="center"/>
    </xf>
    <xf numFmtId="0" fontId="6" fillId="95" borderId="0" xfId="1" applyFill="1" applyAlignment="1">
      <alignment vertical="center"/>
    </xf>
    <xf numFmtId="0" fontId="107" fillId="0" borderId="0" xfId="1" applyFont="1" applyAlignment="1">
      <alignment vertical="center"/>
    </xf>
    <xf numFmtId="0" fontId="107" fillId="0" borderId="190" xfId="1" applyFont="1" applyBorder="1" applyAlignment="1">
      <alignment vertical="center"/>
    </xf>
    <xf numFmtId="0" fontId="107" fillId="0" borderId="189" xfId="1" applyFont="1" applyBorder="1" applyAlignment="1">
      <alignment vertical="center"/>
    </xf>
    <xf numFmtId="0" fontId="107" fillId="0" borderId="39" xfId="1" applyFont="1" applyBorder="1" applyAlignment="1">
      <alignment vertical="center"/>
    </xf>
    <xf numFmtId="0" fontId="6" fillId="0" borderId="190" xfId="1" applyBorder="1" applyAlignment="1">
      <alignment vertical="center"/>
    </xf>
    <xf numFmtId="0" fontId="6" fillId="0" borderId="189" xfId="1" applyBorder="1" applyAlignment="1">
      <alignment vertical="center"/>
    </xf>
    <xf numFmtId="0" fontId="6" fillId="0" borderId="39" xfId="1" applyBorder="1" applyAlignment="1">
      <alignment vertical="center"/>
    </xf>
    <xf numFmtId="0" fontId="492" fillId="0" borderId="0" xfId="1" applyFont="1" applyAlignment="1">
      <alignment vertical="center"/>
    </xf>
    <xf numFmtId="0" fontId="521" fillId="0" borderId="10" xfId="1" applyFont="1" applyBorder="1" applyAlignment="1">
      <alignment horizontal="center" vertical="center"/>
    </xf>
    <xf numFmtId="0" fontId="284" fillId="0" borderId="0" xfId="1" quotePrefix="1" applyFont="1" applyAlignment="1">
      <alignment horizontal="center" vertical="center"/>
    </xf>
    <xf numFmtId="0" fontId="492" fillId="0" borderId="0" xfId="1" applyFont="1" applyAlignment="1">
      <alignment horizontal="center" vertical="center"/>
    </xf>
    <xf numFmtId="0" fontId="521" fillId="0" borderId="0" xfId="1" applyFont="1" applyAlignment="1">
      <alignment horizontal="center" vertical="center"/>
    </xf>
    <xf numFmtId="0" fontId="521" fillId="0" borderId="165" xfId="1" applyFont="1" applyBorder="1" applyAlignment="1">
      <alignment horizontal="center" vertical="center"/>
    </xf>
    <xf numFmtId="0" fontId="492" fillId="0" borderId="49" xfId="1" applyFont="1" applyBorder="1" applyAlignment="1">
      <alignment horizontal="center" vertical="center"/>
    </xf>
    <xf numFmtId="0" fontId="492" fillId="0" borderId="16" xfId="1" applyFont="1" applyBorder="1" applyAlignment="1">
      <alignment horizontal="center" vertical="center"/>
    </xf>
    <xf numFmtId="0" fontId="522" fillId="0" borderId="10" xfId="1" applyFont="1" applyBorder="1" applyAlignment="1">
      <alignment horizontal="center" vertical="center"/>
    </xf>
    <xf numFmtId="0" fontId="522" fillId="0" borderId="0" xfId="1" applyFont="1" applyAlignment="1">
      <alignment horizontal="center" vertical="center"/>
    </xf>
    <xf numFmtId="0" fontId="522" fillId="0" borderId="165" xfId="1" applyFont="1" applyBorder="1" applyAlignment="1">
      <alignment horizontal="center" vertical="center"/>
    </xf>
    <xf numFmtId="0" fontId="523" fillId="0" borderId="0" xfId="1" applyFont="1" applyAlignment="1">
      <alignment horizontal="center" vertical="center"/>
    </xf>
    <xf numFmtId="0" fontId="409" fillId="0" borderId="49" xfId="1" applyFont="1" applyBorder="1" applyAlignment="1">
      <alignment horizontal="center" vertical="center"/>
    </xf>
    <xf numFmtId="0" fontId="409" fillId="0" borderId="16" xfId="1" applyFont="1" applyBorder="1" applyAlignment="1">
      <alignment horizontal="center" vertical="center"/>
    </xf>
    <xf numFmtId="0" fontId="6" fillId="0" borderId="10" xfId="1" applyBorder="1" applyAlignment="1">
      <alignment vertical="center"/>
    </xf>
    <xf numFmtId="0" fontId="6" fillId="0" borderId="16" xfId="1" applyBorder="1" applyAlignment="1">
      <alignment vertical="center"/>
    </xf>
    <xf numFmtId="0" fontId="492" fillId="0" borderId="10" xfId="1" applyFont="1" applyBorder="1" applyAlignment="1">
      <alignment horizontal="centerContinuous" vertical="center" wrapText="1"/>
    </xf>
    <xf numFmtId="0" fontId="492" fillId="0" borderId="0" xfId="1" applyFont="1" applyAlignment="1">
      <alignment horizontal="centerContinuous" vertical="center" wrapText="1"/>
    </xf>
    <xf numFmtId="0" fontId="524" fillId="0" borderId="0" xfId="1" applyFont="1" applyAlignment="1">
      <alignment horizontal="centerContinuous" vertical="center" wrapText="1"/>
    </xf>
    <xf numFmtId="0" fontId="525" fillId="106" borderId="0" xfId="1" applyFont="1" applyFill="1" applyAlignment="1">
      <alignment horizontal="center" vertical="center"/>
    </xf>
    <xf numFmtId="0" fontId="526" fillId="120" borderId="0" xfId="1" quotePrefix="1" applyFont="1" applyFill="1" applyAlignment="1">
      <alignment horizontal="center" vertical="center"/>
    </xf>
    <xf numFmtId="0" fontId="527" fillId="120" borderId="16" xfId="1" applyFont="1" applyFill="1" applyBorder="1" applyAlignment="1">
      <alignment horizontal="center" vertical="center"/>
    </xf>
    <xf numFmtId="0" fontId="528" fillId="106" borderId="0" xfId="1" applyFont="1" applyFill="1" applyAlignment="1">
      <alignment horizontal="center" vertical="center"/>
    </xf>
    <xf numFmtId="0" fontId="529" fillId="80" borderId="293" xfId="37" applyFont="1" applyFill="1" applyBorder="1" applyAlignment="1">
      <alignment horizontal="centerContinuous" vertical="center"/>
    </xf>
    <xf numFmtId="0" fontId="529" fillId="80" borderId="131" xfId="37" applyFont="1" applyFill="1" applyBorder="1" applyAlignment="1">
      <alignment horizontal="centerContinuous" vertical="center"/>
    </xf>
    <xf numFmtId="0" fontId="529" fillId="80" borderId="132" xfId="37" applyFont="1" applyFill="1" applyBorder="1" applyAlignment="1">
      <alignment horizontal="centerContinuous" vertical="center"/>
    </xf>
    <xf numFmtId="0" fontId="530" fillId="106" borderId="88" xfId="1" applyFont="1" applyFill="1" applyBorder="1" applyAlignment="1">
      <alignment horizontal="center" vertical="center" wrapText="1"/>
    </xf>
    <xf numFmtId="0" fontId="88" fillId="46" borderId="88" xfId="1" applyFont="1" applyFill="1" applyBorder="1" applyAlignment="1">
      <alignment horizontal="center" vertical="center" wrapText="1"/>
    </xf>
    <xf numFmtId="0" fontId="107" fillId="46" borderId="17" xfId="1" applyFont="1" applyFill="1" applyBorder="1" applyAlignment="1">
      <alignment horizontal="center" vertical="center" wrapText="1"/>
    </xf>
    <xf numFmtId="0" fontId="529" fillId="99" borderId="293" xfId="37" applyFont="1" applyFill="1" applyBorder="1" applyAlignment="1">
      <alignment horizontal="centerContinuous" vertical="center"/>
    </xf>
    <xf numFmtId="0" fontId="529" fillId="99" borderId="131" xfId="37" applyFont="1" applyFill="1" applyBorder="1" applyAlignment="1">
      <alignment horizontal="centerContinuous" vertical="center"/>
    </xf>
    <xf numFmtId="0" fontId="529" fillId="99" borderId="132" xfId="37" applyFont="1" applyFill="1" applyBorder="1" applyAlignment="1">
      <alignment horizontal="centerContinuous" vertical="center"/>
    </xf>
    <xf numFmtId="0" fontId="107" fillId="95" borderId="0" xfId="1" applyFont="1" applyFill="1" applyAlignment="1">
      <alignment vertical="center"/>
    </xf>
    <xf numFmtId="0" fontId="531" fillId="0" borderId="190" xfId="1" applyFont="1" applyBorder="1" applyAlignment="1">
      <alignment horizontal="center" vertical="center"/>
    </xf>
    <xf numFmtId="0" fontId="532" fillId="0" borderId="10" xfId="1" applyFont="1" applyBorder="1" applyAlignment="1">
      <alignment horizontal="center" vertical="center"/>
    </xf>
    <xf numFmtId="0" fontId="532" fillId="0" borderId="0" xfId="1" applyFont="1" applyAlignment="1">
      <alignment horizontal="center" vertical="center"/>
    </xf>
    <xf numFmtId="0" fontId="532" fillId="0" borderId="165" xfId="1" applyFont="1" applyBorder="1" applyAlignment="1">
      <alignment horizontal="center" vertical="center"/>
    </xf>
    <xf numFmtId="0" fontId="533" fillId="0" borderId="10" xfId="1" applyFont="1" applyBorder="1" applyAlignment="1">
      <alignment horizontal="center" vertical="center"/>
    </xf>
    <xf numFmtId="0" fontId="533" fillId="0" borderId="0" xfId="1" applyFont="1" applyAlignment="1">
      <alignment horizontal="center" vertical="center"/>
    </xf>
    <xf numFmtId="0" fontId="533" fillId="0" borderId="165" xfId="1" applyFont="1" applyBorder="1" applyAlignment="1">
      <alignment horizontal="center" vertical="center"/>
    </xf>
    <xf numFmtId="0" fontId="6" fillId="0" borderId="10" xfId="1" applyBorder="1" applyAlignment="1">
      <alignment horizontal="centerContinuous" vertical="center" wrapText="1"/>
    </xf>
    <xf numFmtId="0" fontId="6" fillId="0" borderId="0" xfId="1" applyAlignment="1">
      <alignment horizontal="centerContinuous" vertical="center" wrapText="1"/>
    </xf>
    <xf numFmtId="0" fontId="481" fillId="0" borderId="0" xfId="1" applyFont="1" applyAlignment="1">
      <alignment horizontal="centerContinuous" vertical="center" wrapText="1"/>
    </xf>
    <xf numFmtId="0" fontId="534" fillId="106" borderId="0" xfId="1" applyFont="1" applyFill="1" applyAlignment="1">
      <alignment horizontal="center" vertical="center"/>
    </xf>
    <xf numFmtId="0" fontId="524" fillId="4" borderId="0" xfId="1" applyFont="1" applyFill="1" applyAlignment="1">
      <alignment horizontal="centerContinuous" vertical="center" wrapText="1"/>
    </xf>
    <xf numFmtId="0" fontId="535" fillId="106" borderId="0" xfId="1" applyFont="1" applyFill="1" applyAlignment="1">
      <alignment horizontal="center" vertical="center"/>
    </xf>
    <xf numFmtId="0" fontId="529" fillId="121" borderId="293" xfId="37" applyFont="1" applyFill="1" applyBorder="1" applyAlignment="1">
      <alignment horizontal="centerContinuous" vertical="center"/>
    </xf>
    <xf numFmtId="0" fontId="529" fillId="121" borderId="131" xfId="37" applyFont="1" applyFill="1" applyBorder="1" applyAlignment="1">
      <alignment horizontal="centerContinuous" vertical="center"/>
    </xf>
    <xf numFmtId="0" fontId="529" fillId="121" borderId="132" xfId="37" applyFont="1" applyFill="1" applyBorder="1" applyAlignment="1">
      <alignment horizontal="centerContinuous" vertical="center"/>
    </xf>
    <xf numFmtId="0" fontId="536" fillId="68" borderId="293" xfId="37" applyFont="1" applyFill="1" applyBorder="1" applyAlignment="1">
      <alignment horizontal="centerContinuous" vertical="center"/>
    </xf>
    <xf numFmtId="0" fontId="536" fillId="68" borderId="131" xfId="37" applyFont="1" applyFill="1" applyBorder="1" applyAlignment="1">
      <alignment horizontal="centerContinuous" vertical="center"/>
    </xf>
    <xf numFmtId="0" fontId="536" fillId="68" borderId="132" xfId="37" applyFont="1" applyFill="1" applyBorder="1" applyAlignment="1">
      <alignment horizontal="centerContinuous" vertical="center"/>
    </xf>
    <xf numFmtId="0" fontId="537" fillId="4" borderId="0" xfId="1" applyFont="1" applyFill="1" applyAlignment="1">
      <alignment horizontal="center" vertical="center"/>
    </xf>
    <xf numFmtId="0" fontId="538" fillId="4" borderId="0" xfId="1" applyFont="1" applyFill="1" applyAlignment="1">
      <alignment horizontal="center" vertical="center"/>
    </xf>
    <xf numFmtId="0" fontId="539" fillId="4" borderId="0" xfId="1" applyFont="1" applyFill="1" applyAlignment="1">
      <alignment horizontal="center" vertical="center"/>
    </xf>
    <xf numFmtId="0" fontId="307" fillId="0" borderId="0" xfId="1" applyFont="1" applyAlignment="1">
      <alignment vertical="center"/>
    </xf>
    <xf numFmtId="0" fontId="540" fillId="0" borderId="0" xfId="1" applyFont="1"/>
    <xf numFmtId="0" fontId="541" fillId="4" borderId="0" xfId="1" applyFont="1" applyFill="1" applyAlignment="1">
      <alignment horizontal="center" vertical="center"/>
    </xf>
    <xf numFmtId="0" fontId="428" fillId="0" borderId="0" xfId="1" applyFont="1" applyAlignment="1">
      <alignment horizontal="center" vertical="center"/>
    </xf>
    <xf numFmtId="0" fontId="542" fillId="0" borderId="0" xfId="1" applyFont="1" applyAlignment="1">
      <alignment horizontal="center" vertical="center"/>
    </xf>
    <xf numFmtId="0" fontId="543" fillId="4" borderId="0" xfId="1" applyFont="1" applyFill="1" applyAlignment="1">
      <alignment horizontal="center" vertical="center"/>
    </xf>
    <xf numFmtId="0" fontId="544" fillId="0" borderId="0" xfId="1" applyFont="1" applyAlignment="1">
      <alignment horizontal="center" vertical="center"/>
    </xf>
    <xf numFmtId="0" fontId="545" fillId="0" borderId="0" xfId="1" applyFont="1" applyAlignment="1">
      <alignment horizontal="center" vertical="center"/>
    </xf>
    <xf numFmtId="0" fontId="546" fillId="0" borderId="10" xfId="1" applyFont="1" applyBorder="1" applyAlignment="1">
      <alignment horizontal="center" vertical="center"/>
    </xf>
    <xf numFmtId="0" fontId="546" fillId="0" borderId="0" xfId="1" applyFont="1" applyAlignment="1">
      <alignment horizontal="center" vertical="center"/>
    </xf>
    <xf numFmtId="0" fontId="546" fillId="0" borderId="165" xfId="1" applyFont="1" applyBorder="1" applyAlignment="1">
      <alignment horizontal="center" vertical="center"/>
    </xf>
    <xf numFmtId="0" fontId="547" fillId="0" borderId="10" xfId="1" applyFont="1" applyBorder="1" applyAlignment="1">
      <alignment horizontal="center" vertical="center"/>
    </xf>
    <xf numFmtId="0" fontId="547" fillId="0" borderId="0" xfId="1" applyFont="1" applyAlignment="1">
      <alignment horizontal="center" vertical="center"/>
    </xf>
    <xf numFmtId="0" fontId="547" fillId="0" borderId="165" xfId="1" applyFont="1" applyBorder="1" applyAlignment="1">
      <alignment horizontal="center" vertical="center"/>
    </xf>
    <xf numFmtId="0" fontId="548" fillId="0" borderId="0" xfId="1" applyFont="1" applyAlignment="1">
      <alignment horizontal="center" vertical="center"/>
    </xf>
    <xf numFmtId="0" fontId="549" fillId="0" borderId="0" xfId="1" applyFont="1" applyAlignment="1">
      <alignment horizontal="center" vertical="center"/>
    </xf>
    <xf numFmtId="0" fontId="550" fillId="0" borderId="0" xfId="1" applyFont="1" applyAlignment="1">
      <alignment horizontal="center" vertical="center"/>
    </xf>
    <xf numFmtId="0" fontId="551" fillId="0" borderId="0" xfId="1" applyFont="1" applyAlignment="1">
      <alignment horizontal="center" vertical="center"/>
    </xf>
    <xf numFmtId="0" fontId="186" fillId="0" borderId="0" xfId="3" applyFont="1"/>
    <xf numFmtId="0" fontId="552" fillId="0" borderId="0" xfId="1" applyFont="1" applyAlignment="1">
      <alignment horizontal="center" vertical="center"/>
    </xf>
    <xf numFmtId="0" fontId="553" fillId="0" borderId="0" xfId="1" applyFont="1" applyAlignment="1">
      <alignment horizontal="center" vertical="center"/>
    </xf>
    <xf numFmtId="0" fontId="326" fillId="80" borderId="0" xfId="1" applyFont="1" applyFill="1" applyAlignment="1">
      <alignment horizontal="center" vertical="center"/>
    </xf>
    <xf numFmtId="0" fontId="554" fillId="0" borderId="0" xfId="1" applyFont="1" applyAlignment="1">
      <alignment horizontal="center" vertical="center"/>
    </xf>
    <xf numFmtId="0" fontId="326" fillId="122" borderId="0" xfId="1" applyFont="1" applyFill="1" applyAlignment="1">
      <alignment horizontal="center" vertical="center"/>
    </xf>
    <xf numFmtId="0" fontId="555" fillId="0" borderId="0" xfId="1" applyFont="1" applyAlignment="1">
      <alignment horizontal="center" vertical="center"/>
    </xf>
    <xf numFmtId="0" fontId="326" fillId="123" borderId="0" xfId="1" applyFont="1" applyFill="1" applyAlignment="1">
      <alignment horizontal="center" vertical="center"/>
    </xf>
    <xf numFmtId="0" fontId="556" fillId="4" borderId="0" xfId="1" applyFont="1" applyFill="1" applyAlignment="1">
      <alignment horizontal="center" vertical="center"/>
    </xf>
    <xf numFmtId="0" fontId="326" fillId="124" borderId="0" xfId="1" applyFont="1" applyFill="1" applyAlignment="1">
      <alignment horizontal="center" vertical="center"/>
    </xf>
    <xf numFmtId="0" fontId="557" fillId="0" borderId="0" xfId="1" applyFont="1" applyAlignment="1">
      <alignment horizontal="center" vertical="center"/>
    </xf>
    <xf numFmtId="0" fontId="326" fillId="114" borderId="0" xfId="1" applyFont="1" applyFill="1" applyAlignment="1">
      <alignment horizontal="center" vertical="center"/>
    </xf>
    <xf numFmtId="0" fontId="558" fillId="0" borderId="0" xfId="1" applyFont="1" applyAlignment="1">
      <alignment horizontal="center" vertical="center"/>
    </xf>
    <xf numFmtId="0" fontId="326" fillId="125" borderId="0" xfId="1" applyFont="1" applyFill="1" applyAlignment="1">
      <alignment horizontal="center" vertical="center"/>
    </xf>
    <xf numFmtId="0" fontId="559" fillId="0" borderId="0" xfId="1" applyFont="1" applyAlignment="1">
      <alignment horizontal="center" vertical="center"/>
    </xf>
    <xf numFmtId="0" fontId="326" fillId="126" borderId="0" xfId="1" applyFont="1" applyFill="1" applyAlignment="1">
      <alignment horizontal="center" vertical="center"/>
    </xf>
    <xf numFmtId="0" fontId="560" fillId="0" borderId="0" xfId="1" applyFont="1" applyAlignment="1">
      <alignment horizontal="center" vertical="center"/>
    </xf>
    <xf numFmtId="0" fontId="326" fillId="127" borderId="0" xfId="1" applyFont="1" applyFill="1" applyAlignment="1">
      <alignment horizontal="center" vertical="center"/>
    </xf>
    <xf numFmtId="0" fontId="561" fillId="0" borderId="0" xfId="1" applyFont="1" applyAlignment="1">
      <alignment horizontal="center" vertical="center"/>
    </xf>
    <xf numFmtId="0" fontId="562" fillId="0" borderId="0" xfId="1" applyFont="1" applyAlignment="1">
      <alignment horizontal="center" vertical="center"/>
    </xf>
    <xf numFmtId="0" fontId="190" fillId="0" borderId="0" xfId="3" applyFont="1"/>
    <xf numFmtId="0" fontId="563" fillId="0" borderId="190" xfId="3" applyFont="1" applyBorder="1" applyAlignment="1">
      <alignment horizontal="center" vertical="center"/>
    </xf>
    <xf numFmtId="0" fontId="563" fillId="0" borderId="39" xfId="3" applyFont="1" applyBorder="1" applyAlignment="1">
      <alignment horizontal="center" vertical="center"/>
    </xf>
    <xf numFmtId="0" fontId="563" fillId="0" borderId="141" xfId="3" applyFont="1" applyBorder="1" applyAlignment="1">
      <alignment horizontal="center" vertical="center"/>
    </xf>
    <xf numFmtId="0" fontId="563" fillId="0" borderId="17" xfId="3" applyFont="1" applyBorder="1" applyAlignment="1">
      <alignment horizontal="center" vertical="center"/>
    </xf>
    <xf numFmtId="0" fontId="326" fillId="128" borderId="0" xfId="1" applyFont="1" applyFill="1" applyAlignment="1">
      <alignment horizontal="center" vertical="center"/>
    </xf>
    <xf numFmtId="0" fontId="565" fillId="0" borderId="0" xfId="1" applyFont="1" applyAlignment="1">
      <alignment horizontal="center" vertical="center"/>
    </xf>
    <xf numFmtId="0" fontId="566" fillId="0" borderId="0" xfId="1" applyFont="1" applyAlignment="1">
      <alignment horizontal="center" vertical="center"/>
    </xf>
    <xf numFmtId="0" fontId="164" fillId="0" borderId="0" xfId="3" applyFont="1" applyAlignment="1">
      <alignment horizontal="right"/>
    </xf>
    <xf numFmtId="0" fontId="567" fillId="0" borderId="190" xfId="3" applyFont="1" applyBorder="1" applyAlignment="1">
      <alignment horizontal="center" vertical="center"/>
    </xf>
    <xf numFmtId="0" fontId="567" fillId="0" borderId="39" xfId="3" applyFont="1" applyBorder="1" applyAlignment="1">
      <alignment horizontal="center" vertical="center"/>
    </xf>
    <xf numFmtId="0" fontId="569" fillId="0" borderId="0" xfId="1" applyFont="1" applyAlignment="1">
      <alignment vertical="center"/>
    </xf>
    <xf numFmtId="0" fontId="567" fillId="0" borderId="141" xfId="3" applyFont="1" applyBorder="1" applyAlignment="1">
      <alignment horizontal="center" vertical="center"/>
    </xf>
    <xf numFmtId="0" fontId="567" fillId="0" borderId="17" xfId="3" applyFont="1" applyBorder="1" applyAlignment="1">
      <alignment horizontal="center" vertical="center"/>
    </xf>
    <xf numFmtId="0" fontId="571" fillId="0" borderId="190" xfId="3" applyFont="1" applyBorder="1" applyAlignment="1">
      <alignment horizontal="center" vertical="center"/>
    </xf>
    <xf numFmtId="0" fontId="571" fillId="0" borderId="39" xfId="3" applyFont="1" applyBorder="1" applyAlignment="1">
      <alignment horizontal="center" vertical="center"/>
    </xf>
    <xf numFmtId="0" fontId="540" fillId="0" borderId="0" xfId="3" applyFont="1" applyAlignment="1">
      <alignment horizontal="center" vertical="center"/>
    </xf>
    <xf numFmtId="0" fontId="571" fillId="0" borderId="141" xfId="3" applyFont="1" applyBorder="1" applyAlignment="1">
      <alignment horizontal="center" vertical="center"/>
    </xf>
    <xf numFmtId="0" fontId="571" fillId="0" borderId="17" xfId="3" applyFont="1" applyBorder="1" applyAlignment="1">
      <alignment horizontal="center" vertical="center"/>
    </xf>
    <xf numFmtId="0" fontId="572" fillId="0" borderId="0" xfId="3" applyFont="1" applyAlignment="1">
      <alignment horizontal="right" vertical="center"/>
    </xf>
    <xf numFmtId="0" fontId="573" fillId="0" borderId="190" xfId="3" applyFont="1" applyBorder="1" applyAlignment="1">
      <alignment horizontal="center" vertical="center"/>
    </xf>
    <xf numFmtId="0" fontId="573" fillId="0" borderId="39" xfId="3" applyFont="1" applyBorder="1" applyAlignment="1">
      <alignment horizontal="center" vertical="center"/>
    </xf>
    <xf numFmtId="0" fontId="573" fillId="0" borderId="141" xfId="3" applyFont="1" applyBorder="1" applyAlignment="1">
      <alignment horizontal="center" vertical="center"/>
    </xf>
    <xf numFmtId="0" fontId="573" fillId="0" borderId="17" xfId="3" applyFont="1" applyBorder="1" applyAlignment="1">
      <alignment horizontal="center" vertical="center"/>
    </xf>
    <xf numFmtId="0" fontId="575" fillId="0" borderId="0" xfId="3" applyFont="1" applyAlignment="1">
      <alignment horizontal="center" vertical="center"/>
    </xf>
    <xf numFmtId="0" fontId="190" fillId="0" borderId="0" xfId="3" applyFont="1" applyAlignment="1">
      <alignment horizontal="right"/>
    </xf>
    <xf numFmtId="0" fontId="576" fillId="0" borderId="190" xfId="3" applyFont="1" applyBorder="1" applyAlignment="1">
      <alignment horizontal="center" vertical="center"/>
    </xf>
    <xf numFmtId="0" fontId="576" fillId="0" borderId="39" xfId="3" applyFont="1" applyBorder="1" applyAlignment="1">
      <alignment horizontal="center" vertical="center"/>
    </xf>
    <xf numFmtId="0" fontId="563" fillId="0" borderId="299" xfId="3" applyFont="1" applyBorder="1" applyAlignment="1">
      <alignment horizontal="center" vertical="center"/>
    </xf>
    <xf numFmtId="0" fontId="563" fillId="0" borderId="0" xfId="3" applyFont="1" applyAlignment="1">
      <alignment horizontal="center" vertical="center"/>
    </xf>
    <xf numFmtId="0" fontId="564" fillId="0" borderId="0" xfId="3" applyFont="1" applyAlignment="1">
      <alignment horizontal="right" vertical="center"/>
    </xf>
    <xf numFmtId="0" fontId="576" fillId="0" borderId="141" xfId="3" applyFont="1" applyBorder="1" applyAlignment="1">
      <alignment horizontal="center" vertical="center"/>
    </xf>
    <xf numFmtId="0" fontId="576" fillId="0" borderId="17" xfId="3" applyFont="1" applyBorder="1" applyAlignment="1">
      <alignment horizontal="center" vertical="center"/>
    </xf>
    <xf numFmtId="0" fontId="577" fillId="0" borderId="0" xfId="3" applyFont="1"/>
    <xf numFmtId="0" fontId="567" fillId="0" borderId="299" xfId="3" applyFont="1" applyBorder="1" applyAlignment="1">
      <alignment horizontal="center" vertical="center"/>
    </xf>
    <xf numFmtId="0" fontId="567" fillId="0" borderId="0" xfId="3" applyFont="1" applyAlignment="1">
      <alignment horizontal="center" vertical="center"/>
    </xf>
    <xf numFmtId="0" fontId="571" fillId="0" borderId="299" xfId="3" applyFont="1" applyBorder="1" applyAlignment="1">
      <alignment horizontal="center" vertical="center"/>
    </xf>
    <xf numFmtId="0" fontId="571" fillId="0" borderId="0" xfId="3" applyFont="1" applyAlignment="1">
      <alignment horizontal="center" vertical="center"/>
    </xf>
    <xf numFmtId="0" fontId="190" fillId="0" borderId="180" xfId="3" applyFont="1" applyBorder="1"/>
    <xf numFmtId="0" fontId="573" fillId="0" borderId="299" xfId="3" applyFont="1" applyBorder="1" applyAlignment="1">
      <alignment horizontal="center" vertical="center"/>
    </xf>
    <xf numFmtId="0" fontId="573" fillId="0" borderId="0" xfId="3" applyFont="1" applyAlignment="1">
      <alignment horizontal="center" vertical="center"/>
    </xf>
    <xf numFmtId="0" fontId="573" fillId="0" borderId="187" xfId="3" applyFont="1" applyBorder="1" applyAlignment="1">
      <alignment horizontal="center" vertical="center"/>
    </xf>
    <xf numFmtId="0" fontId="190" fillId="0" borderId="299" xfId="3" applyFont="1" applyBorder="1" applyAlignment="1">
      <alignment horizontal="center" vertical="center"/>
    </xf>
    <xf numFmtId="0" fontId="190" fillId="0" borderId="0" xfId="3" applyFont="1" applyAlignment="1">
      <alignment horizontal="center" vertical="center"/>
    </xf>
    <xf numFmtId="0" fontId="578" fillId="0" borderId="299" xfId="3" applyFont="1" applyBorder="1" applyAlignment="1">
      <alignment horizontal="center" vertical="center" wrapText="1"/>
    </xf>
    <xf numFmtId="0" fontId="578" fillId="0" borderId="0" xfId="3" applyFont="1" applyAlignment="1">
      <alignment horizontal="center" vertical="center" wrapText="1"/>
    </xf>
    <xf numFmtId="0" fontId="579" fillId="106" borderId="0" xfId="1" applyFont="1" applyFill="1" applyAlignment="1">
      <alignment horizontal="center" vertical="center"/>
    </xf>
    <xf numFmtId="0" fontId="580" fillId="106" borderId="0" xfId="1" applyFont="1" applyFill="1" applyAlignment="1">
      <alignment horizontal="center" vertical="center"/>
    </xf>
    <xf numFmtId="0" fontId="266" fillId="0" borderId="0" xfId="3" applyFont="1" applyAlignment="1">
      <alignment horizontal="left"/>
    </xf>
    <xf numFmtId="0" fontId="536" fillId="110" borderId="293" xfId="37" applyFont="1" applyFill="1" applyBorder="1" applyAlignment="1">
      <alignment horizontal="centerContinuous" vertical="center"/>
    </xf>
    <xf numFmtId="0" fontId="536" fillId="110" borderId="131" xfId="37" applyFont="1" applyFill="1" applyBorder="1" applyAlignment="1">
      <alignment horizontal="centerContinuous" vertical="center"/>
    </xf>
    <xf numFmtId="0" fontId="536" fillId="110" borderId="132" xfId="37" applyFont="1" applyFill="1" applyBorder="1" applyAlignment="1">
      <alignment horizontal="centerContinuous" vertical="center"/>
    </xf>
    <xf numFmtId="0" fontId="536" fillId="129" borderId="293" xfId="37" applyFont="1" applyFill="1" applyBorder="1" applyAlignment="1">
      <alignment horizontal="centerContinuous" vertical="center"/>
    </xf>
    <xf numFmtId="0" fontId="536" fillId="129" borderId="131" xfId="37" applyFont="1" applyFill="1" applyBorder="1" applyAlignment="1">
      <alignment horizontal="centerContinuous" vertical="center"/>
    </xf>
    <xf numFmtId="0" fontId="536" fillId="129" borderId="132" xfId="37" applyFont="1" applyFill="1" applyBorder="1" applyAlignment="1">
      <alignment horizontal="centerContinuous" vertical="center"/>
    </xf>
    <xf numFmtId="0" fontId="492" fillId="95" borderId="0" xfId="1" applyFont="1" applyFill="1" applyAlignment="1">
      <alignment vertical="center"/>
    </xf>
    <xf numFmtId="0" fontId="492" fillId="0" borderId="190" xfId="1" applyFont="1" applyBorder="1" applyAlignment="1">
      <alignment vertical="center"/>
    </xf>
    <xf numFmtId="0" fontId="492" fillId="0" borderId="189" xfId="1" applyFont="1" applyBorder="1" applyAlignment="1">
      <alignment vertical="center"/>
    </xf>
    <xf numFmtId="0" fontId="492" fillId="0" borderId="39" xfId="1" applyFont="1" applyBorder="1" applyAlignment="1">
      <alignment vertical="center"/>
    </xf>
    <xf numFmtId="0" fontId="581" fillId="0" borderId="10" xfId="1" applyFont="1" applyBorder="1" applyAlignment="1">
      <alignment horizontal="center" vertical="center"/>
    </xf>
    <xf numFmtId="0" fontId="582" fillId="0" borderId="0" xfId="1" applyFont="1" applyAlignment="1">
      <alignment horizontal="center" vertical="center"/>
    </xf>
    <xf numFmtId="0" fontId="581" fillId="0" borderId="0" xfId="1" applyFont="1" applyAlignment="1">
      <alignment horizontal="center" vertical="center"/>
    </xf>
    <xf numFmtId="0" fontId="164" fillId="0" borderId="0" xfId="1" applyFont="1" applyAlignment="1">
      <alignment horizontal="center" vertical="center"/>
    </xf>
    <xf numFmtId="0" fontId="581" fillId="0" borderId="165" xfId="1" applyFont="1" applyBorder="1" applyAlignment="1">
      <alignment horizontal="center" vertical="center"/>
    </xf>
    <xf numFmtId="0" fontId="583" fillId="0" borderId="10" xfId="1" applyFont="1" applyBorder="1" applyAlignment="1">
      <alignment horizontal="center" vertical="center"/>
    </xf>
    <xf numFmtId="0" fontId="584" fillId="0" borderId="0" xfId="1" applyFont="1" applyAlignment="1">
      <alignment horizontal="center" vertical="center"/>
    </xf>
    <xf numFmtId="0" fontId="583" fillId="0" borderId="165" xfId="1" applyFont="1" applyBorder="1" applyAlignment="1">
      <alignment horizontal="center" vertical="center"/>
    </xf>
    <xf numFmtId="0" fontId="583" fillId="0" borderId="0" xfId="1" applyFont="1" applyAlignment="1">
      <alignment horizontal="center" vertical="center"/>
    </xf>
    <xf numFmtId="0" fontId="179" fillId="0" borderId="0" xfId="1" applyFont="1" applyAlignment="1">
      <alignment vertical="center"/>
    </xf>
    <xf numFmtId="0" fontId="585" fillId="0" borderId="299" xfId="3" applyFont="1" applyBorder="1" applyAlignment="1">
      <alignment horizontal="center" vertical="center"/>
    </xf>
    <xf numFmtId="0" fontId="585" fillId="0" borderId="0" xfId="3" applyFont="1" applyAlignment="1">
      <alignment horizontal="center" vertical="center"/>
    </xf>
    <xf numFmtId="0" fontId="226" fillId="0" borderId="0" xfId="3" applyFont="1"/>
    <xf numFmtId="0" fontId="586" fillId="0" borderId="299" xfId="3" applyFont="1" applyBorder="1" applyAlignment="1">
      <alignment horizontal="center" vertical="center"/>
    </xf>
    <xf numFmtId="0" fontId="586" fillId="0" borderId="0" xfId="3" applyFont="1" applyAlignment="1">
      <alignment horizontal="center" vertical="center"/>
    </xf>
    <xf numFmtId="0" fontId="587" fillId="0" borderId="299" xfId="3" applyFont="1" applyBorder="1" applyAlignment="1">
      <alignment horizontal="center" vertical="center"/>
    </xf>
    <xf numFmtId="0" fontId="587" fillId="0" borderId="0" xfId="3" applyFont="1" applyAlignment="1">
      <alignment horizontal="center" vertical="center"/>
    </xf>
    <xf numFmtId="0" fontId="226" fillId="0" borderId="180" xfId="3" applyFont="1" applyBorder="1"/>
    <xf numFmtId="0" fontId="588" fillId="0" borderId="299" xfId="3" applyFont="1" applyBorder="1" applyAlignment="1">
      <alignment horizontal="center" vertical="center"/>
    </xf>
    <xf numFmtId="0" fontId="588" fillId="0" borderId="0" xfId="3" applyFont="1" applyAlignment="1">
      <alignment horizontal="center" vertical="center"/>
    </xf>
    <xf numFmtId="0" fontId="588" fillId="0" borderId="187" xfId="3" applyFont="1" applyBorder="1" applyAlignment="1">
      <alignment horizontal="center" vertical="center"/>
    </xf>
    <xf numFmtId="0" fontId="226" fillId="0" borderId="299" xfId="3" applyFont="1" applyBorder="1" applyAlignment="1">
      <alignment horizontal="center" vertical="center"/>
    </xf>
    <xf numFmtId="0" fontId="226" fillId="0" borderId="0" xfId="3" applyFont="1" applyAlignment="1">
      <alignment horizontal="center" vertical="center"/>
    </xf>
    <xf numFmtId="0" fontId="251" fillId="0" borderId="0" xfId="3" applyFont="1"/>
    <xf numFmtId="0" fontId="576" fillId="0" borderId="39" xfId="3" quotePrefix="1" applyFont="1" applyBorder="1" applyAlignment="1">
      <alignment horizontal="center" vertical="center"/>
    </xf>
    <xf numFmtId="0" fontId="492" fillId="0" borderId="0" xfId="3" applyFont="1"/>
    <xf numFmtId="0" fontId="576" fillId="0" borderId="17" xfId="3" quotePrefix="1" applyFont="1" applyBorder="1" applyAlignment="1">
      <alignment horizontal="center" vertical="center"/>
    </xf>
    <xf numFmtId="0" fontId="589" fillId="0" borderId="299" xfId="3" applyFont="1" applyBorder="1" applyAlignment="1">
      <alignment horizontal="center" vertical="center" wrapText="1"/>
    </xf>
    <xf numFmtId="0" fontId="589" fillId="0" borderId="0" xfId="3" applyFont="1" applyAlignment="1">
      <alignment horizontal="center" vertical="center" wrapText="1"/>
    </xf>
    <xf numFmtId="0" fontId="590" fillId="0" borderId="10" xfId="1" applyFont="1" applyBorder="1" applyAlignment="1">
      <alignment horizontal="centerContinuous" vertical="center" wrapText="1"/>
    </xf>
    <xf numFmtId="0" fontId="590" fillId="0" borderId="0" xfId="1" applyFont="1" applyAlignment="1">
      <alignment horizontal="centerContinuous" vertical="center" wrapText="1"/>
    </xf>
    <xf numFmtId="0" fontId="591" fillId="106" borderId="0" xfId="1" applyFont="1" applyFill="1" applyAlignment="1">
      <alignment horizontal="center" vertical="center"/>
    </xf>
    <xf numFmtId="0" fontId="492" fillId="0" borderId="10" xfId="1" applyFont="1" applyBorder="1" applyAlignment="1">
      <alignment horizontal="centerContinuous" vertical="center"/>
    </xf>
    <xf numFmtId="0" fontId="492" fillId="0" borderId="0" xfId="1" applyFont="1" applyAlignment="1">
      <alignment horizontal="centerContinuous" vertical="center"/>
    </xf>
    <xf numFmtId="0" fontId="524" fillId="0" borderId="0" xfId="1" applyFont="1" applyAlignment="1">
      <alignment horizontal="centerContinuous" vertical="center"/>
    </xf>
    <xf numFmtId="0" fontId="592" fillId="106" borderId="0" xfId="1" applyFont="1" applyFill="1" applyAlignment="1">
      <alignment horizontal="center" vertical="center"/>
    </xf>
    <xf numFmtId="0" fontId="6" fillId="0" borderId="0" xfId="1" applyAlignment="1">
      <alignment horizontal="centerContinuous" vertical="center"/>
    </xf>
    <xf numFmtId="0" fontId="593" fillId="0" borderId="0" xfId="1" applyFont="1" applyAlignment="1">
      <alignment vertical="center"/>
    </xf>
    <xf numFmtId="0" fontId="594" fillId="110" borderId="142" xfId="38" applyFont="1" applyFill="1" applyBorder="1" applyAlignment="1">
      <alignment horizontal="centerContinuous" vertical="center" wrapText="1"/>
    </xf>
    <xf numFmtId="0" fontId="594" fillId="110" borderId="143" xfId="38" applyFont="1" applyFill="1" applyBorder="1" applyAlignment="1">
      <alignment horizontal="centerContinuous" vertical="center" wrapText="1"/>
    </xf>
    <xf numFmtId="0" fontId="595" fillId="110" borderId="143" xfId="37" applyFont="1" applyFill="1" applyBorder="1" applyAlignment="1">
      <alignment horizontal="centerContinuous" vertical="center" wrapText="1"/>
    </xf>
    <xf numFmtId="0" fontId="596" fillId="110" borderId="143" xfId="37" applyFont="1" applyFill="1" applyBorder="1" applyAlignment="1">
      <alignment horizontal="centerContinuous" vertical="center" wrapText="1"/>
    </xf>
    <xf numFmtId="0" fontId="596" fillId="110" borderId="199" xfId="37" applyFont="1" applyFill="1" applyBorder="1" applyAlignment="1">
      <alignment horizontal="centerContinuous" vertical="center" wrapText="1"/>
    </xf>
    <xf numFmtId="0" fontId="597" fillId="67" borderId="0" xfId="1" applyFont="1" applyFill="1" applyAlignment="1">
      <alignment horizontal="left" vertical="center"/>
    </xf>
    <xf numFmtId="0" fontId="1" fillId="67" borderId="0" xfId="39" applyFill="1"/>
    <xf numFmtId="0" fontId="12" fillId="0" borderId="0" xfId="3" applyFont="1" applyAlignment="1">
      <alignment horizontal="left" vertical="center" wrapText="1"/>
    </xf>
    <xf numFmtId="0" fontId="41" fillId="0" borderId="0" xfId="3" applyFont="1" applyAlignment="1">
      <alignment horizontal="center" vertical="center"/>
    </xf>
    <xf numFmtId="0" fontId="598" fillId="0" borderId="0" xfId="3" applyFont="1" applyAlignment="1">
      <alignment horizontal="center" vertical="center"/>
    </xf>
    <xf numFmtId="0" fontId="9" fillId="3" borderId="0" xfId="3" applyFont="1" applyFill="1" applyAlignment="1">
      <alignment horizontal="center" vertical="center"/>
    </xf>
    <xf numFmtId="0" fontId="12" fillId="15" borderId="0" xfId="3" applyFont="1" applyFill="1"/>
    <xf numFmtId="0" fontId="599" fillId="0" borderId="0" xfId="3" applyFont="1" applyAlignment="1">
      <alignment horizontal="center" vertical="center"/>
    </xf>
    <xf numFmtId="0" fontId="59" fillId="15" borderId="0" xfId="3" applyFont="1" applyFill="1" applyAlignment="1">
      <alignment vertical="center"/>
    </xf>
    <xf numFmtId="0" fontId="160" fillId="15" borderId="0" xfId="3" applyFont="1" applyFill="1"/>
    <xf numFmtId="0" fontId="34" fillId="15" borderId="0" xfId="3" applyFont="1" applyFill="1" applyAlignment="1">
      <alignment vertical="center"/>
    </xf>
    <xf numFmtId="0" fontId="160" fillId="15" borderId="0" xfId="3" applyFont="1" applyFill="1" applyAlignment="1">
      <alignment vertical="center"/>
    </xf>
    <xf numFmtId="0" fontId="18" fillId="15" borderId="0" xfId="3" applyFont="1" applyFill="1" applyAlignment="1">
      <alignment vertical="center"/>
    </xf>
    <xf numFmtId="0" fontId="34" fillId="0" borderId="0" xfId="3" applyFont="1" applyAlignment="1">
      <alignment vertical="center"/>
    </xf>
    <xf numFmtId="0" fontId="600" fillId="15" borderId="0" xfId="40" applyFont="1" applyFill="1" applyAlignment="1">
      <alignment vertical="center"/>
    </xf>
    <xf numFmtId="0" fontId="7" fillId="130" borderId="0" xfId="3" applyFont="1" applyFill="1" applyAlignment="1">
      <alignment horizontal="right" vertical="center"/>
    </xf>
    <xf numFmtId="0" fontId="12" fillId="4" borderId="0" xfId="3" applyFont="1" applyFill="1" applyAlignment="1">
      <alignment horizontal="left" vertical="center" wrapText="1"/>
    </xf>
    <xf numFmtId="0" fontId="41" fillId="4" borderId="0" xfId="3" applyFont="1" applyFill="1" applyAlignment="1">
      <alignment horizontal="center" vertical="center"/>
    </xf>
    <xf numFmtId="0" fontId="598" fillId="4" borderId="0" xfId="3" applyFont="1" applyFill="1" applyAlignment="1">
      <alignment horizontal="center" vertical="center"/>
    </xf>
    <xf numFmtId="0" fontId="9" fillId="0" borderId="0" xfId="3" applyFont="1" applyAlignment="1">
      <alignment horizontal="left" vertical="center"/>
    </xf>
    <xf numFmtId="0" fontId="601" fillId="0" borderId="0" xfId="3" applyFont="1" applyAlignment="1">
      <alignment horizontal="center" vertical="center"/>
    </xf>
    <xf numFmtId="0" fontId="602" fillId="0" borderId="0" xfId="3" applyFont="1" applyAlignment="1">
      <alignment horizontal="center" vertical="center"/>
    </xf>
    <xf numFmtId="0" fontId="602" fillId="0" borderId="0" xfId="3" applyFont="1" applyAlignment="1">
      <alignment horizontal="left" vertical="center"/>
    </xf>
    <xf numFmtId="0" fontId="603" fillId="0" borderId="0" xfId="3" applyFont="1" applyAlignment="1">
      <alignment horizontal="center" vertical="center"/>
    </xf>
    <xf numFmtId="0" fontId="604" fillId="4" borderId="0" xfId="3" applyFont="1" applyFill="1"/>
    <xf numFmtId="0" fontId="604" fillId="4" borderId="0" xfId="3" applyFont="1" applyFill="1" applyAlignment="1">
      <alignment horizontal="left" vertical="center" wrapText="1"/>
    </xf>
    <xf numFmtId="0" fontId="605" fillId="4" borderId="0" xfId="3" applyFont="1" applyFill="1" applyAlignment="1">
      <alignment horizontal="center" vertical="center"/>
    </xf>
    <xf numFmtId="0" fontId="606" fillId="4" borderId="0" xfId="3" applyFont="1" applyFill="1" applyAlignment="1">
      <alignment vertical="center"/>
    </xf>
    <xf numFmtId="0" fontId="607" fillId="4" borderId="0" xfId="3" applyFont="1" applyFill="1" applyAlignment="1">
      <alignment horizontal="right" vertical="center"/>
    </xf>
    <xf numFmtId="0" fontId="83" fillId="4" borderId="0" xfId="40" applyFill="1"/>
    <xf numFmtId="0" fontId="83" fillId="4" borderId="0" xfId="40" applyFill="1" applyAlignment="1">
      <alignment horizontal="left" vertical="center"/>
    </xf>
    <xf numFmtId="0" fontId="608" fillId="4" borderId="0" xfId="3" applyFont="1" applyFill="1" applyAlignment="1">
      <alignment vertical="center"/>
    </xf>
    <xf numFmtId="0" fontId="12" fillId="4" borderId="0" xfId="3" applyFont="1" applyFill="1" applyAlignment="1">
      <alignment horizontal="right" vertical="center" wrapText="1"/>
    </xf>
    <xf numFmtId="0" fontId="609" fillId="4" borderId="0" xfId="40" applyFont="1" applyFill="1" applyAlignment="1">
      <alignment horizontal="left" vertical="center"/>
    </xf>
    <xf numFmtId="0" fontId="185" fillId="4" borderId="0" xfId="3" applyFont="1" applyFill="1" applyAlignment="1">
      <alignment horizontal="right" vertical="center"/>
    </xf>
    <xf numFmtId="0" fontId="609" fillId="4" borderId="0" xfId="40" applyFont="1" applyFill="1" applyAlignment="1">
      <alignment vertical="center"/>
    </xf>
    <xf numFmtId="0" fontId="12" fillId="4" borderId="0" xfId="3" applyFont="1" applyFill="1" applyAlignment="1">
      <alignment horizontal="right"/>
    </xf>
    <xf numFmtId="0" fontId="12" fillId="4" borderId="0" xfId="3" applyFont="1" applyFill="1" applyAlignment="1">
      <alignment horizontal="left" vertical="center"/>
    </xf>
    <xf numFmtId="0" fontId="610" fillId="4" borderId="0" xfId="3" applyFont="1" applyFill="1" applyAlignment="1">
      <alignment horizontal="left" vertical="center"/>
    </xf>
    <xf numFmtId="0" fontId="611" fillId="130" borderId="0" xfId="3" applyFont="1" applyFill="1" applyAlignment="1">
      <alignment vertical="center"/>
    </xf>
    <xf numFmtId="0" fontId="203" fillId="130" borderId="0" xfId="3" applyFont="1" applyFill="1" applyAlignment="1">
      <alignment vertical="center"/>
    </xf>
    <xf numFmtId="0" fontId="612" fillId="130" borderId="0" xfId="3" applyFont="1" applyFill="1" applyAlignment="1">
      <alignment vertical="center"/>
    </xf>
    <xf numFmtId="0" fontId="182" fillId="130" borderId="0" xfId="3" applyFont="1" applyFill="1" applyAlignment="1">
      <alignment vertical="center"/>
    </xf>
    <xf numFmtId="0" fontId="1" fillId="67" borderId="0" xfId="41" applyFill="1"/>
    <xf numFmtId="0" fontId="250" fillId="67" borderId="0" xfId="1" applyFont="1" applyFill="1" applyAlignment="1">
      <alignment horizontal="center" vertical="center"/>
    </xf>
    <xf numFmtId="0" fontId="6" fillId="67" borderId="0" xfId="1" applyFill="1"/>
    <xf numFmtId="0" fontId="18" fillId="67" borderId="0" xfId="1" applyFont="1" applyFill="1" applyAlignment="1">
      <alignment horizontal="left" vertical="center"/>
    </xf>
    <xf numFmtId="0" fontId="613" fillId="67" borderId="0" xfId="1" applyFont="1" applyFill="1" applyAlignment="1">
      <alignment horizontal="center" vertical="center"/>
    </xf>
    <xf numFmtId="200" fontId="308" fillId="67" borderId="0" xfId="41" applyNumberFormat="1" applyFont="1" applyFill="1" applyAlignment="1">
      <alignment horizontal="center" vertical="center"/>
    </xf>
    <xf numFmtId="0" fontId="307" fillId="67" borderId="0" xfId="1" applyFont="1" applyFill="1"/>
    <xf numFmtId="0" fontId="310" fillId="67" borderId="0" xfId="1" applyFont="1" applyFill="1"/>
    <xf numFmtId="0" fontId="614" fillId="67" borderId="0" xfId="1" applyFont="1" applyFill="1"/>
    <xf numFmtId="0" fontId="614" fillId="67" borderId="0" xfId="1" applyFont="1" applyFill="1" applyAlignment="1">
      <alignment vertical="center"/>
    </xf>
    <xf numFmtId="0" fontId="614" fillId="67" borderId="0" xfId="15" applyFont="1" applyFill="1" applyAlignment="1">
      <alignment horizontal="right" vertical="center"/>
    </xf>
    <xf numFmtId="0" fontId="59" fillId="67" borderId="0" xfId="1" applyFont="1" applyFill="1" applyAlignment="1">
      <alignment horizontal="left" vertical="center"/>
    </xf>
    <xf numFmtId="0" fontId="615" fillId="67" borderId="0" xfId="1" applyFont="1" applyFill="1" applyAlignment="1">
      <alignment horizontal="center" vertical="center"/>
    </xf>
    <xf numFmtId="0" fontId="59" fillId="67" borderId="0" xfId="41" applyFont="1" applyFill="1" applyAlignment="1">
      <alignment vertical="center"/>
    </xf>
    <xf numFmtId="14" fontId="7" fillId="67" borderId="0" xfId="1" applyNumberFormat="1" applyFont="1" applyFill="1"/>
    <xf numFmtId="0" fontId="186" fillId="67" borderId="0" xfId="1" applyFont="1" applyFill="1"/>
    <xf numFmtId="0" fontId="307" fillId="15" borderId="0" xfId="1" applyFont="1" applyFill="1"/>
    <xf numFmtId="0" fontId="310" fillId="15" borderId="0" xfId="1" applyFont="1" applyFill="1"/>
    <xf numFmtId="0" fontId="616" fillId="15" borderId="0" xfId="34" applyFont="1" applyFill="1" applyAlignment="1" applyProtection="1"/>
    <xf numFmtId="0" fontId="38" fillId="68" borderId="0" xfId="1" applyFont="1" applyFill="1" applyAlignment="1" applyProtection="1">
      <alignment horizontal="center" vertical="center"/>
      <protection hidden="1"/>
    </xf>
    <xf numFmtId="0" fontId="12" fillId="15" borderId="0" xfId="42" applyFont="1" applyFill="1"/>
    <xf numFmtId="0" fontId="36" fillId="17" borderId="0" xfId="42" applyFont="1" applyFill="1"/>
    <xf numFmtId="0" fontId="182" fillId="67" borderId="0" xfId="1" applyFont="1" applyFill="1" applyAlignment="1">
      <alignment horizontal="right" vertical="center"/>
    </xf>
    <xf numFmtId="0" fontId="12" fillId="67" borderId="0" xfId="1" applyFont="1" applyFill="1" applyAlignment="1">
      <alignment vertical="center"/>
    </xf>
    <xf numFmtId="0" fontId="12" fillId="67" borderId="0" xfId="1" applyFont="1" applyFill="1" applyProtection="1">
      <protection hidden="1"/>
    </xf>
    <xf numFmtId="0" fontId="227" fillId="67" borderId="0" xfId="1" applyFont="1" applyFill="1" applyAlignment="1">
      <alignment vertical="center"/>
    </xf>
    <xf numFmtId="0" fontId="171" fillId="67" borderId="0" xfId="1" applyFont="1" applyFill="1"/>
    <xf numFmtId="0" fontId="171" fillId="67" borderId="0" xfId="15" applyFont="1" applyFill="1" applyAlignment="1">
      <alignment horizontal="right" vertical="center"/>
    </xf>
    <xf numFmtId="0" fontId="185" fillId="67" borderId="0" xfId="15" applyFont="1" applyFill="1" applyAlignment="1">
      <alignment horizontal="right" vertical="center"/>
    </xf>
    <xf numFmtId="0" fontId="171" fillId="67" borderId="300" xfId="1" applyFont="1" applyFill="1" applyBorder="1"/>
    <xf numFmtId="0" fontId="171" fillId="67" borderId="301" xfId="1" applyFont="1" applyFill="1" applyBorder="1"/>
    <xf numFmtId="0" fontId="171" fillId="67" borderId="301" xfId="1" applyFont="1" applyFill="1" applyBorder="1" applyAlignment="1">
      <alignment vertical="center"/>
    </xf>
    <xf numFmtId="0" fontId="171" fillId="67" borderId="301" xfId="15" applyFont="1" applyFill="1" applyBorder="1" applyAlignment="1">
      <alignment horizontal="right" vertical="center"/>
    </xf>
    <xf numFmtId="0" fontId="185" fillId="67" borderId="301" xfId="15" applyFont="1" applyFill="1" applyBorder="1" applyAlignment="1">
      <alignment horizontal="right" vertical="center"/>
    </xf>
    <xf numFmtId="0" fontId="617" fillId="67" borderId="301" xfId="41" applyFont="1" applyFill="1" applyBorder="1" applyAlignment="1">
      <alignment vertical="center"/>
    </xf>
    <xf numFmtId="0" fontId="186" fillId="67" borderId="302" xfId="1" applyFont="1" applyFill="1" applyBorder="1"/>
    <xf numFmtId="0" fontId="171" fillId="67" borderId="303" xfId="1" applyFont="1" applyFill="1" applyBorder="1"/>
    <xf numFmtId="0" fontId="38" fillId="67" borderId="0" xfId="41" applyFont="1" applyFill="1" applyAlignment="1">
      <alignment vertical="center"/>
    </xf>
    <xf numFmtId="0" fontId="618" fillId="67" borderId="304" xfId="15" applyFont="1" applyFill="1" applyBorder="1" applyAlignment="1">
      <alignment horizontal="center" vertical="center"/>
    </xf>
    <xf numFmtId="0" fontId="12" fillId="67" borderId="303" xfId="1" applyFont="1" applyFill="1" applyBorder="1" applyAlignment="1">
      <alignment vertical="center"/>
    </xf>
    <xf numFmtId="0" fontId="618" fillId="67" borderId="0" xfId="1" applyFont="1" applyFill="1"/>
    <xf numFmtId="0" fontId="619" fillId="67" borderId="0" xfId="15" applyFont="1" applyFill="1" applyAlignment="1">
      <alignment horizontal="left" vertical="center"/>
    </xf>
    <xf numFmtId="0" fontId="160" fillId="67" borderId="0" xfId="1" applyFont="1" applyFill="1"/>
    <xf numFmtId="0" fontId="171" fillId="67" borderId="305" xfId="1" applyFont="1" applyFill="1" applyBorder="1"/>
    <xf numFmtId="0" fontId="171" fillId="67" borderId="306" xfId="1" applyFont="1" applyFill="1" applyBorder="1"/>
    <xf numFmtId="0" fontId="618" fillId="67" borderId="306" xfId="1" applyFont="1" applyFill="1" applyBorder="1"/>
    <xf numFmtId="0" fontId="160" fillId="67" borderId="307" xfId="1" applyFont="1" applyFill="1" applyBorder="1"/>
    <xf numFmtId="0" fontId="618" fillId="67" borderId="300" xfId="1" applyFont="1" applyFill="1" applyBorder="1"/>
    <xf numFmtId="0" fontId="618" fillId="67" borderId="301" xfId="1" applyFont="1" applyFill="1" applyBorder="1"/>
    <xf numFmtId="0" fontId="160" fillId="67" borderId="302" xfId="1" applyFont="1" applyFill="1" applyBorder="1"/>
    <xf numFmtId="0" fontId="618" fillId="67" borderId="303" xfId="1" applyFont="1" applyFill="1" applyBorder="1"/>
    <xf numFmtId="0" fontId="618" fillId="67" borderId="0" xfId="41" applyFont="1" applyFill="1"/>
    <xf numFmtId="0" fontId="160" fillId="67" borderId="304" xfId="1" applyFont="1" applyFill="1" applyBorder="1"/>
    <xf numFmtId="0" fontId="618" fillId="67" borderId="303" xfId="1" applyFont="1" applyFill="1" applyBorder="1" applyAlignment="1">
      <alignment vertical="center"/>
    </xf>
    <xf numFmtId="0" fontId="618" fillId="67" borderId="0" xfId="15" applyFont="1" applyFill="1" applyAlignment="1">
      <alignment horizontal="right" vertical="center"/>
    </xf>
    <xf numFmtId="14" fontId="38" fillId="67" borderId="0" xfId="41" applyNumberFormat="1" applyFont="1" applyFill="1" applyAlignment="1">
      <alignment horizontal="center" vertical="center"/>
    </xf>
    <xf numFmtId="0" fontId="617" fillId="67" borderId="0" xfId="41" applyFont="1" applyFill="1" applyAlignment="1">
      <alignment vertical="center"/>
    </xf>
    <xf numFmtId="0" fontId="618" fillId="67" borderId="305" xfId="1" applyFont="1" applyFill="1" applyBorder="1" applyAlignment="1">
      <alignment vertical="center"/>
    </xf>
    <xf numFmtId="0" fontId="618" fillId="67" borderId="306" xfId="15" applyFont="1" applyFill="1" applyBorder="1" applyAlignment="1">
      <alignment horizontal="right" vertical="center"/>
    </xf>
    <xf numFmtId="0" fontId="618" fillId="67" borderId="0" xfId="1" applyFont="1" applyFill="1" applyAlignment="1">
      <alignment vertical="center"/>
    </xf>
    <xf numFmtId="0" fontId="618" fillId="67" borderId="301" xfId="1" applyFont="1" applyFill="1" applyBorder="1" applyAlignment="1">
      <alignment vertical="center"/>
    </xf>
    <xf numFmtId="0" fontId="618" fillId="67" borderId="301" xfId="15" applyFont="1" applyFill="1" applyBorder="1" applyAlignment="1">
      <alignment horizontal="right" vertical="center"/>
    </xf>
    <xf numFmtId="0" fontId="621" fillId="67" borderId="0" xfId="1" applyFont="1" applyFill="1" applyAlignment="1">
      <alignment horizontal="left" vertical="center"/>
    </xf>
    <xf numFmtId="0" fontId="38" fillId="67" borderId="0" xfId="41" applyFont="1" applyFill="1" applyAlignment="1">
      <alignment horizontal="left" vertical="center"/>
    </xf>
    <xf numFmtId="0" fontId="622" fillId="119" borderId="0" xfId="41" applyFont="1" applyFill="1" applyAlignment="1">
      <alignment horizontal="center" vertical="center"/>
    </xf>
    <xf numFmtId="0" fontId="617" fillId="67" borderId="0" xfId="15" applyFont="1" applyFill="1" applyAlignment="1">
      <alignment horizontal="right" vertical="center"/>
    </xf>
    <xf numFmtId="0" fontId="618" fillId="67" borderId="305" xfId="1" applyFont="1" applyFill="1" applyBorder="1"/>
    <xf numFmtId="0" fontId="618" fillId="67" borderId="306" xfId="1" applyFont="1" applyFill="1" applyBorder="1" applyAlignment="1">
      <alignment vertical="center"/>
    </xf>
    <xf numFmtId="0" fontId="618" fillId="67" borderId="308" xfId="1" applyFont="1" applyFill="1" applyBorder="1" applyAlignment="1">
      <alignment vertical="center"/>
    </xf>
    <xf numFmtId="0" fontId="618" fillId="67" borderId="309" xfId="1" applyFont="1" applyFill="1" applyBorder="1" applyAlignment="1">
      <alignment vertical="center"/>
    </xf>
    <xf numFmtId="0" fontId="621" fillId="67" borderId="309" xfId="1" applyFont="1" applyFill="1" applyBorder="1" applyAlignment="1">
      <alignment horizontal="left" vertical="center"/>
    </xf>
    <xf numFmtId="0" fontId="160" fillId="67" borderId="310" xfId="1" applyFont="1" applyFill="1" applyBorder="1"/>
    <xf numFmtId="0" fontId="618" fillId="67" borderId="311" xfId="1" applyFont="1" applyFill="1" applyBorder="1" applyAlignment="1">
      <alignment vertical="center"/>
    </xf>
    <xf numFmtId="0" fontId="160" fillId="67" borderId="312" xfId="1" applyFont="1" applyFill="1" applyBorder="1"/>
    <xf numFmtId="0" fontId="618" fillId="67" borderId="311" xfId="1" applyFont="1" applyFill="1" applyBorder="1"/>
    <xf numFmtId="0" fontId="618" fillId="67" borderId="312" xfId="15" applyFont="1" applyFill="1" applyBorder="1" applyAlignment="1">
      <alignment horizontal="center" vertical="center"/>
    </xf>
    <xf numFmtId="0" fontId="160" fillId="67" borderId="311" xfId="1" applyFont="1" applyFill="1" applyBorder="1"/>
    <xf numFmtId="0" fontId="38" fillId="67" borderId="0" xfId="1" applyFont="1" applyFill="1" applyAlignment="1">
      <alignment horizontal="left" vertical="center"/>
    </xf>
    <xf numFmtId="0" fontId="621" fillId="67" borderId="0" xfId="1" applyFont="1" applyFill="1" applyAlignment="1">
      <alignment horizontal="center" vertical="center"/>
    </xf>
    <xf numFmtId="200" fontId="620" fillId="129" borderId="0" xfId="41" applyNumberFormat="1" applyFont="1" applyFill="1" applyAlignment="1">
      <alignment horizontal="center" vertical="center"/>
    </xf>
    <xf numFmtId="0" fontId="618" fillId="67" borderId="0" xfId="1" applyFont="1" applyFill="1" applyAlignment="1">
      <alignment horizontal="left" vertical="center"/>
    </xf>
    <xf numFmtId="0" fontId="621" fillId="67" borderId="0" xfId="1" applyFont="1" applyFill="1" applyAlignment="1">
      <alignment horizontal="right" vertical="center"/>
    </xf>
    <xf numFmtId="0" fontId="617" fillId="67" borderId="0" xfId="1" applyFont="1" applyFill="1"/>
    <xf numFmtId="0" fontId="618" fillId="67" borderId="311" xfId="15" applyFont="1" applyFill="1" applyBorder="1" applyAlignment="1">
      <alignment horizontal="right" vertical="center"/>
    </xf>
    <xf numFmtId="0" fontId="618" fillId="67" borderId="313" xfId="15" applyFont="1" applyFill="1" applyBorder="1" applyAlignment="1">
      <alignment horizontal="right" vertical="center"/>
    </xf>
    <xf numFmtId="0" fontId="618" fillId="67" borderId="314" xfId="15" applyFont="1" applyFill="1" applyBorder="1" applyAlignment="1">
      <alignment horizontal="right" vertical="center"/>
    </xf>
    <xf numFmtId="0" fontId="618" fillId="67" borderId="314" xfId="1" applyFont="1" applyFill="1" applyBorder="1"/>
    <xf numFmtId="0" fontId="160" fillId="67" borderId="315" xfId="1" applyFont="1" applyFill="1" applyBorder="1"/>
    <xf numFmtId="0" fontId="38" fillId="67" borderId="301" xfId="1" applyFont="1" applyFill="1" applyBorder="1" applyAlignment="1">
      <alignment horizontal="left" vertical="center"/>
    </xf>
    <xf numFmtId="0" fontId="618" fillId="67" borderId="302" xfId="1" applyFont="1" applyFill="1" applyBorder="1"/>
    <xf numFmtId="0" fontId="385" fillId="15" borderId="0" xfId="41" applyFont="1" applyFill="1" applyAlignment="1">
      <alignment vertical="center"/>
    </xf>
    <xf numFmtId="0" fontId="160" fillId="15" borderId="0" xfId="1" applyFont="1" applyFill="1" applyAlignment="1">
      <alignment horizontal="center" vertical="center"/>
    </xf>
    <xf numFmtId="0" fontId="621" fillId="67" borderId="0" xfId="41" applyFont="1" applyFill="1" applyAlignment="1">
      <alignment vertical="center"/>
    </xf>
    <xf numFmtId="0" fontId="623" fillId="17" borderId="0" xfId="41" applyFont="1" applyFill="1" applyAlignment="1">
      <alignment horizontal="center" vertical="center"/>
    </xf>
    <xf numFmtId="0" fontId="171" fillId="67" borderId="306" xfId="1" applyFont="1" applyFill="1" applyBorder="1" applyAlignment="1">
      <alignment vertical="center"/>
    </xf>
    <xf numFmtId="0" fontId="624" fillId="67" borderId="301" xfId="1" applyFont="1" applyFill="1" applyBorder="1"/>
    <xf numFmtId="0" fontId="478" fillId="67" borderId="0" xfId="1" applyFont="1" applyFill="1"/>
    <xf numFmtId="0" fontId="618" fillId="67" borderId="0" xfId="41" applyFont="1" applyFill="1" applyAlignment="1">
      <alignment vertical="center"/>
    </xf>
    <xf numFmtId="0" fontId="618" fillId="15" borderId="316" xfId="41" applyFont="1" applyFill="1" applyBorder="1" applyAlignment="1">
      <alignment vertical="center"/>
    </xf>
    <xf numFmtId="0" fontId="36" fillId="17" borderId="317" xfId="41" applyFont="1" applyFill="1" applyBorder="1" applyAlignment="1">
      <alignment vertical="center"/>
    </xf>
    <xf numFmtId="0" fontId="618" fillId="67" borderId="317" xfId="41" applyFont="1" applyFill="1" applyBorder="1"/>
    <xf numFmtId="0" fontId="618" fillId="67" borderId="318" xfId="41" applyFont="1" applyFill="1" applyBorder="1" applyAlignment="1">
      <alignment vertical="center"/>
    </xf>
    <xf numFmtId="0" fontId="478" fillId="67" borderId="319" xfId="1" applyFont="1" applyFill="1" applyBorder="1"/>
    <xf numFmtId="0" fontId="478" fillId="67" borderId="309" xfId="1" applyFont="1" applyFill="1" applyBorder="1"/>
    <xf numFmtId="0" fontId="625" fillId="15" borderId="309" xfId="15" applyFont="1" applyFill="1" applyBorder="1" applyAlignment="1">
      <alignment horizontal="right" vertical="center"/>
    </xf>
    <xf numFmtId="0" fontId="385" fillId="15" borderId="309" xfId="15" applyFont="1" applyFill="1" applyBorder="1" applyAlignment="1">
      <alignment horizontal="right" vertical="center"/>
    </xf>
    <xf numFmtId="0" fontId="111" fillId="15" borderId="301" xfId="1" applyFont="1" applyFill="1" applyBorder="1"/>
    <xf numFmtId="0" fontId="492" fillId="67" borderId="310" xfId="1" applyFont="1" applyFill="1" applyBorder="1"/>
    <xf numFmtId="0" fontId="38" fillId="67" borderId="320" xfId="41" applyFont="1" applyFill="1" applyBorder="1" applyAlignment="1">
      <alignment vertical="center"/>
    </xf>
    <xf numFmtId="0" fontId="478" fillId="67" borderId="320" xfId="1" applyFont="1" applyFill="1" applyBorder="1"/>
    <xf numFmtId="0" fontId="38" fillId="67" borderId="0" xfId="1" applyFont="1" applyFill="1" applyAlignment="1">
      <alignment horizontal="right" vertical="center"/>
    </xf>
    <xf numFmtId="0" fontId="618" fillId="15" borderId="0" xfId="41" applyFont="1" applyFill="1" applyAlignment="1">
      <alignment vertical="center"/>
    </xf>
    <xf numFmtId="0" fontId="36" fillId="17" borderId="0" xfId="41" applyFont="1" applyFill="1" applyAlignment="1">
      <alignment vertical="center"/>
    </xf>
    <xf numFmtId="0" fontId="478" fillId="67" borderId="0" xfId="1" applyFont="1" applyFill="1" applyAlignment="1">
      <alignment vertical="center"/>
    </xf>
    <xf numFmtId="0" fontId="478" fillId="67" borderId="0" xfId="15" applyFont="1" applyFill="1" applyAlignment="1">
      <alignment horizontal="right" vertical="center"/>
    </xf>
    <xf numFmtId="0" fontId="478" fillId="67" borderId="321" xfId="1" applyFont="1" applyFill="1" applyBorder="1"/>
    <xf numFmtId="0" fontId="478" fillId="67" borderId="314" xfId="1" applyFont="1" applyFill="1" applyBorder="1"/>
    <xf numFmtId="0" fontId="478" fillId="67" borderId="314" xfId="1" applyFont="1" applyFill="1" applyBorder="1" applyAlignment="1">
      <alignment vertical="center"/>
    </xf>
    <xf numFmtId="0" fontId="478" fillId="67" borderId="314" xfId="15" applyFont="1" applyFill="1" applyBorder="1" applyAlignment="1">
      <alignment horizontal="right" vertical="center"/>
    </xf>
    <xf numFmtId="0" fontId="492" fillId="67" borderId="315" xfId="1" applyFont="1" applyFill="1" applyBorder="1"/>
    <xf numFmtId="0" fontId="38" fillId="67" borderId="301" xfId="41" applyFont="1" applyFill="1" applyBorder="1" applyAlignment="1">
      <alignment vertical="center"/>
    </xf>
    <xf numFmtId="0" fontId="171" fillId="67" borderId="0" xfId="15" applyFont="1" applyFill="1" applyAlignment="1">
      <alignment horizontal="left" vertical="center"/>
    </xf>
    <xf numFmtId="0" fontId="171" fillId="67" borderId="306" xfId="15" applyFont="1" applyFill="1" applyBorder="1" applyAlignment="1">
      <alignment horizontal="right" vertical="center"/>
    </xf>
    <xf numFmtId="0" fontId="185" fillId="67" borderId="306" xfId="15" applyFont="1" applyFill="1" applyBorder="1" applyAlignment="1">
      <alignment horizontal="right" vertical="center"/>
    </xf>
    <xf numFmtId="0" fontId="186" fillId="67" borderId="307" xfId="1" applyFont="1" applyFill="1" applyBorder="1"/>
    <xf numFmtId="0" fontId="617" fillId="67" borderId="0" xfId="15" applyFont="1" applyFill="1" applyAlignment="1">
      <alignment horizontal="left" vertical="center"/>
    </xf>
    <xf numFmtId="0" fontId="59" fillId="67" borderId="301" xfId="1" applyFont="1" applyFill="1" applyBorder="1"/>
    <xf numFmtId="0" fontId="160" fillId="15" borderId="0" xfId="15" applyFont="1" applyFill="1" applyAlignment="1">
      <alignment horizontal="right" vertical="center"/>
    </xf>
    <xf numFmtId="0" fontId="414" fillId="129" borderId="0" xfId="41" applyFont="1" applyFill="1" applyAlignment="1">
      <alignment vertical="center"/>
    </xf>
    <xf numFmtId="0" fontId="618" fillId="15" borderId="303" xfId="1" applyFont="1" applyFill="1" applyBorder="1"/>
    <xf numFmtId="0" fontId="478" fillId="15" borderId="0" xfId="1" applyFont="1" applyFill="1"/>
    <xf numFmtId="0" fontId="38" fillId="15" borderId="0" xfId="1" applyFont="1" applyFill="1" applyAlignment="1">
      <alignment horizontal="right" vertical="center"/>
    </xf>
    <xf numFmtId="0" fontId="171" fillId="67" borderId="300" xfId="15" applyFont="1" applyFill="1" applyBorder="1" applyAlignment="1">
      <alignment horizontal="right" vertical="center"/>
    </xf>
    <xf numFmtId="0" fontId="171" fillId="67" borderId="303" xfId="15" applyFont="1" applyFill="1" applyBorder="1" applyAlignment="1">
      <alignment horizontal="right" vertical="center"/>
    </xf>
    <xf numFmtId="0" fontId="171" fillId="4" borderId="0" xfId="15" applyFont="1" applyFill="1" applyAlignment="1">
      <alignment horizontal="left" vertical="center"/>
    </xf>
    <xf numFmtId="0" fontId="414" fillId="17" borderId="0" xfId="41" applyFont="1" applyFill="1" applyAlignment="1">
      <alignment vertical="center"/>
    </xf>
    <xf numFmtId="0" fontId="171" fillId="67" borderId="305" xfId="15" applyFont="1" applyFill="1" applyBorder="1" applyAlignment="1">
      <alignment horizontal="right" vertical="center"/>
    </xf>
    <xf numFmtId="0" fontId="618" fillId="4" borderId="303" xfId="1" applyFont="1" applyFill="1" applyBorder="1"/>
    <xf numFmtId="0" fontId="38" fillId="4" borderId="0" xfId="1" applyFont="1" applyFill="1" applyAlignment="1">
      <alignment horizontal="right" vertical="center"/>
    </xf>
    <xf numFmtId="0" fontId="618" fillId="4" borderId="0" xfId="41" applyFont="1" applyFill="1" applyAlignment="1">
      <alignment vertical="center"/>
    </xf>
    <xf numFmtId="0" fontId="618" fillId="67" borderId="0" xfId="15" applyFont="1" applyFill="1" applyAlignment="1">
      <alignment horizontal="left" vertical="center"/>
    </xf>
    <xf numFmtId="0" fontId="160" fillId="67" borderId="300" xfId="1" applyFont="1" applyFill="1" applyBorder="1"/>
    <xf numFmtId="0" fontId="160" fillId="67" borderId="301" xfId="1" applyFont="1" applyFill="1" applyBorder="1"/>
    <xf numFmtId="0" fontId="38" fillId="67" borderId="303" xfId="41" applyFont="1" applyFill="1" applyBorder="1" applyAlignment="1">
      <alignment vertical="center"/>
    </xf>
    <xf numFmtId="0" fontId="478" fillId="67" borderId="303" xfId="1" applyFont="1" applyFill="1" applyBorder="1"/>
    <xf numFmtId="0" fontId="626" fillId="67" borderId="0" xfId="15" applyFont="1" applyFill="1" applyAlignment="1">
      <alignment horizontal="left" vertical="center"/>
    </xf>
    <xf numFmtId="0" fontId="627" fillId="67" borderId="0" xfId="1" applyFont="1" applyFill="1" applyAlignment="1">
      <alignment horizontal="center" vertical="center"/>
    </xf>
    <xf numFmtId="0" fontId="171" fillId="15" borderId="0" xfId="15" applyFont="1" applyFill="1" applyAlignment="1">
      <alignment horizontal="left" vertical="center"/>
    </xf>
    <xf numFmtId="0" fontId="629" fillId="17" borderId="0" xfId="43" applyFont="1" applyFill="1" applyBorder="1" applyAlignment="1">
      <alignment horizontal="left" vertical="center"/>
    </xf>
    <xf numFmtId="0" fontId="39" fillId="68" borderId="13" xfId="1" applyFont="1" applyFill="1" applyBorder="1" applyAlignment="1" applyProtection="1">
      <alignment horizontal="right" vertical="center"/>
      <protection hidden="1"/>
    </xf>
    <xf numFmtId="0" fontId="186" fillId="4" borderId="0" xfId="15" applyFont="1" applyFill="1" applyAlignment="1">
      <alignment horizontal="right" vertical="center"/>
    </xf>
    <xf numFmtId="0" fontId="630" fillId="67" borderId="0" xfId="1" applyFont="1" applyFill="1" applyAlignment="1">
      <alignment vertical="center"/>
    </xf>
    <xf numFmtId="0" fontId="186" fillId="67" borderId="0" xfId="15" applyFont="1" applyFill="1" applyAlignment="1">
      <alignment horizontal="right" vertical="center"/>
    </xf>
    <xf numFmtId="0" fontId="159" fillId="67" borderId="0" xfId="15" applyFont="1" applyFill="1" applyAlignment="1">
      <alignment horizontal="right" vertical="center"/>
    </xf>
    <xf numFmtId="0" fontId="627" fillId="67" borderId="0" xfId="41" applyFont="1" applyFill="1" applyAlignment="1">
      <alignment vertical="center"/>
    </xf>
    <xf numFmtId="0" fontId="619" fillId="67" borderId="0" xfId="41" applyFont="1" applyFill="1" applyAlignment="1">
      <alignment vertical="center"/>
    </xf>
    <xf numFmtId="0" fontId="201" fillId="67" borderId="0" xfId="1" applyFont="1" applyFill="1" applyAlignment="1">
      <alignment horizontal="center" vertical="top"/>
    </xf>
    <xf numFmtId="0" fontId="520" fillId="67" borderId="0" xfId="41" applyFont="1" applyFill="1" applyAlignment="1">
      <alignment vertical="center"/>
    </xf>
    <xf numFmtId="0" fontId="6" fillId="15" borderId="0" xfId="1" applyFill="1" applyAlignment="1">
      <alignment vertical="center"/>
    </xf>
    <xf numFmtId="0" fontId="1" fillId="15" borderId="0" xfId="41" applyFill="1"/>
    <xf numFmtId="0" fontId="6" fillId="15" borderId="0" xfId="1" applyFill="1" applyProtection="1">
      <protection hidden="1"/>
    </xf>
    <xf numFmtId="0" fontId="631" fillId="17" borderId="0" xfId="1" applyFont="1" applyFill="1" applyAlignment="1">
      <alignment horizontal="left" vertical="center"/>
    </xf>
    <xf numFmtId="0" fontId="632" fillId="67" borderId="0" xfId="1" applyFont="1" applyFill="1" applyAlignment="1">
      <alignment vertical="center"/>
    </xf>
    <xf numFmtId="0" fontId="633" fillId="67" borderId="0" xfId="15" applyFont="1" applyFill="1" applyAlignment="1">
      <alignment horizontal="left" vertical="center"/>
    </xf>
    <xf numFmtId="0" fontId="634" fillId="67" borderId="0" xfId="1" applyFont="1" applyFill="1" applyAlignment="1">
      <alignment horizontal="center"/>
    </xf>
    <xf numFmtId="0" fontId="382" fillId="17" borderId="0" xfId="41" applyFont="1" applyFill="1" applyAlignment="1">
      <alignment horizontal="right" vertical="center"/>
    </xf>
    <xf numFmtId="0" fontId="48" fillId="17" borderId="0" xfId="41" applyFont="1" applyFill="1"/>
    <xf numFmtId="0" fontId="631" fillId="17" borderId="0" xfId="1" applyFont="1" applyFill="1" applyAlignment="1">
      <alignment horizontal="center" vertical="center"/>
    </xf>
    <xf numFmtId="0" fontId="159" fillId="4" borderId="0" xfId="15" applyFont="1" applyFill="1" applyAlignment="1">
      <alignment horizontal="right" vertical="center"/>
    </xf>
    <xf numFmtId="0" fontId="201" fillId="67" borderId="0" xfId="1" applyFont="1" applyFill="1" applyAlignment="1">
      <alignment horizontal="center"/>
    </xf>
    <xf numFmtId="0" fontId="382" fillId="3" borderId="0" xfId="1" applyFont="1" applyFill="1" applyAlignment="1">
      <alignment horizontal="center" vertical="center"/>
    </xf>
    <xf numFmtId="0" fontId="182" fillId="68" borderId="0" xfId="1" applyFont="1" applyFill="1" applyAlignment="1">
      <alignment horizontal="center" vertical="center"/>
    </xf>
    <xf numFmtId="203" fontId="253" fillId="123" borderId="0" xfId="15" applyNumberFormat="1" applyFont="1" applyFill="1" applyAlignment="1">
      <alignment horizontal="center" vertical="center"/>
    </xf>
    <xf numFmtId="0" fontId="296" fillId="67" borderId="0" xfId="21" applyFont="1" applyFill="1" applyAlignment="1">
      <alignment vertical="center"/>
    </xf>
    <xf numFmtId="0" fontId="635" fillId="67" borderId="0" xfId="1" applyFont="1" applyFill="1" applyAlignment="1">
      <alignment vertical="center"/>
    </xf>
    <xf numFmtId="0" fontId="185" fillId="67" borderId="0" xfId="41" applyFont="1" applyFill="1" applyAlignment="1">
      <alignment horizontal="right"/>
    </xf>
    <xf numFmtId="0" fontId="636" fillId="67" borderId="0" xfId="1" applyFont="1" applyFill="1" applyAlignment="1">
      <alignment vertical="center"/>
    </xf>
    <xf numFmtId="0" fontId="637" fillId="67" borderId="0" xfId="1" applyFont="1" applyFill="1" applyProtection="1">
      <protection hidden="1"/>
    </xf>
    <xf numFmtId="0" fontId="637" fillId="67" borderId="0" xfId="1" applyFont="1" applyFill="1" applyAlignment="1">
      <alignment vertical="center"/>
    </xf>
    <xf numFmtId="0" fontId="84" fillId="15" borderId="0" xfId="40" applyFont="1" applyFill="1" applyAlignment="1">
      <alignment vertical="center"/>
    </xf>
    <xf numFmtId="0" fontId="40" fillId="130" borderId="0" xfId="3" applyFont="1" applyFill="1" applyAlignment="1">
      <alignment horizontal="right" vertical="center"/>
    </xf>
    <xf numFmtId="0" fontId="638" fillId="15" borderId="0" xfId="40" applyFont="1" applyFill="1" applyAlignment="1">
      <alignment vertical="center"/>
    </xf>
    <xf numFmtId="0" fontId="639" fillId="67" borderId="0" xfId="1" applyFont="1" applyFill="1" applyAlignment="1">
      <alignment vertical="center"/>
    </xf>
    <xf numFmtId="0" fontId="83" fillId="15" borderId="0" xfId="40" applyFill="1" applyAlignment="1">
      <alignment vertical="center"/>
    </xf>
    <xf numFmtId="0" fontId="640" fillId="15" borderId="0" xfId="40" applyFont="1" applyFill="1" applyAlignment="1">
      <alignment vertical="center"/>
    </xf>
    <xf numFmtId="0" fontId="34" fillId="130" borderId="0" xfId="3" applyFont="1" applyFill="1" applyAlignment="1">
      <alignment vertical="center"/>
    </xf>
    <xf numFmtId="0" fontId="6" fillId="15" borderId="0" xfId="3" applyFill="1"/>
    <xf numFmtId="0" fontId="6" fillId="130" borderId="0" xfId="3" applyFill="1"/>
    <xf numFmtId="0" fontId="83" fillId="15" borderId="0" xfId="40" applyFill="1"/>
    <xf numFmtId="0" fontId="185" fillId="15" borderId="0" xfId="1" applyFont="1" applyFill="1"/>
    <xf numFmtId="0" fontId="171" fillId="15" borderId="0" xfId="1" applyFont="1" applyFill="1"/>
    <xf numFmtId="0" fontId="641" fillId="15" borderId="0" xfId="3" applyFont="1" applyFill="1" applyAlignment="1">
      <alignment horizontal="left" vertical="center"/>
    </xf>
    <xf numFmtId="0" fontId="643" fillId="15" borderId="183" xfId="3" applyFont="1" applyFill="1" applyBorder="1" applyAlignment="1">
      <alignment horizontal="center" vertical="center"/>
    </xf>
    <xf numFmtId="0" fontId="644" fillId="15" borderId="0" xfId="3" applyFont="1" applyFill="1" applyAlignment="1">
      <alignment horizontal="left" vertical="center"/>
    </xf>
    <xf numFmtId="0" fontId="33" fillId="15" borderId="0" xfId="3" applyFont="1" applyFill="1" applyAlignment="1">
      <alignment horizontal="right" vertical="center"/>
    </xf>
    <xf numFmtId="0" fontId="1" fillId="0" borderId="0" xfId="39"/>
    <xf numFmtId="0" fontId="646" fillId="0" borderId="0" xfId="44" applyFont="1"/>
    <xf numFmtId="0" fontId="647" fillId="6" borderId="330" xfId="44" applyFont="1" applyFill="1" applyBorder="1" applyAlignment="1">
      <alignment wrapText="1"/>
    </xf>
    <xf numFmtId="0" fontId="647" fillId="6" borderId="330" xfId="44" applyFont="1" applyFill="1" applyBorder="1" applyAlignment="1">
      <alignment horizontal="right" wrapText="1"/>
    </xf>
    <xf numFmtId="0" fontId="647" fillId="132" borderId="330" xfId="44" applyFont="1" applyFill="1" applyBorder="1" applyAlignment="1">
      <alignment wrapText="1"/>
    </xf>
    <xf numFmtId="0" fontId="648" fillId="6" borderId="330" xfId="44" applyFont="1" applyFill="1" applyBorder="1" applyAlignment="1">
      <alignment wrapText="1"/>
    </xf>
    <xf numFmtId="0" fontId="647" fillId="133" borderId="330" xfId="44" applyFont="1" applyFill="1" applyBorder="1" applyAlignment="1">
      <alignment wrapText="1"/>
    </xf>
    <xf numFmtId="0" fontId="649" fillId="6" borderId="330" xfId="44" applyFont="1" applyFill="1" applyBorder="1" applyAlignment="1">
      <alignment wrapText="1"/>
    </xf>
    <xf numFmtId="0" fontId="647" fillId="134" borderId="330" xfId="44" applyFont="1" applyFill="1" applyBorder="1" applyAlignment="1">
      <alignment wrapText="1"/>
    </xf>
    <xf numFmtId="0" fontId="650" fillId="6" borderId="330" xfId="44" applyFont="1" applyFill="1" applyBorder="1" applyAlignment="1">
      <alignment wrapText="1"/>
    </xf>
    <xf numFmtId="0" fontId="647" fillId="135" borderId="330" xfId="44" applyFont="1" applyFill="1" applyBorder="1" applyAlignment="1">
      <alignment wrapText="1"/>
    </xf>
    <xf numFmtId="0" fontId="651" fillId="6" borderId="330" xfId="44" applyFont="1" applyFill="1" applyBorder="1" applyAlignment="1">
      <alignment wrapText="1"/>
    </xf>
    <xf numFmtId="0" fontId="647" fillId="136" borderId="330" xfId="44" applyFont="1" applyFill="1" applyBorder="1" applyAlignment="1">
      <alignment wrapText="1"/>
    </xf>
    <xf numFmtId="0" fontId="652" fillId="6" borderId="330" xfId="44" applyFont="1" applyFill="1" applyBorder="1" applyAlignment="1">
      <alignment wrapText="1"/>
    </xf>
    <xf numFmtId="0" fontId="1" fillId="0" borderId="0" xfId="39" applyAlignment="1">
      <alignment horizontal="center"/>
    </xf>
    <xf numFmtId="0" fontId="647" fillId="137" borderId="330" xfId="44" applyFont="1" applyFill="1" applyBorder="1" applyAlignment="1">
      <alignment wrapText="1"/>
    </xf>
    <xf numFmtId="0" fontId="653" fillId="6" borderId="330" xfId="44" applyFont="1" applyFill="1" applyBorder="1" applyAlignment="1">
      <alignment wrapText="1"/>
    </xf>
    <xf numFmtId="0" fontId="647" fillId="138" borderId="330" xfId="44" applyFont="1" applyFill="1" applyBorder="1" applyAlignment="1">
      <alignment wrapText="1"/>
    </xf>
    <xf numFmtId="0" fontId="654" fillId="6" borderId="330" xfId="44" applyFont="1" applyFill="1" applyBorder="1" applyAlignment="1">
      <alignment wrapText="1"/>
    </xf>
    <xf numFmtId="0" fontId="647" fillId="139" borderId="330" xfId="44" applyFont="1" applyFill="1" applyBorder="1" applyAlignment="1">
      <alignment wrapText="1"/>
    </xf>
    <xf numFmtId="0" fontId="655" fillId="6" borderId="330" xfId="44" applyFont="1" applyFill="1" applyBorder="1" applyAlignment="1">
      <alignment wrapText="1"/>
    </xf>
    <xf numFmtId="0" fontId="647" fillId="140" borderId="330" xfId="44" applyFont="1" applyFill="1" applyBorder="1" applyAlignment="1">
      <alignment wrapText="1"/>
    </xf>
    <xf numFmtId="0" fontId="656" fillId="6" borderId="330" xfId="44" applyFont="1" applyFill="1" applyBorder="1" applyAlignment="1">
      <alignment wrapText="1"/>
    </xf>
    <xf numFmtId="0" fontId="647" fillId="141" borderId="330" xfId="44" applyFont="1" applyFill="1" applyBorder="1" applyAlignment="1">
      <alignment wrapText="1"/>
    </xf>
    <xf numFmtId="0" fontId="657" fillId="6" borderId="330" xfId="44" applyFont="1" applyFill="1" applyBorder="1" applyAlignment="1">
      <alignment wrapText="1"/>
    </xf>
    <xf numFmtId="0" fontId="647" fillId="5" borderId="330" xfId="44" applyFont="1" applyFill="1" applyBorder="1" applyAlignment="1">
      <alignment wrapText="1"/>
    </xf>
    <xf numFmtId="0" fontId="658" fillId="6" borderId="330" xfId="44" applyFont="1" applyFill="1" applyBorder="1" applyAlignment="1">
      <alignment wrapText="1"/>
    </xf>
    <xf numFmtId="0" fontId="647" fillId="142" borderId="330" xfId="44" applyFont="1" applyFill="1" applyBorder="1" applyAlignment="1">
      <alignment wrapText="1"/>
    </xf>
    <xf numFmtId="0" fontId="659" fillId="6" borderId="330" xfId="44" applyFont="1" applyFill="1" applyBorder="1" applyAlignment="1">
      <alignment wrapText="1"/>
    </xf>
    <xf numFmtId="0" fontId="647" fillId="143" borderId="330" xfId="44" applyFont="1" applyFill="1" applyBorder="1" applyAlignment="1">
      <alignment wrapText="1"/>
    </xf>
    <xf numFmtId="0" fontId="660" fillId="6" borderId="330" xfId="44" applyFont="1" applyFill="1" applyBorder="1" applyAlignment="1">
      <alignment wrapText="1"/>
    </xf>
    <xf numFmtId="0" fontId="647" fillId="74" borderId="330" xfId="44" applyFont="1" applyFill="1" applyBorder="1" applyAlignment="1">
      <alignment wrapText="1"/>
    </xf>
    <xf numFmtId="0" fontId="661" fillId="6" borderId="330" xfId="44" applyFont="1" applyFill="1" applyBorder="1" applyAlignment="1">
      <alignment wrapText="1"/>
    </xf>
    <xf numFmtId="0" fontId="647" fillId="144" borderId="330" xfId="44" applyFont="1" applyFill="1" applyBorder="1" applyAlignment="1">
      <alignment wrapText="1"/>
    </xf>
    <xf numFmtId="0" fontId="662" fillId="6" borderId="330" xfId="44" applyFont="1" applyFill="1" applyBorder="1" applyAlignment="1">
      <alignment wrapText="1"/>
    </xf>
    <xf numFmtId="0" fontId="647" fillId="145" borderId="330" xfId="44" applyFont="1" applyFill="1" applyBorder="1" applyAlignment="1">
      <alignment wrapText="1"/>
    </xf>
    <xf numFmtId="0" fontId="663" fillId="6" borderId="330" xfId="44" applyFont="1" applyFill="1" applyBorder="1" applyAlignment="1">
      <alignment wrapText="1"/>
    </xf>
    <xf numFmtId="0" fontId="647" fillId="146" borderId="330" xfId="44" applyFont="1" applyFill="1" applyBorder="1" applyAlignment="1">
      <alignment wrapText="1"/>
    </xf>
    <xf numFmtId="0" fontId="664" fillId="6" borderId="330" xfId="44" applyFont="1" applyFill="1" applyBorder="1" applyAlignment="1">
      <alignment wrapText="1"/>
    </xf>
    <xf numFmtId="0" fontId="647" fillId="110" borderId="330" xfId="44" applyFont="1" applyFill="1" applyBorder="1" applyAlignment="1">
      <alignment wrapText="1"/>
    </xf>
    <xf numFmtId="0" fontId="665" fillId="6" borderId="330" xfId="44" applyFont="1" applyFill="1" applyBorder="1" applyAlignment="1">
      <alignment wrapText="1"/>
    </xf>
    <xf numFmtId="0" fontId="647" fillId="147" borderId="330" xfId="44" applyFont="1" applyFill="1" applyBorder="1" applyAlignment="1">
      <alignment wrapText="1"/>
    </xf>
    <xf numFmtId="0" fontId="666" fillId="6" borderId="330" xfId="44" applyFont="1" applyFill="1" applyBorder="1" applyAlignment="1">
      <alignment wrapText="1"/>
    </xf>
    <xf numFmtId="0" fontId="647" fillId="148" borderId="330" xfId="44" applyFont="1" applyFill="1" applyBorder="1" applyAlignment="1">
      <alignment wrapText="1"/>
    </xf>
    <xf numFmtId="0" fontId="667" fillId="6" borderId="330" xfId="44" applyFont="1" applyFill="1" applyBorder="1" applyAlignment="1">
      <alignment wrapText="1"/>
    </xf>
    <xf numFmtId="0" fontId="647" fillId="56" borderId="330" xfId="44" applyFont="1" applyFill="1" applyBorder="1" applyAlignment="1">
      <alignment wrapText="1"/>
    </xf>
    <xf numFmtId="0" fontId="668" fillId="6" borderId="330" xfId="44" applyFont="1" applyFill="1" applyBorder="1" applyAlignment="1">
      <alignment wrapText="1"/>
    </xf>
    <xf numFmtId="0" fontId="647" fillId="46" borderId="330" xfId="44" applyFont="1" applyFill="1" applyBorder="1" applyAlignment="1">
      <alignment wrapText="1"/>
    </xf>
    <xf numFmtId="0" fontId="669" fillId="6" borderId="330" xfId="44" applyFont="1" applyFill="1" applyBorder="1" applyAlignment="1">
      <alignment wrapText="1"/>
    </xf>
    <xf numFmtId="0" fontId="647" fillId="149" borderId="330" xfId="44" applyFont="1" applyFill="1" applyBorder="1" applyAlignment="1">
      <alignment wrapText="1"/>
    </xf>
    <xf numFmtId="0" fontId="670" fillId="6" borderId="330" xfId="44" applyFont="1" applyFill="1" applyBorder="1" applyAlignment="1">
      <alignment wrapText="1"/>
    </xf>
    <xf numFmtId="0" fontId="647" fillId="150" borderId="330" xfId="44" applyFont="1" applyFill="1" applyBorder="1" applyAlignment="1">
      <alignment wrapText="1"/>
    </xf>
    <xf numFmtId="0" fontId="671" fillId="6" borderId="330" xfId="44" applyFont="1" applyFill="1" applyBorder="1" applyAlignment="1">
      <alignment wrapText="1"/>
    </xf>
    <xf numFmtId="0" fontId="647" fillId="109" borderId="330" xfId="44" applyFont="1" applyFill="1" applyBorder="1" applyAlignment="1">
      <alignment wrapText="1"/>
    </xf>
    <xf numFmtId="0" fontId="481" fillId="6" borderId="330" xfId="44" applyFont="1" applyFill="1" applyBorder="1" applyAlignment="1">
      <alignment wrapText="1"/>
    </xf>
    <xf numFmtId="0" fontId="647" fillId="151" borderId="330" xfId="44" applyFont="1" applyFill="1" applyBorder="1" applyAlignment="1">
      <alignment wrapText="1"/>
    </xf>
    <xf numFmtId="0" fontId="672" fillId="6" borderId="330" xfId="44" applyFont="1" applyFill="1" applyBorder="1" applyAlignment="1">
      <alignment wrapText="1"/>
    </xf>
    <xf numFmtId="0" fontId="647" fillId="152" borderId="330" xfId="44" applyFont="1" applyFill="1" applyBorder="1" applyAlignment="1">
      <alignment wrapText="1"/>
    </xf>
    <xf numFmtId="0" fontId="673" fillId="6" borderId="330" xfId="44" applyFont="1" applyFill="1" applyBorder="1" applyAlignment="1">
      <alignment wrapText="1"/>
    </xf>
    <xf numFmtId="0" fontId="647" fillId="153" borderId="330" xfId="44" applyFont="1" applyFill="1" applyBorder="1" applyAlignment="1">
      <alignment wrapText="1"/>
    </xf>
    <xf numFmtId="0" fontId="674" fillId="6" borderId="330" xfId="44" applyFont="1" applyFill="1" applyBorder="1" applyAlignment="1">
      <alignment wrapText="1"/>
    </xf>
    <xf numFmtId="0" fontId="647" fillId="154" borderId="330" xfId="44" applyFont="1" applyFill="1" applyBorder="1" applyAlignment="1">
      <alignment wrapText="1"/>
    </xf>
    <xf numFmtId="0" fontId="675" fillId="6" borderId="330" xfId="44" applyFont="1" applyFill="1" applyBorder="1" applyAlignment="1">
      <alignment wrapText="1"/>
    </xf>
    <xf numFmtId="0" fontId="647" fillId="120" borderId="330" xfId="44" applyFont="1" applyFill="1" applyBorder="1" applyAlignment="1">
      <alignment wrapText="1"/>
    </xf>
    <xf numFmtId="0" fontId="676" fillId="6" borderId="330" xfId="44" applyFont="1" applyFill="1" applyBorder="1" applyAlignment="1">
      <alignment wrapText="1"/>
    </xf>
    <xf numFmtId="0" fontId="647" fillId="155" borderId="330" xfId="44" applyFont="1" applyFill="1" applyBorder="1" applyAlignment="1">
      <alignment wrapText="1"/>
    </xf>
    <xf numFmtId="0" fontId="677" fillId="6" borderId="330" xfId="44" applyFont="1" applyFill="1" applyBorder="1" applyAlignment="1">
      <alignment wrapText="1"/>
    </xf>
    <xf numFmtId="0" fontId="647" fillId="156" borderId="330" xfId="44" applyFont="1" applyFill="1" applyBorder="1" applyAlignment="1">
      <alignment wrapText="1"/>
    </xf>
    <xf numFmtId="0" fontId="678" fillId="6" borderId="330" xfId="44" applyFont="1" applyFill="1" applyBorder="1" applyAlignment="1">
      <alignment wrapText="1"/>
    </xf>
    <xf numFmtId="0" fontId="647" fillId="107" borderId="330" xfId="44" applyFont="1" applyFill="1" applyBorder="1" applyAlignment="1">
      <alignment wrapText="1"/>
    </xf>
    <xf numFmtId="0" fontId="679" fillId="6" borderId="330" xfId="44" applyFont="1" applyFill="1" applyBorder="1" applyAlignment="1">
      <alignment wrapText="1"/>
    </xf>
    <xf numFmtId="0" fontId="1" fillId="4" borderId="0" xfId="39" applyFill="1"/>
    <xf numFmtId="0" fontId="647" fillId="157" borderId="330" xfId="44" applyFont="1" applyFill="1" applyBorder="1" applyAlignment="1">
      <alignment wrapText="1"/>
    </xf>
    <xf numFmtId="0" fontId="680" fillId="6" borderId="330" xfId="44" applyFont="1" applyFill="1" applyBorder="1" applyAlignment="1">
      <alignment wrapText="1"/>
    </xf>
    <xf numFmtId="0" fontId="647" fillId="158" borderId="330" xfId="44" applyFont="1" applyFill="1" applyBorder="1" applyAlignment="1">
      <alignment wrapText="1"/>
    </xf>
    <xf numFmtId="0" fontId="681" fillId="6" borderId="330" xfId="44" applyFont="1" applyFill="1" applyBorder="1" applyAlignment="1">
      <alignment wrapText="1"/>
    </xf>
    <xf numFmtId="0" fontId="647" fillId="159" borderId="330" xfId="44" applyFont="1" applyFill="1" applyBorder="1" applyAlignment="1">
      <alignment wrapText="1"/>
    </xf>
    <xf numFmtId="0" fontId="682" fillId="6" borderId="330" xfId="44" applyFont="1" applyFill="1" applyBorder="1" applyAlignment="1">
      <alignment wrapText="1"/>
    </xf>
    <xf numFmtId="0" fontId="647" fillId="160" borderId="330" xfId="44" applyFont="1" applyFill="1" applyBorder="1" applyAlignment="1">
      <alignment wrapText="1"/>
    </xf>
    <xf numFmtId="0" fontId="683" fillId="6" borderId="330" xfId="44" applyFont="1" applyFill="1" applyBorder="1" applyAlignment="1">
      <alignment wrapText="1"/>
    </xf>
    <xf numFmtId="0" fontId="647" fillId="161" borderId="330" xfId="44" applyFont="1" applyFill="1" applyBorder="1" applyAlignment="1">
      <alignment wrapText="1"/>
    </xf>
    <xf numFmtId="0" fontId="684" fillId="6" borderId="330" xfId="44" applyFont="1" applyFill="1" applyBorder="1" applyAlignment="1">
      <alignment wrapText="1"/>
    </xf>
    <xf numFmtId="0" fontId="647" fillId="111" borderId="330" xfId="44" applyFont="1" applyFill="1" applyBorder="1" applyAlignment="1">
      <alignment wrapText="1"/>
    </xf>
    <xf numFmtId="0" fontId="470" fillId="6" borderId="330" xfId="44" applyFont="1" applyFill="1" applyBorder="1" applyAlignment="1">
      <alignment wrapText="1"/>
    </xf>
    <xf numFmtId="0" fontId="647" fillId="6" borderId="330" xfId="44" applyFont="1" applyFill="1" applyBorder="1" applyAlignment="1">
      <alignment vertical="center" wrapText="1"/>
    </xf>
    <xf numFmtId="0" fontId="647" fillId="6" borderId="330" xfId="44" applyFont="1" applyFill="1" applyBorder="1" applyAlignment="1">
      <alignment horizontal="right" vertical="center" wrapText="1"/>
    </xf>
    <xf numFmtId="0" fontId="647" fillId="162" borderId="330" xfId="44" applyFont="1" applyFill="1" applyBorder="1" applyAlignment="1">
      <alignment vertical="center" wrapText="1"/>
    </xf>
    <xf numFmtId="0" fontId="685" fillId="6" borderId="330" xfId="44" applyFont="1" applyFill="1" applyBorder="1" applyAlignment="1">
      <alignment vertical="center" wrapText="1"/>
    </xf>
    <xf numFmtId="0" fontId="647" fillId="156" borderId="330" xfId="44" applyFont="1" applyFill="1" applyBorder="1" applyAlignment="1">
      <alignment vertical="center" wrapText="1"/>
    </xf>
    <xf numFmtId="0" fontId="678" fillId="6" borderId="330" xfId="44" applyFont="1" applyFill="1" applyBorder="1" applyAlignment="1">
      <alignment vertical="center" wrapText="1"/>
    </xf>
    <xf numFmtId="0" fontId="647" fillId="163" borderId="330" xfId="44" applyFont="1" applyFill="1" applyBorder="1" applyAlignment="1">
      <alignment vertical="center" wrapText="1"/>
    </xf>
    <xf numFmtId="0" fontId="686" fillId="6" borderId="330" xfId="44" applyFont="1" applyFill="1" applyBorder="1" applyAlignment="1">
      <alignment vertical="center" wrapText="1"/>
    </xf>
    <xf numFmtId="0" fontId="647" fillId="152" borderId="330" xfId="44" applyFont="1" applyFill="1" applyBorder="1" applyAlignment="1">
      <alignment vertical="center" wrapText="1"/>
    </xf>
    <xf numFmtId="0" fontId="673" fillId="6" borderId="330" xfId="44" applyFont="1" applyFill="1" applyBorder="1" applyAlignment="1">
      <alignment vertical="center" wrapText="1"/>
    </xf>
    <xf numFmtId="0" fontId="688" fillId="6" borderId="330" xfId="44" applyFont="1" applyFill="1" applyBorder="1" applyAlignment="1">
      <alignment vertical="center" wrapText="1"/>
    </xf>
    <xf numFmtId="0" fontId="647" fillId="154" borderId="330" xfId="44" applyFont="1" applyFill="1" applyBorder="1" applyAlignment="1">
      <alignment vertical="center" wrapText="1"/>
    </xf>
    <xf numFmtId="0" fontId="675" fillId="6" borderId="330" xfId="44" applyFont="1" applyFill="1" applyBorder="1" applyAlignment="1">
      <alignment vertical="center" wrapText="1"/>
    </xf>
    <xf numFmtId="0" fontId="647" fillId="155" borderId="330" xfId="44" applyFont="1" applyFill="1" applyBorder="1" applyAlignment="1">
      <alignment vertical="center" wrapText="1"/>
    </xf>
    <xf numFmtId="0" fontId="677" fillId="6" borderId="330" xfId="44" applyFont="1" applyFill="1" applyBorder="1" applyAlignment="1">
      <alignment vertical="center" wrapText="1"/>
    </xf>
    <xf numFmtId="0" fontId="647" fillId="120" borderId="330" xfId="44" applyFont="1" applyFill="1" applyBorder="1" applyAlignment="1">
      <alignment vertical="center" wrapText="1"/>
    </xf>
    <xf numFmtId="0" fontId="676" fillId="6" borderId="330" xfId="44" applyFont="1" applyFill="1" applyBorder="1" applyAlignment="1">
      <alignment vertical="center" wrapText="1"/>
    </xf>
    <xf numFmtId="0" fontId="647" fillId="109" borderId="330" xfId="44" applyFont="1" applyFill="1" applyBorder="1" applyAlignment="1">
      <alignment vertical="center" wrapText="1"/>
    </xf>
    <xf numFmtId="0" fontId="481" fillId="6" borderId="330" xfId="44" applyFont="1" applyFill="1" applyBorder="1" applyAlignment="1">
      <alignment vertical="center" wrapText="1"/>
    </xf>
    <xf numFmtId="0" fontId="647" fillId="95" borderId="330" xfId="44" applyFont="1" applyFill="1" applyBorder="1" applyAlignment="1">
      <alignment vertical="center" wrapText="1"/>
    </xf>
    <xf numFmtId="0" fontId="689" fillId="6" borderId="330" xfId="44" applyFont="1" applyFill="1" applyBorder="1" applyAlignment="1">
      <alignment vertical="center" wrapText="1"/>
    </xf>
    <xf numFmtId="0" fontId="647" fillId="168" borderId="330" xfId="44" applyFont="1" applyFill="1" applyBorder="1" applyAlignment="1">
      <alignment vertical="center" wrapText="1"/>
    </xf>
    <xf numFmtId="0" fontId="690" fillId="6" borderId="330" xfId="44" applyFont="1" applyFill="1" applyBorder="1" applyAlignment="1">
      <alignment vertical="center" wrapText="1"/>
    </xf>
    <xf numFmtId="0" fontId="482" fillId="6" borderId="330" xfId="44" applyFont="1" applyFill="1" applyBorder="1" applyAlignment="1">
      <alignment vertical="center" wrapText="1"/>
    </xf>
    <xf numFmtId="0" fontId="482" fillId="106" borderId="330" xfId="44" applyFont="1" applyFill="1" applyBorder="1" applyAlignment="1">
      <alignment vertical="center" wrapText="1"/>
    </xf>
    <xf numFmtId="0" fontId="419" fillId="6" borderId="330" xfId="44" applyFont="1" applyFill="1" applyBorder="1" applyAlignment="1">
      <alignment horizontal="center" vertical="center" wrapText="1"/>
    </xf>
    <xf numFmtId="0" fontId="471" fillId="6" borderId="330" xfId="44" applyFont="1" applyFill="1" applyBorder="1" applyAlignment="1">
      <alignment horizontal="center" vertical="center" wrapText="1"/>
    </xf>
    <xf numFmtId="0" fontId="420" fillId="6" borderId="330" xfId="44" applyFont="1" applyFill="1" applyBorder="1" applyAlignment="1">
      <alignment horizontal="center" vertical="center" wrapText="1"/>
    </xf>
    <xf numFmtId="0" fontId="691" fillId="6" borderId="330" xfId="44" applyFont="1" applyFill="1" applyBorder="1" applyAlignment="1">
      <alignment vertical="center" wrapText="1"/>
    </xf>
    <xf numFmtId="0" fontId="6" fillId="0" borderId="0" xfId="46" applyAlignment="1">
      <alignment vertical="center"/>
    </xf>
    <xf numFmtId="0" fontId="645" fillId="6" borderId="322" xfId="44" applyFill="1" applyBorder="1" applyAlignment="1">
      <alignment vertical="center"/>
    </xf>
    <xf numFmtId="0" fontId="660" fillId="6" borderId="330" xfId="44" applyFont="1" applyFill="1" applyBorder="1" applyAlignment="1">
      <alignment vertical="center" wrapText="1"/>
    </xf>
    <xf numFmtId="0" fontId="647" fillId="143" borderId="330" xfId="44" applyFont="1" applyFill="1" applyBorder="1" applyAlignment="1">
      <alignment vertical="center" wrapText="1"/>
    </xf>
    <xf numFmtId="0" fontId="674" fillId="6" borderId="330" xfId="44" applyFont="1" applyFill="1" applyBorder="1" applyAlignment="1">
      <alignment vertical="center" wrapText="1"/>
    </xf>
    <xf numFmtId="0" fontId="647" fillId="153" borderId="330" xfId="44" applyFont="1" applyFill="1" applyBorder="1" applyAlignment="1">
      <alignment vertical="center" wrapText="1"/>
    </xf>
    <xf numFmtId="0" fontId="672" fillId="6" borderId="330" xfId="44" applyFont="1" applyFill="1" applyBorder="1" applyAlignment="1">
      <alignment vertical="center" wrapText="1"/>
    </xf>
    <xf numFmtId="0" fontId="647" fillId="151" borderId="330" xfId="44" applyFont="1" applyFill="1" applyBorder="1" applyAlignment="1">
      <alignment vertical="center" wrapText="1"/>
    </xf>
    <xf numFmtId="0" fontId="661" fillId="6" borderId="330" xfId="44" applyFont="1" applyFill="1" applyBorder="1" applyAlignment="1">
      <alignment vertical="center" wrapText="1"/>
    </xf>
    <xf numFmtId="0" fontId="647" fillId="74" borderId="330" xfId="44" applyFont="1" applyFill="1" applyBorder="1" applyAlignment="1">
      <alignment vertical="center" wrapText="1"/>
    </xf>
    <xf numFmtId="0" fontId="662" fillId="6" borderId="330" xfId="44" applyFont="1" applyFill="1" applyBorder="1" applyAlignment="1">
      <alignment vertical="center" wrapText="1"/>
    </xf>
    <xf numFmtId="0" fontId="647" fillId="144" borderId="330" xfId="44" applyFont="1" applyFill="1" applyBorder="1" applyAlignment="1">
      <alignment vertical="center" wrapText="1"/>
    </xf>
    <xf numFmtId="0" fontId="648" fillId="6" borderId="330" xfId="44" applyFont="1" applyFill="1" applyBorder="1" applyAlignment="1">
      <alignment vertical="center" wrapText="1"/>
    </xf>
    <xf numFmtId="0" fontId="647" fillId="132" borderId="330" xfId="44" applyFont="1" applyFill="1" applyBorder="1" applyAlignment="1">
      <alignment vertical="center" wrapText="1"/>
    </xf>
    <xf numFmtId="0" fontId="663" fillId="6" borderId="330" xfId="44" applyFont="1" applyFill="1" applyBorder="1" applyAlignment="1">
      <alignment vertical="center" wrapText="1"/>
    </xf>
    <xf numFmtId="0" fontId="647" fillId="145" borderId="330" xfId="44" applyFont="1" applyFill="1" applyBorder="1" applyAlignment="1">
      <alignment vertical="center" wrapText="1"/>
    </xf>
    <xf numFmtId="0" fontId="649" fillId="6" borderId="330" xfId="44" applyFont="1" applyFill="1" applyBorder="1" applyAlignment="1">
      <alignment vertical="center" wrapText="1"/>
    </xf>
    <xf numFmtId="0" fontId="647" fillId="133" borderId="330" xfId="44" applyFont="1" applyFill="1" applyBorder="1" applyAlignment="1">
      <alignment vertical="center" wrapText="1"/>
    </xf>
    <xf numFmtId="0" fontId="664" fillId="6" borderId="330" xfId="44" applyFont="1" applyFill="1" applyBorder="1" applyAlignment="1">
      <alignment vertical="center" wrapText="1"/>
    </xf>
    <xf numFmtId="0" fontId="647" fillId="146" borderId="330" xfId="44" applyFont="1" applyFill="1" applyBorder="1" applyAlignment="1">
      <alignment vertical="center" wrapText="1"/>
    </xf>
    <xf numFmtId="0" fontId="692" fillId="15" borderId="0" xfId="1" applyFont="1" applyFill="1" applyAlignment="1">
      <alignment horizontal="right" vertical="center"/>
    </xf>
    <xf numFmtId="0" fontId="650" fillId="6" borderId="330" xfId="44" applyFont="1" applyFill="1" applyBorder="1" applyAlignment="1">
      <alignment vertical="center" wrapText="1"/>
    </xf>
    <xf numFmtId="0" fontId="647" fillId="134" borderId="330" xfId="44" applyFont="1" applyFill="1" applyBorder="1" applyAlignment="1">
      <alignment vertical="center" wrapText="1"/>
    </xf>
    <xf numFmtId="0" fontId="665" fillId="6" borderId="330" xfId="44" applyFont="1" applyFill="1" applyBorder="1" applyAlignment="1">
      <alignment vertical="center" wrapText="1"/>
    </xf>
    <xf numFmtId="0" fontId="647" fillId="110" borderId="330" xfId="44" applyFont="1" applyFill="1" applyBorder="1" applyAlignment="1">
      <alignment vertical="center" wrapText="1"/>
    </xf>
    <xf numFmtId="0" fontId="679" fillId="6" borderId="330" xfId="44" applyFont="1" applyFill="1" applyBorder="1" applyAlignment="1">
      <alignment vertical="center" wrapText="1"/>
    </xf>
    <xf numFmtId="0" fontId="647" fillId="107" borderId="330" xfId="44" applyFont="1" applyFill="1" applyBorder="1" applyAlignment="1">
      <alignment vertical="center" wrapText="1"/>
    </xf>
    <xf numFmtId="0" fontId="651" fillId="6" borderId="330" xfId="44" applyFont="1" applyFill="1" applyBorder="1" applyAlignment="1">
      <alignment vertical="center" wrapText="1"/>
    </xf>
    <xf numFmtId="0" fontId="647" fillId="135" borderId="330" xfId="44" applyFont="1" applyFill="1" applyBorder="1" applyAlignment="1">
      <alignment vertical="center" wrapText="1"/>
    </xf>
    <xf numFmtId="0" fontId="666" fillId="6" borderId="330" xfId="44" applyFont="1" applyFill="1" applyBorder="1" applyAlignment="1">
      <alignment vertical="center" wrapText="1"/>
    </xf>
    <xf numFmtId="0" fontId="647" fillId="147" borderId="330" xfId="44" applyFont="1" applyFill="1" applyBorder="1" applyAlignment="1">
      <alignment vertical="center" wrapText="1"/>
    </xf>
    <xf numFmtId="0" fontId="680" fillId="6" borderId="330" xfId="44" applyFont="1" applyFill="1" applyBorder="1" applyAlignment="1">
      <alignment vertical="center" wrapText="1"/>
    </xf>
    <xf numFmtId="0" fontId="647" fillId="157" borderId="330" xfId="44" applyFont="1" applyFill="1" applyBorder="1" applyAlignment="1">
      <alignment vertical="center" wrapText="1"/>
    </xf>
    <xf numFmtId="0" fontId="652" fillId="6" borderId="330" xfId="44" applyFont="1" applyFill="1" applyBorder="1" applyAlignment="1">
      <alignment vertical="center" wrapText="1"/>
    </xf>
    <xf numFmtId="0" fontId="647" fillId="136" borderId="330" xfId="44" applyFont="1" applyFill="1" applyBorder="1" applyAlignment="1">
      <alignment vertical="center" wrapText="1"/>
    </xf>
    <xf numFmtId="0" fontId="667" fillId="6" borderId="330" xfId="44" applyFont="1" applyFill="1" applyBorder="1" applyAlignment="1">
      <alignment vertical="center" wrapText="1"/>
    </xf>
    <xf numFmtId="0" fontId="647" fillId="148" borderId="330" xfId="44" applyFont="1" applyFill="1" applyBorder="1" applyAlignment="1">
      <alignment vertical="center" wrapText="1"/>
    </xf>
    <xf numFmtId="0" fontId="681" fillId="6" borderId="330" xfId="44" applyFont="1" applyFill="1" applyBorder="1" applyAlignment="1">
      <alignment vertical="center" wrapText="1"/>
    </xf>
    <xf numFmtId="0" fontId="647" fillId="158" borderId="330" xfId="44" applyFont="1" applyFill="1" applyBorder="1" applyAlignment="1">
      <alignment vertical="center" wrapText="1"/>
    </xf>
    <xf numFmtId="0" fontId="653" fillId="6" borderId="330" xfId="44" applyFont="1" applyFill="1" applyBorder="1" applyAlignment="1">
      <alignment vertical="center" wrapText="1"/>
    </xf>
    <xf numFmtId="0" fontId="647" fillId="137" borderId="330" xfId="44" applyFont="1" applyFill="1" applyBorder="1" applyAlignment="1">
      <alignment vertical="center" wrapText="1"/>
    </xf>
    <xf numFmtId="0" fontId="668" fillId="6" borderId="330" xfId="44" applyFont="1" applyFill="1" applyBorder="1" applyAlignment="1">
      <alignment vertical="center" wrapText="1"/>
    </xf>
    <xf numFmtId="0" fontId="647" fillId="56" borderId="330" xfId="44" applyFont="1" applyFill="1" applyBorder="1" applyAlignment="1">
      <alignment vertical="center" wrapText="1"/>
    </xf>
    <xf numFmtId="0" fontId="682" fillId="6" borderId="330" xfId="44" applyFont="1" applyFill="1" applyBorder="1" applyAlignment="1">
      <alignment vertical="center" wrapText="1"/>
    </xf>
    <xf numFmtId="0" fontId="647" fillId="159" borderId="330" xfId="44" applyFont="1" applyFill="1" applyBorder="1" applyAlignment="1">
      <alignment vertical="center" wrapText="1"/>
    </xf>
    <xf numFmtId="0" fontId="654" fillId="6" borderId="330" xfId="44" applyFont="1" applyFill="1" applyBorder="1" applyAlignment="1">
      <alignment vertical="center" wrapText="1"/>
    </xf>
    <xf numFmtId="0" fontId="647" fillId="138" borderId="330" xfId="44" applyFont="1" applyFill="1" applyBorder="1" applyAlignment="1">
      <alignment vertical="center" wrapText="1"/>
    </xf>
    <xf numFmtId="0" fontId="669" fillId="6" borderId="330" xfId="44" applyFont="1" applyFill="1" applyBorder="1" applyAlignment="1">
      <alignment vertical="center" wrapText="1"/>
    </xf>
    <xf numFmtId="0" fontId="647" fillId="46" borderId="330" xfId="44" applyFont="1" applyFill="1" applyBorder="1" applyAlignment="1">
      <alignment vertical="center" wrapText="1"/>
    </xf>
    <xf numFmtId="0" fontId="670" fillId="6" borderId="330" xfId="44" applyFont="1" applyFill="1" applyBorder="1" applyAlignment="1">
      <alignment vertical="center" wrapText="1"/>
    </xf>
    <xf numFmtId="0" fontId="647" fillId="149" borderId="330" xfId="44" applyFont="1" applyFill="1" applyBorder="1" applyAlignment="1">
      <alignment vertical="center" wrapText="1"/>
    </xf>
    <xf numFmtId="0" fontId="655" fillId="6" borderId="330" xfId="44" applyFont="1" applyFill="1" applyBorder="1" applyAlignment="1">
      <alignment vertical="center" wrapText="1"/>
    </xf>
    <xf numFmtId="0" fontId="647" fillId="139" borderId="330" xfId="44" applyFont="1" applyFill="1" applyBorder="1" applyAlignment="1">
      <alignment vertical="center" wrapText="1"/>
    </xf>
    <xf numFmtId="0" fontId="693" fillId="6" borderId="330" xfId="44" applyFont="1" applyFill="1" applyBorder="1" applyAlignment="1">
      <alignment vertical="center" wrapText="1"/>
    </xf>
    <xf numFmtId="0" fontId="647" fillId="25" borderId="330" xfId="44" applyFont="1" applyFill="1" applyBorder="1" applyAlignment="1">
      <alignment vertical="center" wrapText="1"/>
    </xf>
    <xf numFmtId="0" fontId="656" fillId="6" borderId="330" xfId="44" applyFont="1" applyFill="1" applyBorder="1" applyAlignment="1">
      <alignment vertical="center" wrapText="1"/>
    </xf>
    <xf numFmtId="0" fontId="647" fillId="140" borderId="330" xfId="44" applyFont="1" applyFill="1" applyBorder="1" applyAlignment="1">
      <alignment vertical="center" wrapText="1"/>
    </xf>
    <xf numFmtId="0" fontId="671" fillId="6" borderId="330" xfId="44" applyFont="1" applyFill="1" applyBorder="1" applyAlignment="1">
      <alignment vertical="center" wrapText="1"/>
    </xf>
    <xf numFmtId="0" fontId="647" fillId="150" borderId="330" xfId="44" applyFont="1" applyFill="1" applyBorder="1" applyAlignment="1">
      <alignment vertical="center" wrapText="1"/>
    </xf>
    <xf numFmtId="0" fontId="657" fillId="6" borderId="330" xfId="44" applyFont="1" applyFill="1" applyBorder="1" applyAlignment="1">
      <alignment vertical="center" wrapText="1"/>
    </xf>
    <xf numFmtId="0" fontId="647" fillId="141" borderId="330" xfId="44" applyFont="1" applyFill="1" applyBorder="1" applyAlignment="1">
      <alignment vertical="center" wrapText="1"/>
    </xf>
    <xf numFmtId="0" fontId="683" fillId="6" borderId="330" xfId="44" applyFont="1" applyFill="1" applyBorder="1" applyAlignment="1">
      <alignment vertical="center" wrapText="1"/>
    </xf>
    <xf numFmtId="0" fontId="647" fillId="160" borderId="330" xfId="44" applyFont="1" applyFill="1" applyBorder="1" applyAlignment="1">
      <alignment vertical="center" wrapText="1"/>
    </xf>
    <xf numFmtId="0" fontId="658" fillId="6" borderId="330" xfId="44" applyFont="1" applyFill="1" applyBorder="1" applyAlignment="1">
      <alignment vertical="center" wrapText="1"/>
    </xf>
    <xf numFmtId="0" fontId="647" fillId="5" borderId="330" xfId="44" applyFont="1" applyFill="1" applyBorder="1" applyAlignment="1">
      <alignment vertical="center" wrapText="1"/>
    </xf>
    <xf numFmtId="0" fontId="684" fillId="6" borderId="330" xfId="44" applyFont="1" applyFill="1" applyBorder="1" applyAlignment="1">
      <alignment vertical="center" wrapText="1"/>
    </xf>
    <xf numFmtId="0" fontId="647" fillId="161" borderId="330" xfId="44" applyFont="1" applyFill="1" applyBorder="1" applyAlignment="1">
      <alignment vertical="center" wrapText="1"/>
    </xf>
    <xf numFmtId="0" fontId="647" fillId="106" borderId="330" xfId="44" applyFont="1" applyFill="1" applyBorder="1" applyAlignment="1">
      <alignment vertical="center" wrapText="1"/>
    </xf>
    <xf numFmtId="0" fontId="659" fillId="6" borderId="330" xfId="44" applyFont="1" applyFill="1" applyBorder="1" applyAlignment="1">
      <alignment vertical="center" wrapText="1"/>
    </xf>
    <xf numFmtId="0" fontId="647" fillId="142" borderId="330" xfId="44" applyFont="1" applyFill="1" applyBorder="1" applyAlignment="1">
      <alignment vertical="center" wrapText="1"/>
    </xf>
    <xf numFmtId="0" fontId="470" fillId="6" borderId="330" xfId="44" applyFont="1" applyFill="1" applyBorder="1" applyAlignment="1">
      <alignment vertical="center" wrapText="1"/>
    </xf>
    <xf numFmtId="0" fontId="647" fillId="111" borderId="330" xfId="44" applyFont="1" applyFill="1" applyBorder="1" applyAlignment="1">
      <alignment vertical="center" wrapText="1"/>
    </xf>
    <xf numFmtId="0" fontId="86" fillId="4" borderId="0" xfId="9" applyFill="1"/>
    <xf numFmtId="0" fontId="2" fillId="130" borderId="0" xfId="39" applyFont="1" applyFill="1" applyAlignment="1">
      <alignment horizontal="right" vertical="center"/>
    </xf>
    <xf numFmtId="0" fontId="645" fillId="132" borderId="0" xfId="44" applyFill="1" applyAlignment="1">
      <alignment horizontal="center" vertical="center"/>
    </xf>
    <xf numFmtId="0" fontId="645" fillId="133" borderId="0" xfId="44" applyFill="1" applyAlignment="1">
      <alignment horizontal="center" vertical="center"/>
    </xf>
    <xf numFmtId="0" fontId="645" fillId="174" borderId="0" xfId="44" applyFill="1" applyAlignment="1">
      <alignment horizontal="center" vertical="center"/>
    </xf>
    <xf numFmtId="0" fontId="645" fillId="135" borderId="0" xfId="44" applyFill="1" applyAlignment="1">
      <alignment horizontal="center" vertical="center"/>
    </xf>
    <xf numFmtId="0" fontId="645" fillId="136" borderId="0" xfId="44" applyFill="1" applyAlignment="1">
      <alignment horizontal="center" vertical="center"/>
    </xf>
    <xf numFmtId="0" fontId="645" fillId="137" borderId="0" xfId="44" applyFill="1" applyAlignment="1">
      <alignment horizontal="center" vertical="center"/>
    </xf>
    <xf numFmtId="0" fontId="645" fillId="138" borderId="0" xfId="44" applyFill="1" applyAlignment="1">
      <alignment horizontal="center" vertical="center"/>
    </xf>
    <xf numFmtId="0" fontId="645" fillId="139" borderId="0" xfId="44" applyFill="1" applyAlignment="1">
      <alignment horizontal="center" vertical="center"/>
    </xf>
    <xf numFmtId="0" fontId="645" fillId="140" borderId="0" xfId="44" applyFill="1" applyAlignment="1">
      <alignment horizontal="center" vertical="center"/>
    </xf>
    <xf numFmtId="0" fontId="645" fillId="141" borderId="0" xfId="44" applyFill="1" applyAlignment="1">
      <alignment horizontal="center" vertical="center"/>
    </xf>
    <xf numFmtId="0" fontId="645" fillId="5" borderId="0" xfId="44" applyFill="1" applyAlignment="1">
      <alignment horizontal="center" vertical="center"/>
    </xf>
    <xf numFmtId="0" fontId="645" fillId="142" borderId="0" xfId="44" applyFill="1" applyAlignment="1">
      <alignment horizontal="center" vertical="center"/>
    </xf>
    <xf numFmtId="0" fontId="645" fillId="143" borderId="0" xfId="44" applyFill="1" applyAlignment="1">
      <alignment horizontal="center" vertical="center"/>
    </xf>
    <xf numFmtId="0" fontId="645" fillId="74" borderId="0" xfId="44" applyFill="1" applyAlignment="1">
      <alignment horizontal="center" vertical="center"/>
    </xf>
    <xf numFmtId="0" fontId="645" fillId="144" borderId="0" xfId="44" applyFill="1" applyAlignment="1">
      <alignment horizontal="center" vertical="center"/>
    </xf>
    <xf numFmtId="0" fontId="645" fillId="145" borderId="0" xfId="44" applyFill="1" applyAlignment="1">
      <alignment horizontal="center" vertical="center"/>
    </xf>
    <xf numFmtId="0" fontId="645" fillId="146" borderId="0" xfId="44" applyFill="1" applyAlignment="1">
      <alignment horizontal="center" vertical="center"/>
    </xf>
    <xf numFmtId="0" fontId="645" fillId="110" borderId="0" xfId="44" applyFill="1" applyAlignment="1">
      <alignment horizontal="center" vertical="center"/>
    </xf>
    <xf numFmtId="0" fontId="645" fillId="147" borderId="0" xfId="44" applyFill="1" applyAlignment="1">
      <alignment horizontal="center" vertical="center"/>
    </xf>
    <xf numFmtId="0" fontId="645" fillId="148" borderId="0" xfId="44" applyFill="1" applyAlignment="1">
      <alignment horizontal="center" vertical="center"/>
    </xf>
    <xf numFmtId="0" fontId="645" fillId="56" borderId="0" xfId="44" applyFill="1" applyAlignment="1">
      <alignment horizontal="center" vertical="center"/>
    </xf>
    <xf numFmtId="0" fontId="645" fillId="46" borderId="0" xfId="44" applyFill="1" applyAlignment="1">
      <alignment horizontal="center" vertical="center"/>
    </xf>
    <xf numFmtId="0" fontId="645" fillId="175" borderId="0" xfId="44" applyFill="1" applyAlignment="1">
      <alignment horizontal="center" vertical="center"/>
    </xf>
    <xf numFmtId="0" fontId="645" fillId="150" borderId="0" xfId="44" applyFill="1" applyAlignment="1">
      <alignment horizontal="center" vertical="center"/>
    </xf>
    <xf numFmtId="0" fontId="645" fillId="176" borderId="0" xfId="44" applyFill="1" applyAlignment="1">
      <alignment horizontal="center" vertical="center"/>
    </xf>
    <xf numFmtId="0" fontId="645" fillId="177" borderId="0" xfId="44" applyFill="1" applyAlignment="1">
      <alignment horizontal="center" vertical="center"/>
    </xf>
    <xf numFmtId="0" fontId="645" fillId="178" borderId="0" xfId="44" applyFill="1" applyAlignment="1">
      <alignment horizontal="center" vertical="center"/>
    </xf>
    <xf numFmtId="0" fontId="645" fillId="76" borderId="0" xfId="44" applyFill="1" applyAlignment="1">
      <alignment horizontal="center" vertical="center"/>
    </xf>
    <xf numFmtId="0" fontId="645" fillId="179" borderId="0" xfId="44" applyFill="1" applyAlignment="1">
      <alignment horizontal="center" vertical="center"/>
    </xf>
    <xf numFmtId="0" fontId="645" fillId="180" borderId="0" xfId="44" applyFill="1" applyAlignment="1">
      <alignment horizontal="center" vertical="center"/>
    </xf>
    <xf numFmtId="0" fontId="645" fillId="181" borderId="0" xfId="44" applyFill="1" applyAlignment="1">
      <alignment horizontal="center" vertical="center"/>
    </xf>
    <xf numFmtId="0" fontId="645" fillId="182" borderId="0" xfId="44" applyFill="1" applyAlignment="1">
      <alignment horizontal="center" vertical="center"/>
    </xf>
    <xf numFmtId="0" fontId="645" fillId="107" borderId="0" xfId="44" applyFill="1" applyAlignment="1">
      <alignment horizontal="center" vertical="center"/>
    </xf>
    <xf numFmtId="0" fontId="645" fillId="157" borderId="0" xfId="44" applyFill="1" applyAlignment="1">
      <alignment horizontal="center" vertical="center"/>
    </xf>
    <xf numFmtId="0" fontId="645" fillId="158" borderId="0" xfId="44" applyFill="1" applyAlignment="1">
      <alignment horizontal="center" vertical="center"/>
    </xf>
    <xf numFmtId="0" fontId="645" fillId="159" borderId="0" xfId="44" applyFill="1" applyAlignment="1">
      <alignment horizontal="center" vertical="center"/>
    </xf>
    <xf numFmtId="0" fontId="645" fillId="149" borderId="0" xfId="44" applyFill="1" applyAlignment="1">
      <alignment horizontal="center" vertical="center"/>
    </xf>
    <xf numFmtId="0" fontId="645" fillId="25" borderId="0" xfId="44" applyFill="1" applyAlignment="1">
      <alignment horizontal="center" vertical="center"/>
    </xf>
    <xf numFmtId="0" fontId="645" fillId="134" borderId="0" xfId="44" applyFill="1" applyAlignment="1">
      <alignment horizontal="center" vertical="center"/>
    </xf>
    <xf numFmtId="0" fontId="645" fillId="160" borderId="0" xfId="44" applyFill="1" applyAlignment="1">
      <alignment horizontal="center" vertical="center"/>
    </xf>
    <xf numFmtId="0" fontId="645" fillId="161" borderId="0" xfId="44" applyFill="1" applyAlignment="1">
      <alignment horizontal="center" vertical="center"/>
    </xf>
    <xf numFmtId="0" fontId="645" fillId="111" borderId="0" xfId="44" applyFill="1" applyAlignment="1">
      <alignment horizontal="center" vertical="center"/>
    </xf>
    <xf numFmtId="0" fontId="645" fillId="151" borderId="0" xfId="44" applyFill="1" applyAlignment="1">
      <alignment horizontal="center" vertical="center"/>
    </xf>
    <xf numFmtId="0" fontId="645" fillId="153" borderId="0" xfId="44" applyFill="1" applyAlignment="1">
      <alignment horizontal="center" vertical="center"/>
    </xf>
    <xf numFmtId="0" fontId="645" fillId="162" borderId="0" xfId="44" applyFill="1" applyAlignment="1">
      <alignment horizontal="center" vertical="center"/>
    </xf>
    <xf numFmtId="0" fontId="645" fillId="156" borderId="0" xfId="44" applyFill="1" applyAlignment="1">
      <alignment horizontal="center" vertical="center"/>
    </xf>
    <xf numFmtId="0" fontId="645" fillId="163" borderId="0" xfId="44" applyFill="1" applyAlignment="1">
      <alignment horizontal="center" vertical="center"/>
    </xf>
    <xf numFmtId="0" fontId="645" fillId="152" borderId="0" xfId="44" applyFill="1" applyAlignment="1">
      <alignment horizontal="center" vertical="center"/>
    </xf>
    <xf numFmtId="0" fontId="645" fillId="154" borderId="0" xfId="44" applyFill="1" applyAlignment="1">
      <alignment horizontal="center" vertical="center"/>
    </xf>
    <xf numFmtId="0" fontId="645" fillId="155" borderId="0" xfId="44" applyFill="1" applyAlignment="1">
      <alignment horizontal="center" vertical="center"/>
    </xf>
    <xf numFmtId="0" fontId="645" fillId="120" borderId="0" xfId="44" applyFill="1" applyAlignment="1">
      <alignment horizontal="center" vertical="center"/>
    </xf>
    <xf numFmtId="0" fontId="645" fillId="109" borderId="0" xfId="44" applyFill="1" applyAlignment="1">
      <alignment horizontal="center" vertical="center"/>
    </xf>
    <xf numFmtId="0" fontId="645" fillId="95" borderId="0" xfId="44" applyFill="1" applyAlignment="1">
      <alignment horizontal="center" vertical="center"/>
    </xf>
    <xf numFmtId="0" fontId="645" fillId="168" borderId="0" xfId="44" applyFill="1" applyAlignment="1">
      <alignment horizontal="center" vertical="center"/>
    </xf>
    <xf numFmtId="0" fontId="645" fillId="6" borderId="0" xfId="44" applyFill="1" applyAlignment="1">
      <alignment horizontal="center" vertical="center"/>
    </xf>
    <xf numFmtId="0" fontId="645" fillId="106" borderId="0" xfId="44" applyFill="1" applyAlignment="1">
      <alignment horizontal="center" vertical="center"/>
    </xf>
    <xf numFmtId="0" fontId="86" fillId="0" borderId="0" xfId="9"/>
    <xf numFmtId="0" fontId="695" fillId="67" borderId="0" xfId="39" applyFont="1" applyFill="1" applyAlignment="1">
      <alignment vertical="center"/>
    </xf>
    <xf numFmtId="0" fontId="696" fillId="0" borderId="0" xfId="39" applyFont="1" applyAlignment="1">
      <alignment horizontal="center" vertical="center"/>
    </xf>
    <xf numFmtId="0" fontId="1" fillId="0" borderId="0" xfId="41"/>
    <xf numFmtId="0" fontId="1" fillId="4" borderId="0" xfId="41" applyFill="1"/>
    <xf numFmtId="0" fontId="1" fillId="4" borderId="0" xfId="41" applyFill="1" applyAlignment="1">
      <alignment vertical="center"/>
    </xf>
    <xf numFmtId="0" fontId="1" fillId="0" borderId="0" xfId="41" applyAlignment="1">
      <alignment vertical="center"/>
    </xf>
    <xf numFmtId="0" fontId="1" fillId="4" borderId="29" xfId="41" applyFill="1" applyBorder="1" applyAlignment="1">
      <alignment horizontal="center" vertical="center"/>
    </xf>
    <xf numFmtId="165" fontId="133" fillId="4" borderId="334" xfId="41" applyNumberFormat="1" applyFont="1" applyFill="1" applyBorder="1" applyAlignment="1">
      <alignment horizontal="center" vertical="center"/>
    </xf>
    <xf numFmtId="165" fontId="133" fillId="4" borderId="335" xfId="41" applyNumberFormat="1" applyFont="1" applyFill="1" applyBorder="1" applyAlignment="1">
      <alignment horizontal="center" vertical="center"/>
    </xf>
    <xf numFmtId="165" fontId="154" fillId="4" borderId="335" xfId="41" applyNumberFormat="1" applyFont="1" applyFill="1" applyBorder="1" applyAlignment="1">
      <alignment horizontal="center" vertical="center"/>
    </xf>
    <xf numFmtId="0" fontId="697" fillId="4" borderId="336" xfId="41" applyFont="1" applyFill="1" applyBorder="1" applyAlignment="1">
      <alignment horizontal="right" vertical="center"/>
    </xf>
    <xf numFmtId="0" fontId="1" fillId="4" borderId="44" xfId="41" applyFill="1" applyBorder="1" applyAlignment="1">
      <alignment vertical="center"/>
    </xf>
    <xf numFmtId="0" fontId="1" fillId="4" borderId="43" xfId="41" applyFill="1" applyBorder="1" applyAlignment="1">
      <alignment vertical="center"/>
    </xf>
    <xf numFmtId="173" fontId="698" fillId="56" borderId="337" xfId="41" applyNumberFormat="1" applyFont="1" applyFill="1" applyBorder="1" applyAlignment="1" applyProtection="1">
      <alignment horizontal="center" vertical="center"/>
      <protection locked="0"/>
    </xf>
    <xf numFmtId="165" fontId="421" fillId="25" borderId="334" xfId="41" applyNumberFormat="1" applyFont="1" applyFill="1" applyBorder="1" applyAlignment="1">
      <alignment horizontal="center" vertical="center"/>
    </xf>
    <xf numFmtId="165" fontId="421" fillId="25" borderId="335" xfId="41" applyNumberFormat="1" applyFont="1" applyFill="1" applyBorder="1" applyAlignment="1">
      <alignment horizontal="center" vertical="center"/>
    </xf>
    <xf numFmtId="165" fontId="133" fillId="111" borderId="335" xfId="41" applyNumberFormat="1" applyFont="1" applyFill="1" applyBorder="1" applyAlignment="1">
      <alignment horizontal="center" vertical="center"/>
    </xf>
    <xf numFmtId="165" fontId="699" fillId="25" borderId="335" xfId="41" applyNumberFormat="1" applyFont="1" applyFill="1" applyBorder="1" applyAlignment="1">
      <alignment horizontal="center" vertical="center"/>
    </xf>
    <xf numFmtId="0" fontId="437" fillId="4" borderId="338" xfId="41" applyFont="1" applyFill="1" applyBorder="1" applyAlignment="1">
      <alignment horizontal="left" vertical="center"/>
    </xf>
    <xf numFmtId="0" fontId="437" fillId="4" borderId="205" xfId="41" applyFont="1" applyFill="1" applyBorder="1" applyAlignment="1">
      <alignment horizontal="left" vertical="center"/>
    </xf>
    <xf numFmtId="0" fontId="88" fillId="6" borderId="43" xfId="41" applyFont="1" applyFill="1" applyBorder="1" applyAlignment="1">
      <alignment horizontal="left" vertical="center"/>
    </xf>
    <xf numFmtId="165" fontId="133" fillId="4" borderId="27" xfId="41" applyNumberFormat="1" applyFont="1" applyFill="1" applyBorder="1" applyAlignment="1">
      <alignment horizontal="center" vertical="center"/>
    </xf>
    <xf numFmtId="165" fontId="133" fillId="4" borderId="217" xfId="41" applyNumberFormat="1" applyFont="1" applyFill="1" applyBorder="1" applyAlignment="1">
      <alignment horizontal="center" vertical="center"/>
    </xf>
    <xf numFmtId="165" fontId="154" fillId="4" borderId="217" xfId="41" applyNumberFormat="1" applyFont="1" applyFill="1" applyBorder="1" applyAlignment="1">
      <alignment horizontal="center" vertical="center"/>
    </xf>
    <xf numFmtId="0" fontId="697" fillId="4" borderId="165" xfId="41" applyFont="1" applyFill="1" applyBorder="1" applyAlignment="1">
      <alignment horizontal="right" vertical="center"/>
    </xf>
    <xf numFmtId="173" fontId="698" fillId="56" borderId="29" xfId="41" applyNumberFormat="1" applyFont="1" applyFill="1" applyBorder="1" applyAlignment="1" applyProtection="1">
      <alignment horizontal="center" vertical="center"/>
      <protection locked="0"/>
    </xf>
    <xf numFmtId="165" fontId="421" fillId="25" borderId="27" xfId="41" applyNumberFormat="1" applyFont="1" applyFill="1" applyBorder="1" applyAlignment="1">
      <alignment horizontal="center" vertical="center"/>
    </xf>
    <xf numFmtId="165" fontId="421" fillId="25" borderId="217" xfId="41" applyNumberFormat="1" applyFont="1" applyFill="1" applyBorder="1" applyAlignment="1">
      <alignment horizontal="center" vertical="center"/>
    </xf>
    <xf numFmtId="165" fontId="133" fillId="111" borderId="217" xfId="41" applyNumberFormat="1" applyFont="1" applyFill="1" applyBorder="1" applyAlignment="1">
      <alignment horizontal="center" vertical="center"/>
    </xf>
    <xf numFmtId="165" fontId="699" fillId="25" borderId="217" xfId="41" applyNumberFormat="1" applyFont="1" applyFill="1" applyBorder="1" applyAlignment="1">
      <alignment horizontal="center" vertical="center"/>
    </xf>
    <xf numFmtId="0" fontId="437" fillId="4" borderId="339" xfId="41" applyFont="1" applyFill="1" applyBorder="1" applyAlignment="1">
      <alignment horizontal="left" vertical="center"/>
    </xf>
    <xf numFmtId="0" fontId="437" fillId="4" borderId="28" xfId="41" applyFont="1" applyFill="1" applyBorder="1" applyAlignment="1">
      <alignment horizontal="left" vertical="center"/>
    </xf>
    <xf numFmtId="0" fontId="88" fillId="6" borderId="13" xfId="41" applyFont="1" applyFill="1" applyBorder="1" applyAlignment="1">
      <alignment horizontal="left" vertical="center"/>
    </xf>
    <xf numFmtId="0" fontId="107" fillId="4" borderId="0" xfId="41" applyFont="1" applyFill="1" applyAlignment="1">
      <alignment vertical="center"/>
    </xf>
    <xf numFmtId="0" fontId="409" fillId="6" borderId="13" xfId="41" applyFont="1" applyFill="1" applyBorder="1" applyAlignment="1">
      <alignment horizontal="left" vertical="center"/>
    </xf>
    <xf numFmtId="0" fontId="437" fillId="4" borderId="343" xfId="41" applyFont="1" applyFill="1" applyBorder="1" applyAlignment="1">
      <alignment horizontal="left" vertical="center"/>
    </xf>
    <xf numFmtId="0" fontId="437" fillId="4" borderId="115" xfId="41" applyFont="1" applyFill="1" applyBorder="1" applyAlignment="1">
      <alignment horizontal="left" vertical="center"/>
    </xf>
    <xf numFmtId="0" fontId="6" fillId="0" borderId="0" xfId="41" applyFont="1" applyAlignment="1">
      <alignment vertical="center"/>
    </xf>
    <xf numFmtId="174" fontId="133" fillId="4" borderId="27" xfId="41" applyNumberFormat="1" applyFont="1" applyFill="1" applyBorder="1" applyAlignment="1">
      <alignment horizontal="center" vertical="center"/>
    </xf>
    <xf numFmtId="174" fontId="133" fillId="4" borderId="217" xfId="41" applyNumberFormat="1" applyFont="1" applyFill="1" applyBorder="1" applyAlignment="1">
      <alignment horizontal="center" vertical="center"/>
    </xf>
    <xf numFmtId="174" fontId="154" fillId="4" borderId="217" xfId="41" applyNumberFormat="1" applyFont="1" applyFill="1" applyBorder="1" applyAlignment="1">
      <alignment horizontal="center" vertical="center"/>
    </xf>
    <xf numFmtId="0" fontId="468" fillId="4" borderId="165" xfId="41" applyFont="1" applyFill="1" applyBorder="1" applyAlignment="1">
      <alignment horizontal="right" vertical="center"/>
    </xf>
    <xf numFmtId="0" fontId="1" fillId="4" borderId="343" xfId="41" applyFill="1" applyBorder="1" applyAlignment="1">
      <alignment vertical="center"/>
    </xf>
    <xf numFmtId="0" fontId="1" fillId="4" borderId="339" xfId="41" applyFill="1" applyBorder="1" applyAlignment="1">
      <alignment vertical="center"/>
    </xf>
    <xf numFmtId="165" fontId="88" fillId="0" borderId="344" xfId="41" applyNumberFormat="1" applyFont="1" applyBorder="1" applyAlignment="1">
      <alignment horizontal="center" vertical="center"/>
    </xf>
    <xf numFmtId="165" fontId="88" fillId="0" borderId="345" xfId="41" applyNumberFormat="1" applyFont="1" applyBorder="1" applyAlignment="1">
      <alignment horizontal="center" vertical="center"/>
    </xf>
    <xf numFmtId="0" fontId="409" fillId="0" borderId="0" xfId="41" applyFont="1" applyAlignment="1">
      <alignment horizontal="right" vertical="center"/>
    </xf>
    <xf numFmtId="0" fontId="704" fillId="0" borderId="0" xfId="41" applyFont="1" applyAlignment="1">
      <alignment horizontal="center" vertical="center"/>
    </xf>
    <xf numFmtId="0" fontId="409" fillId="4" borderId="0" xfId="41" applyFont="1" applyFill="1" applyAlignment="1">
      <alignment horizontal="right" vertical="center"/>
    </xf>
    <xf numFmtId="204" fontId="1" fillId="4" borderId="0" xfId="47" applyFill="1" applyAlignment="1">
      <alignment vertical="center"/>
    </xf>
    <xf numFmtId="173" fontId="1" fillId="56" borderId="346" xfId="47" applyNumberFormat="1" applyFill="1" applyBorder="1" applyAlignment="1" applyProtection="1">
      <alignment horizontal="center" vertical="center"/>
      <protection locked="0"/>
    </xf>
    <xf numFmtId="165" fontId="1" fillId="25" borderId="171" xfId="47" applyNumberFormat="1" applyFill="1" applyBorder="1" applyAlignment="1">
      <alignment horizontal="center" vertical="center"/>
    </xf>
    <xf numFmtId="165" fontId="1" fillId="25" borderId="233" xfId="47" applyNumberFormat="1" applyFill="1" applyBorder="1" applyAlignment="1">
      <alignment horizontal="center" vertical="center"/>
    </xf>
    <xf numFmtId="165" fontId="1" fillId="111" borderId="233" xfId="47" applyNumberFormat="1" applyFill="1" applyBorder="1" applyAlignment="1">
      <alignment horizontal="center" vertical="center"/>
    </xf>
    <xf numFmtId="204" fontId="1" fillId="4" borderId="339" xfId="47" applyFill="1" applyBorder="1" applyAlignment="1">
      <alignment vertical="center"/>
    </xf>
    <xf numFmtId="204" fontId="1" fillId="4" borderId="28" xfId="47" applyFill="1" applyBorder="1" applyAlignment="1">
      <alignment horizontal="left" vertical="center"/>
    </xf>
    <xf numFmtId="204" fontId="1" fillId="6" borderId="13" xfId="47" applyFill="1" applyBorder="1" applyAlignment="1">
      <alignment horizontal="left" vertical="center"/>
    </xf>
    <xf numFmtId="204" fontId="1" fillId="0" borderId="0" xfId="47" applyAlignment="1">
      <alignment vertical="center"/>
    </xf>
    <xf numFmtId="173" fontId="698" fillId="56" borderId="347" xfId="41" applyNumberFormat="1" applyFont="1" applyFill="1" applyBorder="1" applyAlignment="1" applyProtection="1">
      <alignment horizontal="center" vertical="center"/>
      <protection locked="0"/>
    </xf>
    <xf numFmtId="165" fontId="421" fillId="25" borderId="118" xfId="41" applyNumberFormat="1" applyFont="1" applyFill="1" applyBorder="1" applyAlignment="1">
      <alignment horizontal="center" vertical="center"/>
    </xf>
    <xf numFmtId="165" fontId="421" fillId="25" borderId="232" xfId="41" applyNumberFormat="1" applyFont="1" applyFill="1" applyBorder="1" applyAlignment="1">
      <alignment horizontal="center" vertical="center"/>
    </xf>
    <xf numFmtId="165" fontId="699" fillId="25" borderId="232" xfId="41" applyNumberFormat="1" applyFont="1" applyFill="1" applyBorder="1" applyAlignment="1">
      <alignment horizontal="center" vertical="center"/>
    </xf>
    <xf numFmtId="0" fontId="437" fillId="4" borderId="0" xfId="41" applyFont="1" applyFill="1" applyAlignment="1">
      <alignment horizontal="right" vertical="center"/>
    </xf>
    <xf numFmtId="0" fontId="437" fillId="4" borderId="0" xfId="41" applyFont="1" applyFill="1" applyAlignment="1">
      <alignment horizontal="left" vertical="center"/>
    </xf>
    <xf numFmtId="0" fontId="707" fillId="4" borderId="115" xfId="41" applyFont="1" applyFill="1" applyBorder="1" applyAlignment="1">
      <alignment horizontal="left" vertical="center"/>
    </xf>
    <xf numFmtId="0" fontId="707" fillId="4" borderId="28" xfId="41" applyFont="1" applyFill="1" applyBorder="1" applyAlignment="1">
      <alignment horizontal="left" vertical="center"/>
    </xf>
    <xf numFmtId="0" fontId="697" fillId="4" borderId="0" xfId="41" applyFont="1" applyFill="1" applyAlignment="1">
      <alignment vertical="center"/>
    </xf>
    <xf numFmtId="0" fontId="687" fillId="4" borderId="115" xfId="41" applyFont="1" applyFill="1" applyBorder="1" applyAlignment="1">
      <alignment horizontal="left" vertical="center"/>
    </xf>
    <xf numFmtId="0" fontId="423" fillId="4" borderId="115" xfId="41" applyFont="1" applyFill="1" applyBorder="1" applyAlignment="1">
      <alignment horizontal="left" vertical="center"/>
    </xf>
    <xf numFmtId="0" fontId="687" fillId="4" borderId="28" xfId="41" applyFont="1" applyFill="1" applyBorder="1" applyAlignment="1">
      <alignment horizontal="left" vertical="center"/>
    </xf>
    <xf numFmtId="0" fontId="423" fillId="4" borderId="28" xfId="41" applyFont="1" applyFill="1" applyBorder="1" applyAlignment="1">
      <alignment horizontal="left" vertical="center"/>
    </xf>
    <xf numFmtId="0" fontId="88" fillId="6" borderId="13" xfId="41" applyFont="1" applyFill="1" applyBorder="1" applyAlignment="1">
      <alignment horizontal="right" vertical="center"/>
    </xf>
    <xf numFmtId="0" fontId="1" fillId="4" borderId="41" xfId="41" applyFill="1" applyBorder="1" applyAlignment="1">
      <alignment horizontal="center"/>
    </xf>
    <xf numFmtId="0" fontId="472" fillId="6" borderId="165" xfId="41" applyFont="1" applyFill="1" applyBorder="1" applyAlignment="1">
      <alignment horizontal="right" vertical="center"/>
    </xf>
    <xf numFmtId="0" fontId="704" fillId="6" borderId="0" xfId="41" applyFont="1" applyFill="1" applyAlignment="1">
      <alignment horizontal="center" vertical="center"/>
    </xf>
    <xf numFmtId="0" fontId="1" fillId="4" borderId="12" xfId="41" applyFill="1" applyBorder="1" applyAlignment="1">
      <alignment horizontal="center"/>
    </xf>
    <xf numFmtId="0" fontId="497" fillId="25" borderId="348" xfId="5" applyFont="1" applyFill="1" applyBorder="1" applyAlignment="1">
      <alignment horizontal="center" vertical="center"/>
    </xf>
    <xf numFmtId="0" fontId="42" fillId="4" borderId="0" xfId="41" applyFont="1" applyFill="1" applyAlignment="1">
      <alignment horizontal="right" vertical="center"/>
    </xf>
    <xf numFmtId="0" fontId="9" fillId="4" borderId="0" xfId="41" applyFont="1" applyFill="1" applyAlignment="1">
      <alignment horizontal="right" vertical="center"/>
    </xf>
    <xf numFmtId="0" fontId="711" fillId="0" borderId="19" xfId="41" applyFont="1" applyBorder="1" applyAlignment="1">
      <alignment horizontal="center" vertical="center"/>
    </xf>
    <xf numFmtId="0" fontId="712" fillId="6" borderId="349" xfId="41" applyFont="1" applyFill="1" applyBorder="1" applyAlignment="1">
      <alignment horizontal="center" vertical="center"/>
    </xf>
    <xf numFmtId="0" fontId="713" fillId="6" borderId="349" xfId="41" applyFont="1" applyFill="1" applyBorder="1" applyAlignment="1">
      <alignment horizontal="center" vertical="center"/>
    </xf>
    <xf numFmtId="0" fontId="1" fillId="6" borderId="88" xfId="41" applyFill="1" applyBorder="1" applyAlignment="1">
      <alignment vertical="center"/>
    </xf>
    <xf numFmtId="0" fontId="697" fillId="6" borderId="350" xfId="41" applyFont="1" applyFill="1" applyBorder="1" applyAlignment="1">
      <alignment vertical="center"/>
    </xf>
    <xf numFmtId="0" fontId="468" fillId="0" borderId="351" xfId="41" applyFont="1" applyBorder="1" applyAlignment="1">
      <alignment horizontal="center" vertical="center"/>
    </xf>
    <xf numFmtId="0" fontId="1" fillId="3" borderId="0" xfId="41" applyFill="1"/>
    <xf numFmtId="0" fontId="1" fillId="3" borderId="0" xfId="41" applyFill="1" applyAlignment="1">
      <alignment vertical="center"/>
    </xf>
    <xf numFmtId="0" fontId="6" fillId="4" borderId="0" xfId="41" applyFont="1" applyFill="1"/>
    <xf numFmtId="0" fontId="1" fillId="0" borderId="340" xfId="41" applyBorder="1"/>
    <xf numFmtId="0" fontId="699" fillId="0" borderId="341" xfId="41" applyFont="1" applyBorder="1" applyAlignment="1">
      <alignment horizontal="center" vertical="center" wrapText="1"/>
    </xf>
    <xf numFmtId="0" fontId="1" fillId="0" borderId="341" xfId="41" applyBorder="1"/>
    <xf numFmtId="0" fontId="88" fillId="0" borderId="354" xfId="41" applyFont="1" applyBorder="1" applyAlignment="1">
      <alignment horizontal="left" vertical="center"/>
    </xf>
    <xf numFmtId="0" fontId="479" fillId="161" borderId="9" xfId="41" applyFont="1" applyFill="1" applyBorder="1" applyAlignment="1">
      <alignment horizontal="center" vertical="center"/>
    </xf>
    <xf numFmtId="0" fontId="1" fillId="20" borderId="9" xfId="41" applyFill="1" applyBorder="1"/>
    <xf numFmtId="0" fontId="6" fillId="20" borderId="9" xfId="41" applyFont="1" applyFill="1" applyBorder="1"/>
    <xf numFmtId="0" fontId="1" fillId="20" borderId="8" xfId="41" applyFill="1" applyBorder="1" applyAlignment="1">
      <alignment vertical="center"/>
    </xf>
    <xf numFmtId="0" fontId="479" fillId="161" borderId="7" xfId="41" applyFont="1" applyFill="1" applyBorder="1" applyAlignment="1">
      <alignment horizontal="center" vertical="center"/>
    </xf>
    <xf numFmtId="0" fontId="479" fillId="161" borderId="8" xfId="41" applyFont="1" applyFill="1" applyBorder="1" applyAlignment="1">
      <alignment horizontal="center" vertical="center"/>
    </xf>
    <xf numFmtId="0" fontId="9" fillId="4" borderId="0" xfId="41" applyFont="1" applyFill="1" applyAlignment="1">
      <alignment vertical="center"/>
    </xf>
    <xf numFmtId="0" fontId="1" fillId="6" borderId="0" xfId="41" applyFill="1" applyAlignment="1">
      <alignment vertical="center"/>
    </xf>
    <xf numFmtId="0" fontId="333" fillId="4" borderId="0" xfId="41" applyFont="1" applyFill="1" applyAlignment="1">
      <alignment vertical="center"/>
    </xf>
    <xf numFmtId="0" fontId="266" fillId="6" borderId="339" xfId="41" applyFont="1" applyFill="1" applyBorder="1" applyAlignment="1">
      <alignment horizontal="center" vertical="center"/>
    </xf>
    <xf numFmtId="0" fontId="266" fillId="6" borderId="27" xfId="41" applyFont="1" applyFill="1" applyBorder="1" applyAlignment="1">
      <alignment horizontal="center" vertical="center"/>
    </xf>
    <xf numFmtId="0" fontId="409" fillId="107" borderId="339" xfId="41" applyFont="1" applyFill="1" applyBorder="1" applyAlignment="1">
      <alignment horizontal="center" vertical="center"/>
    </xf>
    <xf numFmtId="14" fontId="1" fillId="0" borderId="28" xfId="41" applyNumberFormat="1" applyBorder="1" applyAlignment="1">
      <alignment horizontal="center" vertical="center"/>
    </xf>
    <xf numFmtId="0" fontId="409" fillId="107" borderId="217" xfId="41" applyFont="1" applyFill="1" applyBorder="1" applyAlignment="1">
      <alignment horizontal="right" vertical="center"/>
    </xf>
    <xf numFmtId="0" fontId="690" fillId="0" borderId="0" xfId="41" applyFont="1" applyAlignment="1">
      <alignment vertical="center"/>
    </xf>
    <xf numFmtId="169" fontId="144" fillId="3" borderId="12" xfId="15" applyNumberFormat="1" applyFont="1" applyFill="1" applyBorder="1" applyAlignment="1">
      <alignment vertical="center"/>
    </xf>
    <xf numFmtId="169" fontId="144" fillId="3" borderId="0" xfId="15" applyNumberFormat="1" applyFont="1" applyFill="1" applyAlignment="1">
      <alignment vertical="center"/>
    </xf>
    <xf numFmtId="169" fontId="144" fillId="22" borderId="13" xfId="15" applyNumberFormat="1" applyFont="1" applyFill="1" applyBorder="1" applyAlignment="1">
      <alignment horizontal="left" vertical="center"/>
    </xf>
    <xf numFmtId="169" fontId="144" fillId="22" borderId="13" xfId="15" applyNumberFormat="1" applyFont="1" applyFill="1" applyBorder="1" applyAlignment="1">
      <alignment vertical="center"/>
    </xf>
    <xf numFmtId="0" fontId="27" fillId="22" borderId="351" xfId="1" applyFont="1" applyFill="1" applyBorder="1" applyAlignment="1">
      <alignment vertical="center"/>
    </xf>
    <xf numFmtId="0" fontId="479" fillId="161" borderId="45" xfId="41" applyFont="1" applyFill="1" applyBorder="1" applyAlignment="1">
      <alignment horizontal="center" vertical="center"/>
    </xf>
    <xf numFmtId="0" fontId="479" fillId="161" borderId="44" xfId="41" applyFont="1" applyFill="1" applyBorder="1" applyAlignment="1">
      <alignment horizontal="center" vertical="center"/>
    </xf>
    <xf numFmtId="0" fontId="479" fillId="132" borderId="355" xfId="41" applyFont="1" applyFill="1" applyBorder="1" applyAlignment="1">
      <alignment horizontal="center" vertical="center"/>
    </xf>
    <xf numFmtId="0" fontId="479" fillId="161" borderId="43" xfId="41" applyFont="1" applyFill="1" applyBorder="1" applyAlignment="1">
      <alignment horizontal="center" vertical="center"/>
    </xf>
    <xf numFmtId="0" fontId="12" fillId="4" borderId="12" xfId="41" applyFont="1" applyFill="1" applyBorder="1" applyAlignment="1">
      <alignment vertical="center"/>
    </xf>
    <xf numFmtId="0" fontId="12" fillId="4" borderId="0" xfId="41" applyFont="1" applyFill="1" applyAlignment="1">
      <alignment vertical="center"/>
    </xf>
    <xf numFmtId="0" fontId="41" fillId="4" borderId="0" xfId="41" applyFont="1" applyFill="1" applyAlignment="1">
      <alignment horizontal="left" vertical="center"/>
    </xf>
    <xf numFmtId="0" fontId="12" fillId="4" borderId="0" xfId="41" applyFont="1" applyFill="1" applyAlignment="1" applyProtection="1">
      <alignment vertical="center"/>
      <protection locked="0"/>
    </xf>
    <xf numFmtId="0" fontId="41" fillId="4" borderId="13" xfId="41" applyFont="1" applyFill="1" applyBorder="1" applyAlignment="1">
      <alignment horizontal="left" vertical="center"/>
    </xf>
    <xf numFmtId="0" fontId="41" fillId="46" borderId="0" xfId="41" applyFont="1" applyFill="1" applyAlignment="1">
      <alignment horizontal="left" vertical="center"/>
    </xf>
    <xf numFmtId="1" fontId="472" fillId="4" borderId="12" xfId="10" applyNumberFormat="1" applyFont="1" applyFill="1" applyBorder="1" applyAlignment="1" applyProtection="1">
      <alignment horizontal="center" vertical="center"/>
      <protection locked="0"/>
    </xf>
    <xf numFmtId="176" fontId="468" fillId="4" borderId="0" xfId="41" applyNumberFormat="1" applyFont="1" applyFill="1" applyAlignment="1">
      <alignment horizontal="center" vertical="center"/>
    </xf>
    <xf numFmtId="205" fontId="468" fillId="4" borderId="0" xfId="10" applyNumberFormat="1" applyFont="1" applyFill="1" applyAlignment="1" applyProtection="1">
      <alignment horizontal="center" vertical="center"/>
      <protection locked="0"/>
    </xf>
    <xf numFmtId="174" fontId="468" fillId="4" borderId="0" xfId="41" applyNumberFormat="1" applyFont="1" applyFill="1" applyAlignment="1">
      <alignment horizontal="center" vertical="center"/>
    </xf>
    <xf numFmtId="0" fontId="409" fillId="4" borderId="0" xfId="41" applyFont="1" applyFill="1" applyAlignment="1">
      <alignment vertical="center"/>
    </xf>
    <xf numFmtId="1" fontId="468" fillId="4" borderId="0" xfId="10" applyNumberFormat="1" applyFont="1" applyFill="1" applyAlignment="1" applyProtection="1">
      <alignment horizontal="center" vertical="center"/>
      <protection locked="0"/>
    </xf>
    <xf numFmtId="1" fontId="468" fillId="4" borderId="0" xfId="41" applyNumberFormat="1" applyFont="1" applyFill="1" applyAlignment="1">
      <alignment horizontal="center" vertical="center"/>
    </xf>
    <xf numFmtId="0" fontId="717" fillId="4" borderId="13" xfId="41" applyFont="1" applyFill="1" applyBorder="1" applyAlignment="1">
      <alignment horizontal="center" vertical="center"/>
    </xf>
    <xf numFmtId="0" fontId="409" fillId="3" borderId="0" xfId="41" applyFont="1" applyFill="1" applyAlignment="1">
      <alignment vertical="center"/>
    </xf>
    <xf numFmtId="0" fontId="409" fillId="3" borderId="345" xfId="41" applyFont="1" applyFill="1" applyBorder="1" applyAlignment="1">
      <alignment vertical="center"/>
    </xf>
    <xf numFmtId="1" fontId="88" fillId="0" borderId="344" xfId="10" applyNumberFormat="1" applyBorder="1" applyAlignment="1" applyProtection="1">
      <alignment horizontal="left" vertical="center"/>
      <protection locked="0"/>
    </xf>
    <xf numFmtId="176" fontId="154" fillId="0" borderId="345" xfId="41" applyNumberFormat="1" applyFont="1" applyBorder="1" applyAlignment="1">
      <alignment horizontal="center" vertical="center"/>
    </xf>
    <xf numFmtId="205" fontId="154" fillId="0" borderId="118" xfId="10" applyNumberFormat="1" applyFont="1" applyBorder="1" applyAlignment="1" applyProtection="1">
      <alignment horizontal="right" vertical="center"/>
      <protection locked="0"/>
    </xf>
    <xf numFmtId="0" fontId="154" fillId="0" borderId="112" xfId="41" applyFont="1" applyBorder="1" applyAlignment="1">
      <alignment horizontal="center" vertical="center"/>
    </xf>
    <xf numFmtId="0" fontId="419" fillId="33" borderId="119" xfId="10" applyFont="1" applyFill="1" applyBorder="1" applyAlignment="1" applyProtection="1">
      <alignment horizontal="center" vertical="center"/>
      <protection locked="0"/>
    </xf>
    <xf numFmtId="1" fontId="6" fillId="0" borderId="345" xfId="10" applyNumberFormat="1" applyFont="1" applyBorder="1" applyAlignment="1" applyProtection="1">
      <alignment horizontal="left" vertical="center"/>
      <protection locked="0"/>
    </xf>
    <xf numFmtId="205" fontId="154" fillId="0" borderId="345" xfId="10" applyNumberFormat="1" applyFont="1" applyBorder="1" applyAlignment="1" applyProtection="1">
      <alignment horizontal="right" vertical="center"/>
      <protection locked="0"/>
    </xf>
    <xf numFmtId="2" fontId="409" fillId="6" borderId="112" xfId="41" applyNumberFormat="1" applyFont="1" applyFill="1" applyBorder="1" applyAlignment="1" applyProtection="1">
      <alignment horizontal="center" vertical="center"/>
      <protection locked="0"/>
    </xf>
    <xf numFmtId="0" fontId="133" fillId="0" borderId="345" xfId="10" applyFont="1" applyBorder="1" applyAlignment="1" applyProtection="1">
      <alignment horizontal="center" vertical="center"/>
      <protection locked="0"/>
    </xf>
    <xf numFmtId="0" fontId="419" fillId="33" borderId="345" xfId="10" applyFont="1" applyFill="1" applyBorder="1" applyAlignment="1" applyProtection="1">
      <alignment horizontal="center" vertical="center"/>
      <protection locked="0"/>
    </xf>
    <xf numFmtId="0" fontId="718" fillId="25" borderId="345" xfId="41" applyFont="1" applyFill="1" applyBorder="1" applyAlignment="1">
      <alignment horizontal="center" vertical="center" wrapText="1"/>
    </xf>
    <xf numFmtId="1" fontId="154" fillId="0" borderId="217" xfId="41" applyNumberFormat="1" applyFont="1" applyBorder="1" applyAlignment="1">
      <alignment horizontal="center" vertical="center"/>
    </xf>
    <xf numFmtId="0" fontId="409" fillId="0" borderId="356" xfId="41" applyFont="1" applyBorder="1" applyAlignment="1">
      <alignment horizontal="center" vertical="center"/>
    </xf>
    <xf numFmtId="1" fontId="88" fillId="0" borderId="224" xfId="10" applyNumberFormat="1" applyBorder="1" applyAlignment="1" applyProtection="1">
      <alignment horizontal="left" vertical="center"/>
      <protection locked="0"/>
    </xf>
    <xf numFmtId="176" fontId="154" fillId="0" borderId="28" xfId="41" applyNumberFormat="1" applyFont="1" applyBorder="1" applyAlignment="1">
      <alignment horizontal="center" vertical="center"/>
    </xf>
    <xf numFmtId="205" fontId="154" fillId="0" borderId="27" xfId="10" applyNumberFormat="1" applyFont="1" applyBorder="1" applyAlignment="1" applyProtection="1">
      <alignment horizontal="right" vertical="center"/>
      <protection locked="0"/>
    </xf>
    <xf numFmtId="0" fontId="154" fillId="0" borderId="339" xfId="41" applyFont="1" applyBorder="1" applyAlignment="1">
      <alignment horizontal="center" vertical="center"/>
    </xf>
    <xf numFmtId="0" fontId="419" fillId="33" borderId="117" xfId="10" applyFont="1" applyFill="1" applyBorder="1" applyAlignment="1" applyProtection="1">
      <alignment horizontal="center" vertical="center"/>
      <protection locked="0"/>
    </xf>
    <xf numFmtId="1" fontId="6" fillId="0" borderId="28" xfId="10" applyNumberFormat="1" applyFont="1" applyBorder="1" applyAlignment="1" applyProtection="1">
      <alignment horizontal="left" vertical="center"/>
      <protection locked="0"/>
    </xf>
    <xf numFmtId="205" fontId="154" fillId="0" borderId="28" xfId="10" applyNumberFormat="1" applyFont="1" applyBorder="1" applyAlignment="1" applyProtection="1">
      <alignment horizontal="right" vertical="center"/>
      <protection locked="0"/>
    </xf>
    <xf numFmtId="2" fontId="409" fillId="6" borderId="339" xfId="41" applyNumberFormat="1" applyFont="1" applyFill="1" applyBorder="1" applyAlignment="1" applyProtection="1">
      <alignment horizontal="center" vertical="center"/>
      <protection locked="0"/>
    </xf>
    <xf numFmtId="0" fontId="133" fillId="0" borderId="28" xfId="10" applyFont="1" applyBorder="1" applyAlignment="1" applyProtection="1">
      <alignment horizontal="center" vertical="center"/>
      <protection locked="0"/>
    </xf>
    <xf numFmtId="0" fontId="419" fillId="33" borderId="28" xfId="10" applyFont="1" applyFill="1" applyBorder="1" applyAlignment="1" applyProtection="1">
      <alignment horizontal="center" vertical="center"/>
      <protection locked="0"/>
    </xf>
    <xf numFmtId="0" fontId="718" fillId="25" borderId="28" xfId="41" applyFont="1" applyFill="1" applyBorder="1" applyAlignment="1">
      <alignment horizontal="center" vertical="center" wrapText="1"/>
    </xf>
    <xf numFmtId="0" fontId="6" fillId="4" borderId="0" xfId="41" applyFont="1" applyFill="1" applyAlignment="1">
      <alignment vertical="center"/>
    </xf>
    <xf numFmtId="0" fontId="409" fillId="46" borderId="356" xfId="41" applyFont="1" applyFill="1" applyBorder="1" applyAlignment="1">
      <alignment horizontal="center" vertical="center"/>
    </xf>
    <xf numFmtId="0" fontId="721" fillId="4" borderId="0" xfId="41" applyFont="1" applyFill="1" applyAlignment="1">
      <alignment vertical="center"/>
    </xf>
    <xf numFmtId="0" fontId="284" fillId="3" borderId="345" xfId="41" applyFont="1" applyFill="1" applyBorder="1" applyAlignment="1">
      <alignment horizontal="center" vertical="center"/>
    </xf>
    <xf numFmtId="1" fontId="468" fillId="3" borderId="345" xfId="41" applyNumberFormat="1" applyFont="1" applyFill="1" applyBorder="1" applyAlignment="1">
      <alignment horizontal="center" vertical="center"/>
    </xf>
    <xf numFmtId="0" fontId="717" fillId="3" borderId="93" xfId="41" applyFont="1" applyFill="1" applyBorder="1" applyAlignment="1">
      <alignment horizontal="center" vertical="center"/>
    </xf>
    <xf numFmtId="165" fontId="697" fillId="0" borderId="339" xfId="41" applyNumberFormat="1" applyFont="1" applyBorder="1" applyAlignment="1">
      <alignment horizontal="centerContinuous" vertical="center"/>
    </xf>
    <xf numFmtId="165" fontId="697" fillId="0" borderId="27" xfId="41" applyNumberFormat="1" applyFont="1" applyBorder="1" applyAlignment="1">
      <alignment horizontal="centerContinuous" vertical="center"/>
    </xf>
    <xf numFmtId="173" fontId="420" fillId="25" borderId="217" xfId="41" applyNumberFormat="1" applyFont="1" applyFill="1" applyBorder="1" applyAlignment="1" applyProtection="1">
      <alignment horizontal="center" vertical="center"/>
      <protection locked="0"/>
    </xf>
    <xf numFmtId="165" fontId="423" fillId="25" borderId="217" xfId="41" applyNumberFormat="1" applyFont="1" applyFill="1" applyBorder="1" applyAlignment="1">
      <alignment horizontal="center" vertical="center"/>
    </xf>
    <xf numFmtId="0" fontId="409" fillId="115" borderId="344" xfId="41" applyFont="1" applyFill="1" applyBorder="1" applyAlignment="1">
      <alignment horizontal="left" vertical="center"/>
    </xf>
    <xf numFmtId="0" fontId="409" fillId="115" borderId="345" xfId="41" applyFont="1" applyFill="1" applyBorder="1" applyAlignment="1">
      <alignment horizontal="left" vertical="center"/>
    </xf>
    <xf numFmtId="0" fontId="88" fillId="115" borderId="345" xfId="41" applyFont="1" applyFill="1" applyBorder="1" applyAlignment="1">
      <alignment horizontal="left" vertical="center"/>
    </xf>
    <xf numFmtId="1" fontId="6" fillId="0" borderId="224" xfId="10" applyNumberFormat="1" applyFont="1" applyBorder="1" applyAlignment="1" applyProtection="1">
      <alignment horizontal="left" vertical="center"/>
      <protection locked="0"/>
    </xf>
    <xf numFmtId="174" fontId="154" fillId="0" borderId="339" xfId="41" applyNumberFormat="1" applyFont="1" applyBorder="1" applyAlignment="1">
      <alignment horizontal="center" vertical="center"/>
    </xf>
    <xf numFmtId="2" fontId="154" fillId="6" borderId="339" xfId="41" applyNumberFormat="1" applyFont="1" applyFill="1" applyBorder="1" applyAlignment="1" applyProtection="1">
      <alignment horizontal="center" vertical="center"/>
      <protection locked="0"/>
    </xf>
    <xf numFmtId="0" fontId="481" fillId="3" borderId="41" xfId="41" applyFont="1" applyFill="1" applyBorder="1" applyAlignment="1">
      <alignment vertical="top" wrapText="1"/>
    </xf>
    <xf numFmtId="0" fontId="481" fillId="3" borderId="189" xfId="41" applyFont="1" applyFill="1" applyBorder="1" applyAlignment="1">
      <alignment vertical="top" wrapText="1"/>
    </xf>
    <xf numFmtId="165" fontId="468" fillId="3" borderId="189" xfId="41" applyNumberFormat="1" applyFont="1" applyFill="1" applyBorder="1" applyAlignment="1">
      <alignment vertical="center"/>
    </xf>
    <xf numFmtId="2" fontId="468" fillId="3" borderId="189" xfId="41" applyNumberFormat="1" applyFont="1" applyFill="1" applyBorder="1" applyAlignment="1">
      <alignment vertical="center"/>
    </xf>
    <xf numFmtId="0" fontId="1" fillId="3" borderId="189" xfId="41" applyFill="1" applyBorder="1" applyAlignment="1">
      <alignment vertical="center"/>
    </xf>
    <xf numFmtId="0" fontId="284" fillId="3" borderId="189" xfId="41" applyFont="1" applyFill="1" applyBorder="1" applyAlignment="1">
      <alignment horizontal="center" vertical="center"/>
    </xf>
    <xf numFmtId="1" fontId="697" fillId="3" borderId="189" xfId="41" applyNumberFormat="1" applyFont="1" applyFill="1" applyBorder="1" applyAlignment="1">
      <alignment horizontal="center" vertical="center"/>
    </xf>
    <xf numFmtId="0" fontId="723" fillId="3" borderId="91" xfId="41" applyFont="1" applyFill="1" applyBorder="1" applyAlignment="1">
      <alignment horizontal="right" vertical="center"/>
    </xf>
    <xf numFmtId="165" fontId="697" fillId="4" borderId="112" xfId="41" applyNumberFormat="1" applyFont="1" applyFill="1" applyBorder="1" applyAlignment="1">
      <alignment vertical="center"/>
    </xf>
    <xf numFmtId="165" fontId="697" fillId="0" borderId="118" xfId="41" applyNumberFormat="1" applyFont="1" applyBorder="1" applyAlignment="1">
      <alignment horizontal="center" vertical="center"/>
    </xf>
    <xf numFmtId="165" fontId="409" fillId="0" borderId="118" xfId="41" applyNumberFormat="1" applyFont="1" applyBorder="1" applyAlignment="1">
      <alignment vertical="center"/>
    </xf>
    <xf numFmtId="174" fontId="133" fillId="0" borderId="232" xfId="10" applyNumberFormat="1" applyFont="1" applyBorder="1" applyAlignment="1" applyProtection="1">
      <alignment horizontal="center" vertical="center"/>
      <protection locked="0"/>
    </xf>
    <xf numFmtId="165" fontId="6" fillId="6" borderId="118" xfId="41" applyNumberFormat="1" applyFont="1" applyFill="1" applyBorder="1" applyAlignment="1">
      <alignment vertical="center"/>
    </xf>
    <xf numFmtId="173" fontId="420" fillId="25" borderId="232" xfId="41" applyNumberFormat="1" applyFont="1" applyFill="1" applyBorder="1" applyAlignment="1" applyProtection="1">
      <alignment horizontal="center" vertical="center"/>
      <protection locked="0"/>
    </xf>
    <xf numFmtId="165" fontId="423" fillId="25" borderId="232" xfId="41" applyNumberFormat="1" applyFont="1" applyFill="1" applyBorder="1" applyAlignment="1">
      <alignment horizontal="center" vertical="center"/>
    </xf>
    <xf numFmtId="1" fontId="154" fillId="0" borderId="232" xfId="41" applyNumberFormat="1" applyFont="1" applyBorder="1" applyAlignment="1">
      <alignment horizontal="center" vertical="center"/>
    </xf>
    <xf numFmtId="0" fontId="409" fillId="0" borderId="362" xfId="41" applyFont="1" applyBorder="1" applyAlignment="1">
      <alignment horizontal="center" vertical="center"/>
    </xf>
    <xf numFmtId="165" fontId="697" fillId="4" borderId="339" xfId="41" applyNumberFormat="1" applyFont="1" applyFill="1" applyBorder="1" applyAlignment="1">
      <alignment vertical="center"/>
    </xf>
    <xf numFmtId="165" fontId="697" fillId="0" borderId="27" xfId="41" applyNumberFormat="1" applyFont="1" applyBorder="1" applyAlignment="1">
      <alignment horizontal="center" vertical="center"/>
    </xf>
    <xf numFmtId="165" fontId="409" fillId="0" borderId="27" xfId="41" applyNumberFormat="1" applyFont="1" applyBorder="1" applyAlignment="1">
      <alignment vertical="center"/>
    </xf>
    <xf numFmtId="174" fontId="133" fillId="0" borderId="217" xfId="10" applyNumberFormat="1" applyFont="1" applyBorder="1" applyAlignment="1" applyProtection="1">
      <alignment horizontal="center" vertical="center"/>
      <protection locked="0"/>
    </xf>
    <xf numFmtId="165" fontId="6" fillId="6" borderId="27" xfId="41" applyNumberFormat="1" applyFont="1" applyFill="1" applyBorder="1" applyAlignment="1">
      <alignment vertical="center"/>
    </xf>
    <xf numFmtId="0" fontId="1" fillId="4" borderId="340" xfId="41" applyFill="1" applyBorder="1" applyAlignment="1">
      <alignment vertical="center"/>
    </xf>
    <xf numFmtId="0" fontId="1" fillId="4" borderId="341" xfId="41" applyFill="1" applyBorder="1" applyAlignment="1">
      <alignment vertical="center"/>
    </xf>
    <xf numFmtId="0" fontId="1" fillId="0" borderId="341" xfId="41" applyBorder="1" applyAlignment="1">
      <alignment vertical="center"/>
    </xf>
    <xf numFmtId="0" fontId="1" fillId="4" borderId="344" xfId="41" applyFill="1" applyBorder="1" applyAlignment="1">
      <alignment vertical="center"/>
    </xf>
    <xf numFmtId="0" fontId="1" fillId="4" borderId="345" xfId="41" applyFill="1" applyBorder="1" applyAlignment="1">
      <alignment vertical="center"/>
    </xf>
    <xf numFmtId="0" fontId="1" fillId="0" borderId="345" xfId="41" applyBorder="1" applyAlignment="1">
      <alignment vertical="center"/>
    </xf>
    <xf numFmtId="0" fontId="479" fillId="161" borderId="12" xfId="41" applyFont="1" applyFill="1" applyBorder="1" applyAlignment="1">
      <alignment horizontal="centerContinuous" vertical="center"/>
    </xf>
    <xf numFmtId="0" fontId="479" fillId="161" borderId="0" xfId="41" applyFont="1" applyFill="1" applyAlignment="1">
      <alignment horizontal="centerContinuous" vertical="center"/>
    </xf>
    <xf numFmtId="0" fontId="479" fillId="161" borderId="13" xfId="41" applyFont="1" applyFill="1" applyBorder="1" applyAlignment="1">
      <alignment horizontal="centerContinuous" vertical="center"/>
    </xf>
    <xf numFmtId="1" fontId="6" fillId="0" borderId="344" xfId="10" applyNumberFormat="1" applyFont="1" applyBorder="1" applyAlignment="1" applyProtection="1">
      <alignment horizontal="left" vertical="center"/>
      <protection locked="0"/>
    </xf>
    <xf numFmtId="174" fontId="154" fillId="6" borderId="112" xfId="41" applyNumberFormat="1" applyFont="1" applyFill="1" applyBorder="1" applyAlignment="1" applyProtection="1">
      <alignment horizontal="center" vertical="center"/>
      <protection locked="0"/>
    </xf>
    <xf numFmtId="0" fontId="409" fillId="6" borderId="232" xfId="41" applyFont="1" applyFill="1" applyBorder="1" applyAlignment="1">
      <alignment horizontal="center" vertical="center"/>
    </xf>
    <xf numFmtId="174" fontId="154" fillId="6" borderId="339" xfId="41" applyNumberFormat="1" applyFont="1" applyFill="1" applyBorder="1" applyAlignment="1" applyProtection="1">
      <alignment horizontal="center" vertical="center"/>
      <protection locked="0"/>
    </xf>
    <xf numFmtId="0" fontId="409" fillId="6" borderId="217" xfId="41" applyFont="1" applyFill="1" applyBorder="1" applyAlignment="1">
      <alignment horizontal="center" vertical="center"/>
    </xf>
    <xf numFmtId="1" fontId="409" fillId="6" borderId="217" xfId="41" applyNumberFormat="1" applyFont="1" applyFill="1" applyBorder="1" applyAlignment="1">
      <alignment horizontal="center" vertical="center"/>
    </xf>
    <xf numFmtId="0" fontId="419" fillId="3" borderId="41" xfId="41" applyFont="1" applyFill="1" applyBorder="1" applyAlignment="1">
      <alignment vertical="top"/>
    </xf>
    <xf numFmtId="0" fontId="419" fillId="3" borderId="189" xfId="41" applyFont="1" applyFill="1" applyBorder="1" applyAlignment="1">
      <alignment vertical="top"/>
    </xf>
    <xf numFmtId="0" fontId="409" fillId="3" borderId="189" xfId="41" applyFont="1" applyFill="1" applyBorder="1" applyAlignment="1">
      <alignment vertical="center"/>
    </xf>
    <xf numFmtId="2" fontId="472" fillId="3" borderId="189" xfId="41" applyNumberFormat="1" applyFont="1" applyFill="1" applyBorder="1" applyAlignment="1">
      <alignment horizontal="center" vertical="center"/>
    </xf>
    <xf numFmtId="0" fontId="409" fillId="3" borderId="189" xfId="41" applyFont="1" applyFill="1" applyBorder="1" applyAlignment="1">
      <alignment horizontal="right" vertical="center"/>
    </xf>
    <xf numFmtId="0" fontId="419" fillId="3" borderId="12" xfId="41" applyFont="1" applyFill="1" applyBorder="1" applyAlignment="1">
      <alignment vertical="top"/>
    </xf>
    <xf numFmtId="0" fontId="419" fillId="3" borderId="0" xfId="41" applyFont="1" applyFill="1" applyAlignment="1">
      <alignment vertical="top"/>
    </xf>
    <xf numFmtId="2" fontId="472" fillId="3" borderId="0" xfId="41" applyNumberFormat="1" applyFont="1" applyFill="1" applyAlignment="1">
      <alignment horizontal="center" vertical="center"/>
    </xf>
    <xf numFmtId="0" fontId="409" fillId="3" borderId="0" xfId="41" applyFont="1" applyFill="1" applyAlignment="1">
      <alignment horizontal="right" vertical="center"/>
    </xf>
    <xf numFmtId="165" fontId="697" fillId="4" borderId="27" xfId="41" applyNumberFormat="1" applyFont="1" applyFill="1" applyBorder="1" applyAlignment="1">
      <alignment vertical="center"/>
    </xf>
    <xf numFmtId="165" fontId="409" fillId="6" borderId="27" xfId="41" applyNumberFormat="1" applyFont="1" applyFill="1" applyBorder="1" applyAlignment="1">
      <alignment vertical="center"/>
    </xf>
    <xf numFmtId="0" fontId="423" fillId="25" borderId="217" xfId="10" applyFont="1" applyFill="1" applyBorder="1" applyAlignment="1" applyProtection="1">
      <alignment horizontal="center" vertical="center"/>
      <protection locked="0"/>
    </xf>
    <xf numFmtId="0" fontId="725" fillId="25" borderId="27" xfId="41" applyFont="1" applyFill="1" applyBorder="1" applyAlignment="1">
      <alignment horizontal="center" vertical="center"/>
    </xf>
    <xf numFmtId="0" fontId="481" fillId="4" borderId="12" xfId="41" applyFont="1" applyFill="1" applyBorder="1" applyAlignment="1">
      <alignment vertical="top"/>
    </xf>
    <xf numFmtId="0" fontId="472" fillId="4" borderId="0" xfId="41" applyFont="1" applyFill="1" applyAlignment="1">
      <alignment vertical="center"/>
    </xf>
    <xf numFmtId="173" fontId="698" fillId="56" borderId="28" xfId="41" applyNumberFormat="1" applyFont="1" applyFill="1" applyBorder="1" applyAlignment="1" applyProtection="1">
      <alignment horizontal="center" vertical="center"/>
      <protection locked="0"/>
    </xf>
    <xf numFmtId="0" fontId="699" fillId="25" borderId="217" xfId="41" applyFont="1" applyFill="1" applyBorder="1" applyAlignment="1">
      <alignment horizontal="center" vertical="center"/>
    </xf>
    <xf numFmtId="0" fontId="699" fillId="25" borderId="27" xfId="41" applyFont="1" applyFill="1" applyBorder="1" applyAlignment="1">
      <alignment horizontal="center" vertical="center"/>
    </xf>
    <xf numFmtId="0" fontId="409" fillId="115" borderId="12" xfId="41" applyFont="1" applyFill="1" applyBorder="1" applyAlignment="1">
      <alignment horizontal="left" vertical="center"/>
    </xf>
    <xf numFmtId="0" fontId="409" fillId="115" borderId="0" xfId="41" applyFont="1" applyFill="1" applyAlignment="1">
      <alignment horizontal="left" vertical="center"/>
    </xf>
    <xf numFmtId="0" fontId="88" fillId="115" borderId="0" xfId="41" applyFont="1" applyFill="1" applyAlignment="1">
      <alignment horizontal="left" vertical="center"/>
    </xf>
    <xf numFmtId="0" fontId="88" fillId="115" borderId="118" xfId="41" applyFont="1" applyFill="1" applyBorder="1" applyAlignment="1">
      <alignment horizontal="left" vertical="center"/>
    </xf>
    <xf numFmtId="1" fontId="12" fillId="4" borderId="190" xfId="10" applyNumberFormat="1" applyFont="1" applyFill="1" applyBorder="1" applyAlignment="1" applyProtection="1">
      <alignment horizontal="left" vertical="center"/>
      <protection locked="0"/>
    </xf>
    <xf numFmtId="176" fontId="33" fillId="4" borderId="189" xfId="41" applyNumberFormat="1" applyFont="1" applyFill="1" applyBorder="1" applyAlignment="1">
      <alignment horizontal="center" vertical="center"/>
    </xf>
    <xf numFmtId="175" fontId="33" fillId="4" borderId="352" xfId="10" applyNumberFormat="1" applyFont="1" applyFill="1" applyBorder="1" applyAlignment="1" applyProtection="1">
      <alignment horizontal="right" vertical="center"/>
      <protection locked="0"/>
    </xf>
    <xf numFmtId="1" fontId="12" fillId="4" borderId="353" xfId="10" applyNumberFormat="1" applyFont="1" applyFill="1" applyBorder="1" applyAlignment="1" applyProtection="1">
      <alignment horizontal="left" vertical="center"/>
      <protection locked="0"/>
    </xf>
    <xf numFmtId="0" fontId="18" fillId="4" borderId="189" xfId="10" applyFont="1" applyFill="1" applyBorder="1" applyAlignment="1" applyProtection="1">
      <alignment horizontal="left" vertical="center"/>
      <protection locked="0"/>
    </xf>
    <xf numFmtId="0" fontId="18" fillId="4" borderId="352" xfId="10" applyFont="1" applyFill="1" applyBorder="1" applyAlignment="1" applyProtection="1">
      <alignment horizontal="right" vertical="center"/>
      <protection locked="0"/>
    </xf>
    <xf numFmtId="1" fontId="727" fillId="33" borderId="353" xfId="10" applyNumberFormat="1" applyFont="1" applyFill="1" applyBorder="1" applyAlignment="1" applyProtection="1">
      <alignment horizontal="center" vertical="center"/>
      <protection locked="0"/>
    </xf>
    <xf numFmtId="0" fontId="89" fillId="33" borderId="189" xfId="10" applyFont="1" applyFill="1" applyBorder="1" applyAlignment="1" applyProtection="1">
      <alignment horizontal="center" vertical="center"/>
      <protection locked="0"/>
    </xf>
    <xf numFmtId="0" fontId="88" fillId="4" borderId="364" xfId="10" applyFill="1" applyBorder="1" applyAlignment="1">
      <alignment horizontal="centerContinuous" vertical="center"/>
    </xf>
    <xf numFmtId="0" fontId="88" fillId="4" borderId="345" xfId="10" applyFill="1" applyBorder="1" applyAlignment="1">
      <alignment horizontal="centerContinuous" vertical="center"/>
    </xf>
    <xf numFmtId="0" fontId="728" fillId="4" borderId="345" xfId="10" applyFont="1" applyFill="1" applyBorder="1" applyAlignment="1" applyProtection="1">
      <alignment horizontal="centerContinuous" vertical="center"/>
      <protection locked="0"/>
    </xf>
    <xf numFmtId="0" fontId="728" fillId="4" borderId="118" xfId="10" applyFont="1" applyFill="1" applyBorder="1" applyAlignment="1" applyProtection="1">
      <alignment horizontal="centerContinuous" vertical="center"/>
      <protection locked="0"/>
    </xf>
    <xf numFmtId="0" fontId="409" fillId="0" borderId="365" xfId="10" applyFont="1" applyBorder="1" applyAlignment="1" applyProtection="1">
      <alignment horizontal="center" vertical="center" wrapText="1"/>
      <protection locked="0"/>
    </xf>
    <xf numFmtId="0" fontId="409" fillId="0" borderId="232" xfId="10" applyFont="1" applyBorder="1" applyAlignment="1" applyProtection="1">
      <alignment horizontal="center" vertical="center" wrapText="1"/>
      <protection locked="0"/>
    </xf>
    <xf numFmtId="0" fontId="6" fillId="0" borderId="232" xfId="10" applyFont="1" applyBorder="1" applyAlignment="1" applyProtection="1">
      <alignment horizontal="center" vertical="center" wrapText="1"/>
      <protection locked="0"/>
    </xf>
    <xf numFmtId="0" fontId="107" fillId="4" borderId="0" xfId="10" applyFont="1" applyFill="1"/>
    <xf numFmtId="0" fontId="278" fillId="69" borderId="366" xfId="10" applyFont="1" applyFill="1" applyBorder="1" applyAlignment="1">
      <alignment horizontal="right" vertical="center"/>
    </xf>
    <xf numFmtId="0" fontId="732" fillId="69" borderId="341" xfId="10" applyFont="1" applyFill="1" applyBorder="1" applyAlignment="1">
      <alignment horizontal="centerContinuous" vertical="center"/>
    </xf>
    <xf numFmtId="0" fontId="733" fillId="69" borderId="341" xfId="10" applyFont="1" applyFill="1" applyBorder="1" applyAlignment="1">
      <alignment horizontal="centerContinuous" vertical="center"/>
    </xf>
    <xf numFmtId="0" fontId="732" fillId="69" borderId="341" xfId="10" applyFont="1" applyFill="1" applyBorder="1" applyAlignment="1">
      <alignment horizontal="left" vertical="center"/>
    </xf>
    <xf numFmtId="0" fontId="266" fillId="69" borderId="341" xfId="10" applyFont="1" applyFill="1" applyBorder="1" applyAlignment="1">
      <alignment horizontal="left" vertical="center"/>
    </xf>
    <xf numFmtId="0" fontId="186" fillId="69" borderId="342" xfId="10" applyFont="1" applyFill="1" applyBorder="1" applyAlignment="1">
      <alignment horizontal="left" vertical="center"/>
    </xf>
    <xf numFmtId="0" fontId="107" fillId="0" borderId="0" xfId="10" applyFont="1"/>
    <xf numFmtId="0" fontId="179" fillId="69" borderId="367" xfId="10" applyFont="1" applyFill="1" applyBorder="1" applyAlignment="1">
      <alignment horizontal="right" vertical="center"/>
    </xf>
    <xf numFmtId="0" fontId="732" fillId="69" borderId="368" xfId="10" applyFont="1" applyFill="1" applyBorder="1" applyAlignment="1">
      <alignment horizontal="centerContinuous" vertical="center"/>
    </xf>
    <xf numFmtId="0" fontId="733" fillId="69" borderId="368" xfId="10" applyFont="1" applyFill="1" applyBorder="1" applyAlignment="1">
      <alignment horizontal="centerContinuous" vertical="center"/>
    </xf>
    <xf numFmtId="0" fontId="732" fillId="69" borderId="368" xfId="10" applyFont="1" applyFill="1" applyBorder="1" applyAlignment="1">
      <alignment horizontal="left" vertical="center"/>
    </xf>
    <xf numFmtId="0" fontId="266" fillId="69" borderId="368" xfId="10" applyFont="1" applyFill="1" applyBorder="1" applyAlignment="1">
      <alignment horizontal="left" vertical="center"/>
    </xf>
    <xf numFmtId="0" fontId="179" fillId="69" borderId="361" xfId="10" applyFont="1" applyFill="1" applyBorder="1" applyAlignment="1">
      <alignment horizontal="left" vertical="center"/>
    </xf>
    <xf numFmtId="0" fontId="23" fillId="0" borderId="0" xfId="5" applyAlignment="1">
      <alignment vertical="center"/>
    </xf>
    <xf numFmtId="0" fontId="88" fillId="4" borderId="0" xfId="10" applyFill="1"/>
    <xf numFmtId="1" fontId="115" fillId="4" borderId="190" xfId="10" applyNumberFormat="1" applyFont="1" applyFill="1" applyBorder="1" applyAlignment="1" applyProtection="1">
      <alignment horizontal="left" vertical="center"/>
      <protection locked="0"/>
    </xf>
    <xf numFmtId="176" fontId="18" fillId="4" borderId="189" xfId="41" applyNumberFormat="1" applyFont="1" applyFill="1" applyBorder="1" applyAlignment="1">
      <alignment horizontal="center" vertical="center"/>
    </xf>
    <xf numFmtId="175" fontId="18" fillId="4" borderId="352" xfId="10" applyNumberFormat="1" applyFont="1" applyFill="1" applyBorder="1" applyAlignment="1" applyProtection="1">
      <alignment horizontal="right" vertical="center"/>
      <protection locked="0"/>
    </xf>
    <xf numFmtId="1" fontId="115" fillId="4" borderId="353" xfId="10" applyNumberFormat="1" applyFont="1" applyFill="1" applyBorder="1" applyAlignment="1" applyProtection="1">
      <alignment horizontal="left" vertical="center"/>
      <protection locked="0"/>
    </xf>
    <xf numFmtId="174" fontId="18" fillId="4" borderId="89" xfId="10" applyNumberFormat="1" applyFont="1" applyFill="1" applyBorder="1" applyAlignment="1" applyProtection="1">
      <alignment horizontal="center" vertical="center"/>
      <protection locked="0"/>
    </xf>
    <xf numFmtId="1" fontId="727" fillId="33" borderId="190" xfId="10" applyNumberFormat="1" applyFont="1" applyFill="1" applyBorder="1" applyAlignment="1" applyProtection="1">
      <alignment horizontal="center" vertical="center"/>
      <protection locked="0"/>
    </xf>
    <xf numFmtId="0" fontId="111" fillId="33" borderId="189" xfId="10" applyFont="1" applyFill="1" applyBorder="1" applyAlignment="1" applyProtection="1">
      <alignment horizontal="center" vertical="center"/>
      <protection locked="0"/>
    </xf>
    <xf numFmtId="0" fontId="409" fillId="4" borderId="92" xfId="10" applyFont="1" applyFill="1" applyBorder="1" applyAlignment="1" applyProtection="1">
      <alignment horizontal="center" vertical="center" wrapText="1"/>
      <protection locked="0"/>
    </xf>
    <xf numFmtId="0" fontId="734" fillId="0" borderId="232" xfId="10" applyFont="1" applyBorder="1" applyAlignment="1" applyProtection="1">
      <alignment horizontal="center" vertical="center" wrapText="1"/>
      <protection locked="0"/>
    </xf>
    <xf numFmtId="0" fontId="6" fillId="4" borderId="0" xfId="10" applyFont="1" applyFill="1"/>
    <xf numFmtId="0" fontId="278" fillId="183" borderId="366" xfId="10" applyFont="1" applyFill="1" applyBorder="1" applyAlignment="1">
      <alignment horizontal="right" vertical="center"/>
    </xf>
    <xf numFmtId="0" fontId="732" fillId="183" borderId="341" xfId="10" applyFont="1" applyFill="1" applyBorder="1" applyAlignment="1">
      <alignment horizontal="centerContinuous" vertical="center"/>
    </xf>
    <xf numFmtId="0" fontId="733" fillId="183" borderId="341" xfId="10" applyFont="1" applyFill="1" applyBorder="1" applyAlignment="1">
      <alignment horizontal="centerContinuous" vertical="center"/>
    </xf>
    <xf numFmtId="0" fontId="732" fillId="183" borderId="341" xfId="10" applyFont="1" applyFill="1" applyBorder="1" applyAlignment="1">
      <alignment horizontal="left" vertical="center"/>
    </xf>
    <xf numFmtId="0" fontId="266" fillId="183" borderId="341" xfId="10" applyFont="1" applyFill="1" applyBorder="1" applyAlignment="1">
      <alignment horizontal="left" vertical="center"/>
    </xf>
    <xf numFmtId="0" fontId="186" fillId="183" borderId="342" xfId="10" applyFont="1" applyFill="1" applyBorder="1" applyAlignment="1">
      <alignment horizontal="left" vertical="center"/>
    </xf>
    <xf numFmtId="0" fontId="179" fillId="183" borderId="367" xfId="10" applyFont="1" applyFill="1" applyBorder="1" applyAlignment="1">
      <alignment horizontal="right" vertical="center"/>
    </xf>
    <xf numFmtId="0" fontId="732" fillId="183" borderId="368" xfId="10" applyFont="1" applyFill="1" applyBorder="1" applyAlignment="1">
      <alignment horizontal="centerContinuous" vertical="center"/>
    </xf>
    <xf numFmtId="0" fontId="733" fillId="183" borderId="368" xfId="10" applyFont="1" applyFill="1" applyBorder="1" applyAlignment="1">
      <alignment horizontal="centerContinuous" vertical="center"/>
    </xf>
    <xf numFmtId="0" fontId="732" fillId="183" borderId="368" xfId="10" applyFont="1" applyFill="1" applyBorder="1" applyAlignment="1">
      <alignment horizontal="left" vertical="center"/>
    </xf>
    <xf numFmtId="0" fontId="266" fillId="183" borderId="368" xfId="10" applyFont="1" applyFill="1" applyBorder="1" applyAlignment="1">
      <alignment horizontal="left" vertical="center"/>
    </xf>
    <xf numFmtId="0" fontId="179" fillId="183" borderId="361" xfId="10" applyFont="1" applyFill="1" applyBorder="1" applyAlignment="1">
      <alignment horizontal="left" vertical="center"/>
    </xf>
    <xf numFmtId="0" fontId="20" fillId="4" borderId="372" xfId="4" applyFill="1" applyBorder="1"/>
    <xf numFmtId="0" fontId="20" fillId="4" borderId="373" xfId="4" applyFill="1" applyBorder="1"/>
    <xf numFmtId="166" fontId="9" fillId="40" borderId="373" xfId="1" applyNumberFormat="1" applyFont="1" applyFill="1" applyBorder="1" applyAlignment="1">
      <alignment horizontal="center" vertical="center"/>
    </xf>
    <xf numFmtId="166" fontId="9" fillId="40" borderId="373" xfId="1" applyNumberFormat="1" applyFont="1" applyFill="1" applyBorder="1" applyAlignment="1">
      <alignment horizontal="center" vertical="center"/>
    </xf>
    <xf numFmtId="0" fontId="20" fillId="4" borderId="374" xfId="4" applyFill="1" applyBorder="1"/>
    <xf numFmtId="0" fontId="46" fillId="4" borderId="0" xfId="4" applyFont="1" applyFill="1" applyAlignment="1">
      <alignment horizontal="right" vertical="center"/>
    </xf>
    <xf numFmtId="0" fontId="20" fillId="4" borderId="375" xfId="4" applyFill="1" applyBorder="1"/>
    <xf numFmtId="176" fontId="96" fillId="4" borderId="0" xfId="41" applyNumberFormat="1" applyFont="1" applyFill="1" applyAlignment="1">
      <alignment horizontal="center" vertical="center"/>
    </xf>
    <xf numFmtId="176" fontId="9" fillId="4" borderId="0" xfId="41" applyNumberFormat="1" applyFont="1" applyFill="1" applyAlignment="1">
      <alignment horizontal="center" vertical="center"/>
    </xf>
    <xf numFmtId="171" fontId="9" fillId="4" borderId="375" xfId="11" applyNumberFormat="1" applyFont="1" applyFill="1" applyBorder="1" applyAlignment="1" applyProtection="1">
      <alignment horizontal="right" vertical="center"/>
      <protection locked="0"/>
    </xf>
    <xf numFmtId="177" fontId="9" fillId="4" borderId="375" xfId="5" applyNumberFormat="1" applyFont="1" applyFill="1" applyBorder="1" applyAlignment="1">
      <alignment horizontal="right" vertical="center"/>
    </xf>
    <xf numFmtId="2" fontId="9" fillId="4" borderId="375" xfId="5" applyNumberFormat="1" applyFont="1" applyFill="1" applyBorder="1" applyAlignment="1">
      <alignment horizontal="right" vertical="center"/>
    </xf>
    <xf numFmtId="0" fontId="20" fillId="4" borderId="376" xfId="4" applyFill="1" applyBorder="1"/>
    <xf numFmtId="0" fontId="20" fillId="4" borderId="377" xfId="4" applyFill="1" applyBorder="1"/>
    <xf numFmtId="0" fontId="95" fillId="21" borderId="0" xfId="10" applyFont="1" applyFill="1" applyAlignment="1" applyProtection="1">
      <alignment horizontal="center" vertical="center" wrapText="1"/>
      <protection locked="0"/>
    </xf>
    <xf numFmtId="0" fontId="75" fillId="21" borderId="375" xfId="10" applyFont="1" applyFill="1" applyBorder="1" applyAlignment="1" applyProtection="1">
      <alignment vertical="center" wrapText="1"/>
      <protection locked="0"/>
    </xf>
    <xf numFmtId="0" fontId="94" fillId="4" borderId="376" xfId="10" applyFont="1" applyFill="1" applyBorder="1" applyAlignment="1" applyProtection="1">
      <alignment vertical="center"/>
      <protection locked="0"/>
    </xf>
    <xf numFmtId="2" fontId="94" fillId="4" borderId="377" xfId="10" applyNumberFormat="1" applyFont="1" applyFill="1" applyBorder="1" applyAlignment="1" applyProtection="1">
      <alignment horizontal="center" vertical="center"/>
      <protection locked="0"/>
    </xf>
    <xf numFmtId="0" fontId="94" fillId="4" borderId="377" xfId="10" applyFont="1" applyFill="1" applyBorder="1" applyAlignment="1" applyProtection="1">
      <alignment horizontal="right" vertical="center"/>
      <protection locked="0"/>
    </xf>
    <xf numFmtId="0" fontId="105" fillId="4" borderId="377" xfId="10" applyFont="1" applyFill="1" applyBorder="1" applyAlignment="1" applyProtection="1">
      <alignment horizontal="right" vertical="center"/>
      <protection locked="0"/>
    </xf>
    <xf numFmtId="0" fontId="94" fillId="4" borderId="377" xfId="10" applyFont="1" applyFill="1" applyBorder="1" applyAlignment="1" applyProtection="1">
      <alignment horizontal="center" vertical="center"/>
      <protection locked="0"/>
    </xf>
    <xf numFmtId="0" fontId="94" fillId="4" borderId="377" xfId="10" applyFont="1" applyFill="1" applyBorder="1" applyAlignment="1" applyProtection="1">
      <alignment vertical="center"/>
      <protection locked="0"/>
    </xf>
    <xf numFmtId="0" fontId="93" fillId="4" borderId="377" xfId="10" applyFont="1" applyFill="1" applyBorder="1" applyAlignment="1" applyProtection="1">
      <alignment vertical="center"/>
      <protection locked="0"/>
    </xf>
    <xf numFmtId="0" fontId="92" fillId="4" borderId="378" xfId="10" applyFont="1" applyFill="1" applyBorder="1" applyAlignment="1" applyProtection="1">
      <alignment horizontal="center" wrapText="1"/>
      <protection locked="0"/>
    </xf>
    <xf numFmtId="0" fontId="6" fillId="0" borderId="0" xfId="10" applyFont="1"/>
    <xf numFmtId="0" fontId="577" fillId="110" borderId="382" xfId="10" applyFont="1" applyFill="1" applyBorder="1" applyAlignment="1">
      <alignment horizontal="right" vertical="center"/>
    </xf>
    <xf numFmtId="0" fontId="732" fillId="110" borderId="383" xfId="10" applyFont="1" applyFill="1" applyBorder="1" applyAlignment="1">
      <alignment horizontal="centerContinuous" vertical="center"/>
    </xf>
    <xf numFmtId="0" fontId="733" fillId="110" borderId="383" xfId="10" applyFont="1" applyFill="1" applyBorder="1" applyAlignment="1">
      <alignment horizontal="centerContinuous" vertical="center"/>
    </xf>
    <xf numFmtId="0" fontId="732" fillId="110" borderId="383" xfId="10" applyFont="1" applyFill="1" applyBorder="1" applyAlignment="1">
      <alignment horizontal="left" vertical="center"/>
    </xf>
    <xf numFmtId="0" fontId="266" fillId="110" borderId="383" xfId="10" applyFont="1" applyFill="1" applyBorder="1" applyAlignment="1">
      <alignment horizontal="left" vertical="center"/>
    </xf>
    <xf numFmtId="0" fontId="179" fillId="110" borderId="384" xfId="10" applyFont="1" applyFill="1" applyBorder="1" applyAlignment="1">
      <alignment horizontal="left" vertical="center"/>
    </xf>
    <xf numFmtId="0" fontId="492" fillId="4" borderId="0" xfId="1" applyFont="1" applyFill="1" applyAlignment="1" applyProtection="1">
      <alignment horizontal="left"/>
      <protection hidden="1"/>
    </xf>
    <xf numFmtId="0" fontId="190" fillId="4" borderId="0" xfId="1" applyFont="1" applyFill="1" applyAlignment="1" applyProtection="1">
      <alignment vertical="center"/>
      <protection hidden="1"/>
    </xf>
    <xf numFmtId="0" fontId="20" fillId="4" borderId="372" xfId="13" applyFill="1" applyBorder="1"/>
    <xf numFmtId="0" fontId="20" fillId="4" borderId="373" xfId="13" applyFill="1" applyBorder="1"/>
    <xf numFmtId="174" fontId="9" fillId="40" borderId="373" xfId="1" applyNumberFormat="1" applyFont="1" applyFill="1" applyBorder="1" applyAlignment="1">
      <alignment horizontal="center" vertical="center"/>
    </xf>
    <xf numFmtId="0" fontId="1" fillId="0" borderId="373" xfId="13" applyFont="1" applyBorder="1" applyAlignment="1">
      <alignment horizontal="left"/>
    </xf>
    <xf numFmtId="0" fontId="20" fillId="4" borderId="374" xfId="13" applyFill="1" applyBorder="1"/>
    <xf numFmtId="0" fontId="20" fillId="4" borderId="375" xfId="13" applyFill="1" applyBorder="1"/>
    <xf numFmtId="0" fontId="93" fillId="4" borderId="368" xfId="10" applyFont="1" applyFill="1" applyBorder="1" applyAlignment="1" applyProtection="1">
      <alignment vertical="center"/>
      <protection locked="0"/>
    </xf>
    <xf numFmtId="0" fontId="20" fillId="4" borderId="368" xfId="13" applyFill="1" applyBorder="1"/>
    <xf numFmtId="0" fontId="20" fillId="4" borderId="376" xfId="13" applyFill="1" applyBorder="1"/>
    <xf numFmtId="0" fontId="20" fillId="0" borderId="377" xfId="13" applyBorder="1"/>
    <xf numFmtId="0" fontId="20" fillId="4" borderId="386" xfId="13" applyFill="1" applyBorder="1"/>
    <xf numFmtId="0" fontId="105" fillId="4" borderId="376" xfId="10" applyFont="1" applyFill="1" applyBorder="1" applyAlignment="1" applyProtection="1">
      <alignment vertical="center"/>
      <protection locked="0"/>
    </xf>
    <xf numFmtId="174" fontId="94" fillId="4" borderId="377" xfId="10" applyNumberFormat="1" applyFont="1" applyFill="1" applyBorder="1" applyAlignment="1" applyProtection="1">
      <alignment horizontal="center" vertical="center"/>
      <protection locked="0"/>
    </xf>
    <xf numFmtId="0" fontId="20" fillId="4" borderId="377" xfId="13" applyFill="1" applyBorder="1"/>
    <xf numFmtId="1" fontId="41" fillId="4" borderId="372" xfId="10" applyNumberFormat="1" applyFont="1" applyFill="1" applyBorder="1" applyAlignment="1" applyProtection="1">
      <alignment horizontal="left" vertical="center"/>
      <protection locked="0"/>
    </xf>
    <xf numFmtId="176" fontId="33" fillId="4" borderId="373" xfId="12" applyNumberFormat="1" applyFont="1" applyFill="1" applyBorder="1" applyAlignment="1">
      <alignment horizontal="center" vertical="center"/>
    </xf>
    <xf numFmtId="175" fontId="33" fillId="4" borderId="373" xfId="10" applyNumberFormat="1" applyFont="1" applyFill="1" applyBorder="1" applyAlignment="1" applyProtection="1">
      <alignment horizontal="right" vertical="center"/>
      <protection locked="0"/>
    </xf>
    <xf numFmtId="1" fontId="41" fillId="4" borderId="373" xfId="10" applyNumberFormat="1" applyFont="1" applyFill="1" applyBorder="1" applyAlignment="1" applyProtection="1">
      <alignment horizontal="left" vertical="center"/>
      <protection locked="0"/>
    </xf>
    <xf numFmtId="165" fontId="34" fillId="4" borderId="373" xfId="10" applyNumberFormat="1" applyFont="1" applyFill="1" applyBorder="1" applyAlignment="1" applyProtection="1">
      <alignment horizontal="center" vertical="center"/>
      <protection locked="0"/>
    </xf>
    <xf numFmtId="0" fontId="33" fillId="4" borderId="373" xfId="10" applyFont="1" applyFill="1" applyBorder="1" applyAlignment="1" applyProtection="1">
      <alignment horizontal="left" vertical="center"/>
      <protection locked="0"/>
    </xf>
    <xf numFmtId="1" fontId="18" fillId="21" borderId="373" xfId="10" applyNumberFormat="1" applyFont="1" applyFill="1" applyBorder="1" applyAlignment="1" applyProtection="1">
      <alignment horizontal="center" vertical="center"/>
      <protection locked="0"/>
    </xf>
    <xf numFmtId="2" fontId="155" fillId="21" borderId="373" xfId="10" applyNumberFormat="1" applyFont="1" applyFill="1" applyBorder="1" applyAlignment="1" applyProtection="1">
      <alignment horizontal="center" vertical="center"/>
      <protection locked="0"/>
    </xf>
    <xf numFmtId="0" fontId="18" fillId="21" borderId="373" xfId="10" applyFont="1" applyFill="1" applyBorder="1" applyAlignment="1" applyProtection="1">
      <alignment horizontal="right" vertical="center"/>
      <protection locked="0"/>
    </xf>
    <xf numFmtId="0" fontId="17" fillId="0" borderId="373" xfId="10" applyFont="1" applyBorder="1"/>
    <xf numFmtId="0" fontId="89" fillId="21" borderId="373" xfId="10" applyFont="1" applyFill="1" applyBorder="1" applyAlignment="1" applyProtection="1">
      <alignment vertical="center"/>
      <protection locked="0"/>
    </xf>
    <xf numFmtId="0" fontId="89" fillId="21" borderId="374" xfId="10" applyFont="1" applyFill="1" applyBorder="1" applyAlignment="1" applyProtection="1">
      <alignment vertical="center"/>
      <protection locked="0"/>
    </xf>
    <xf numFmtId="0" fontId="89" fillId="21" borderId="375" xfId="10" applyFont="1" applyFill="1" applyBorder="1" applyAlignment="1" applyProtection="1">
      <alignment vertical="center"/>
      <protection locked="0"/>
    </xf>
    <xf numFmtId="0" fontId="157" fillId="4" borderId="375" xfId="10" applyFont="1" applyFill="1" applyBorder="1" applyAlignment="1">
      <alignment horizontal="left" vertical="center"/>
    </xf>
    <xf numFmtId="0" fontId="21" fillId="4" borderId="379" xfId="10" applyFont="1" applyFill="1" applyBorder="1" applyAlignment="1">
      <alignment horizontal="right" vertical="center"/>
    </xf>
    <xf numFmtId="0" fontId="159" fillId="4" borderId="380" xfId="10" applyFont="1" applyFill="1" applyBorder="1" applyAlignment="1">
      <alignment vertical="center"/>
    </xf>
    <xf numFmtId="0" fontId="9" fillId="4" borderId="380" xfId="10" applyFont="1" applyFill="1" applyBorder="1" applyAlignment="1">
      <alignment vertical="center"/>
    </xf>
    <xf numFmtId="0" fontId="75" fillId="4" borderId="390" xfId="1" applyFont="1" applyFill="1" applyBorder="1" applyAlignment="1" applyProtection="1">
      <alignment horizontal="center" vertical="center"/>
      <protection hidden="1"/>
    </xf>
    <xf numFmtId="0" fontId="75" fillId="4" borderId="391" xfId="1" applyFont="1" applyFill="1" applyBorder="1" applyAlignment="1" applyProtection="1">
      <alignment horizontal="center" vertical="center"/>
      <protection hidden="1"/>
    </xf>
    <xf numFmtId="0" fontId="80" fillId="4" borderId="0" xfId="13" applyFont="1" applyFill="1" applyAlignment="1">
      <alignment horizontal="left" vertical="center"/>
    </xf>
    <xf numFmtId="0" fontId="12" fillId="4" borderId="344" xfId="14" applyFont="1" applyFill="1" applyBorder="1"/>
    <xf numFmtId="0" fontId="12" fillId="4" borderId="345" xfId="14" applyFont="1" applyFill="1" applyBorder="1"/>
    <xf numFmtId="0" fontId="29" fillId="4" borderId="345" xfId="1" applyFont="1" applyFill="1" applyBorder="1" applyAlignment="1" applyProtection="1">
      <alignment vertical="center"/>
      <protection hidden="1"/>
    </xf>
    <xf numFmtId="0" fontId="35" fillId="49" borderId="389" xfId="14" applyFont="1" applyFill="1" applyBorder="1" applyAlignment="1">
      <alignment horizontal="center" vertical="center"/>
    </xf>
    <xf numFmtId="0" fontId="35" fillId="49" borderId="241" xfId="14" applyFont="1" applyFill="1" applyBorder="1" applyAlignment="1">
      <alignment horizontal="center" vertical="center"/>
    </xf>
    <xf numFmtId="2" fontId="41" fillId="53" borderId="341" xfId="1" applyNumberFormat="1" applyFont="1" applyFill="1" applyBorder="1" applyAlignment="1">
      <alignment horizontal="center" vertical="center"/>
    </xf>
    <xf numFmtId="165" fontId="9" fillId="4" borderId="367" xfId="1" applyNumberFormat="1" applyFont="1" applyFill="1" applyBorder="1" applyAlignment="1" applyProtection="1">
      <alignment vertical="center" wrapText="1"/>
      <protection hidden="1"/>
    </xf>
    <xf numFmtId="165" fontId="9" fillId="4" borderId="368" xfId="1" applyNumberFormat="1" applyFont="1" applyFill="1" applyBorder="1" applyAlignment="1" applyProtection="1">
      <alignment vertical="center" wrapText="1"/>
      <protection hidden="1"/>
    </xf>
    <xf numFmtId="0" fontId="12" fillId="4" borderId="368" xfId="14" applyFont="1" applyFill="1" applyBorder="1"/>
    <xf numFmtId="0" fontId="12" fillId="4" borderId="361" xfId="14" applyFont="1" applyFill="1" applyBorder="1"/>
    <xf numFmtId="165" fontId="17" fillId="4" borderId="368" xfId="1" applyNumberFormat="1" applyFont="1" applyFill="1" applyBorder="1" applyAlignment="1" applyProtection="1">
      <alignment horizontal="right" vertical="center"/>
      <protection hidden="1"/>
    </xf>
    <xf numFmtId="165" fontId="9" fillId="4" borderId="350" xfId="1" applyNumberFormat="1" applyFont="1" applyFill="1" applyBorder="1" applyAlignment="1" applyProtection="1">
      <alignment vertical="center" wrapText="1"/>
      <protection hidden="1"/>
    </xf>
    <xf numFmtId="169" fontId="12" fillId="3" borderId="396" xfId="5" applyNumberFormat="1" applyFont="1" applyFill="1" applyBorder="1" applyAlignment="1">
      <alignment horizontal="center" vertical="center"/>
    </xf>
    <xf numFmtId="169" fontId="12" fillId="3" borderId="393" xfId="5" applyNumberFormat="1" applyFont="1" applyFill="1" applyBorder="1" applyAlignment="1">
      <alignment horizontal="center" vertical="center"/>
    </xf>
    <xf numFmtId="170" fontId="33" fillId="3" borderId="396" xfId="14" applyNumberFormat="1" applyFont="1" applyFill="1" applyBorder="1" applyAlignment="1">
      <alignment horizontal="center" vertical="center"/>
    </xf>
    <xf numFmtId="167" fontId="101" fillId="39" borderId="393" xfId="1" applyNumberFormat="1" applyFont="1" applyFill="1" applyBorder="1" applyAlignment="1" applyProtection="1">
      <alignment horizontal="center" vertical="center"/>
      <protection hidden="1"/>
    </xf>
    <xf numFmtId="1" fontId="64" fillId="39" borderId="397" xfId="1" applyNumberFormat="1" applyFont="1" applyFill="1" applyBorder="1" applyAlignment="1" applyProtection="1">
      <alignment horizontal="center" vertical="center"/>
      <protection hidden="1"/>
    </xf>
    <xf numFmtId="164" fontId="62" fillId="4" borderId="49" xfId="6" applyNumberFormat="1" applyFont="1" applyFill="1" applyBorder="1" applyAlignment="1" applyProtection="1">
      <alignment vertical="center"/>
      <protection locked="0"/>
    </xf>
    <xf numFmtId="0" fontId="12" fillId="22" borderId="367" xfId="1" applyFont="1" applyFill="1" applyBorder="1" applyAlignment="1" applyProtection="1">
      <alignment horizontal="center" vertical="center" wrapText="1"/>
      <protection hidden="1"/>
    </xf>
    <xf numFmtId="0" fontId="12" fillId="22" borderId="368" xfId="1" applyFont="1" applyFill="1" applyBorder="1" applyAlignment="1" applyProtection="1">
      <alignment horizontal="center" vertical="center" wrapText="1"/>
      <protection hidden="1"/>
    </xf>
    <xf numFmtId="0" fontId="77" fillId="13" borderId="351" xfId="12" applyFont="1" applyFill="1" applyBorder="1" applyAlignment="1">
      <alignment horizontal="right" vertical="center"/>
    </xf>
    <xf numFmtId="0" fontId="77" fillId="13" borderId="368" xfId="12" applyFont="1" applyFill="1" applyBorder="1"/>
    <xf numFmtId="0" fontId="77" fillId="13" borderId="350" xfId="12" applyFont="1" applyFill="1" applyBorder="1"/>
    <xf numFmtId="164" fontId="80" fillId="4" borderId="49" xfId="6" applyNumberFormat="1" applyFont="1" applyFill="1" applyBorder="1" applyAlignment="1" applyProtection="1">
      <alignment vertical="center"/>
      <protection locked="0"/>
    </xf>
    <xf numFmtId="0" fontId="1" fillId="4" borderId="388" xfId="12" applyFill="1" applyBorder="1" applyAlignment="1">
      <alignment vertical="center"/>
    </xf>
    <xf numFmtId="0" fontId="1" fillId="4" borderId="389" xfId="12" applyFill="1" applyBorder="1"/>
    <xf numFmtId="0" fontId="1" fillId="4" borderId="241" xfId="12" applyFill="1" applyBorder="1"/>
    <xf numFmtId="0" fontId="12" fillId="13" borderId="340" xfId="14" applyFont="1" applyFill="1" applyBorder="1"/>
    <xf numFmtId="0" fontId="12" fillId="13" borderId="341" xfId="14" applyFont="1" applyFill="1" applyBorder="1"/>
    <xf numFmtId="0" fontId="12" fillId="13" borderId="354" xfId="14" applyFont="1" applyFill="1" applyBorder="1"/>
    <xf numFmtId="0" fontId="1" fillId="4" borderId="388" xfId="12" applyFill="1" applyBorder="1"/>
    <xf numFmtId="1" fontId="131" fillId="7" borderId="389" xfId="1" applyNumberFormat="1" applyFont="1" applyFill="1" applyBorder="1" applyAlignment="1" applyProtection="1">
      <alignment vertical="center" wrapText="1"/>
      <protection hidden="1"/>
    </xf>
    <xf numFmtId="2" fontId="64" fillId="56" borderId="389" xfId="15" applyNumberFormat="1" applyFont="1" applyFill="1" applyBorder="1" applyAlignment="1">
      <alignment horizontal="center" vertical="center"/>
    </xf>
    <xf numFmtId="2" fontId="132" fillId="39" borderId="389" xfId="15" applyNumberFormat="1" applyFont="1" applyFill="1" applyBorder="1" applyAlignment="1">
      <alignment vertical="center"/>
    </xf>
    <xf numFmtId="0" fontId="1" fillId="4" borderId="344" xfId="12" applyFill="1" applyBorder="1"/>
    <xf numFmtId="0" fontId="1" fillId="4" borderId="345" xfId="12" applyFill="1" applyBorder="1"/>
    <xf numFmtId="0" fontId="62" fillId="4" borderId="345" xfId="6" applyFont="1" applyFill="1" applyBorder="1" applyAlignment="1" applyProtection="1">
      <alignment vertical="center"/>
      <protection locked="0"/>
    </xf>
    <xf numFmtId="164" fontId="62" fillId="4" borderId="118" xfId="6" applyNumberFormat="1" applyFont="1" applyFill="1" applyBorder="1" applyAlignment="1" applyProtection="1">
      <alignment vertical="center"/>
      <protection locked="0"/>
    </xf>
    <xf numFmtId="169" fontId="10" fillId="15" borderId="345" xfId="5" applyNumberFormat="1" applyFont="1" applyFill="1" applyBorder="1" applyAlignment="1">
      <alignment horizontal="center" vertical="center"/>
    </xf>
    <xf numFmtId="0" fontId="17" fillId="4" borderId="341" xfId="14" applyFont="1" applyFill="1" applyBorder="1" applyAlignment="1">
      <alignment vertical="center"/>
    </xf>
    <xf numFmtId="0" fontId="136" fillId="4" borderId="341" xfId="1" applyFont="1" applyFill="1" applyBorder="1" applyAlignment="1" applyProtection="1">
      <alignment horizontal="center" vertical="center" wrapText="1"/>
      <protection hidden="1"/>
    </xf>
    <xf numFmtId="0" fontId="35" fillId="59" borderId="341" xfId="1" applyFont="1" applyFill="1" applyBorder="1" applyAlignment="1" applyProtection="1">
      <alignment horizontal="center" vertical="center" wrapText="1"/>
      <protection hidden="1"/>
    </xf>
    <xf numFmtId="0" fontId="35" fillId="59" borderId="341" xfId="1" applyFont="1" applyFill="1" applyBorder="1" applyAlignment="1" applyProtection="1">
      <alignment horizontal="center" vertical="center"/>
      <protection hidden="1"/>
    </xf>
    <xf numFmtId="0" fontId="35" fillId="59" borderId="354" xfId="1" applyFont="1" applyFill="1" applyBorder="1" applyAlignment="1" applyProtection="1">
      <alignment horizontal="center" vertical="center" wrapText="1"/>
      <protection hidden="1"/>
    </xf>
    <xf numFmtId="169" fontId="33" fillId="53" borderId="354" xfId="1" applyNumberFormat="1" applyFont="1" applyFill="1" applyBorder="1" applyAlignment="1">
      <alignment horizontal="center" vertical="center"/>
    </xf>
    <xf numFmtId="0" fontId="11" fillId="4" borderId="367" xfId="1" applyFont="1" applyFill="1" applyBorder="1" applyAlignment="1">
      <alignment horizontal="center"/>
    </xf>
    <xf numFmtId="0" fontId="12" fillId="4" borderId="368" xfId="1" applyFont="1" applyFill="1" applyBorder="1" applyAlignment="1" applyProtection="1">
      <alignment horizontal="center" wrapText="1"/>
      <protection hidden="1"/>
    </xf>
    <xf numFmtId="165" fontId="129" fillId="4" borderId="368" xfId="1" applyNumberFormat="1" applyFont="1" applyFill="1" applyBorder="1" applyAlignment="1">
      <alignment horizontal="center" wrapText="1"/>
    </xf>
    <xf numFmtId="0" fontId="11" fillId="4" borderId="368" xfId="1" applyFont="1" applyFill="1" applyBorder="1" applyAlignment="1">
      <alignment horizontal="center"/>
    </xf>
    <xf numFmtId="0" fontId="141" fillId="4" borderId="368" xfId="1" applyFont="1" applyFill="1" applyBorder="1" applyAlignment="1">
      <alignment horizontal="center" wrapText="1"/>
    </xf>
    <xf numFmtId="0" fontId="12" fillId="4" borderId="350" xfId="14" applyFont="1" applyFill="1" applyBorder="1" applyAlignment="1">
      <alignment horizontal="center" vertical="center" wrapText="1"/>
    </xf>
    <xf numFmtId="0" fontId="2" fillId="2" borderId="345" xfId="14" applyFont="1" applyFill="1" applyBorder="1" applyAlignment="1">
      <alignment horizontal="right" vertical="center"/>
    </xf>
    <xf numFmtId="0" fontId="142" fillId="4" borderId="368" xfId="6" applyFont="1" applyFill="1" applyBorder="1" applyAlignment="1">
      <alignment vertical="center"/>
    </xf>
    <xf numFmtId="1" fontId="21" fillId="11" borderId="398" xfId="1" applyNumberFormat="1" applyFont="1" applyFill="1" applyBorder="1" applyAlignment="1" applyProtection="1">
      <alignment horizontal="center" vertical="center"/>
      <protection locked="0"/>
    </xf>
    <xf numFmtId="0" fontId="13" fillId="64" borderId="399" xfId="1" applyFont="1" applyFill="1" applyBorder="1" applyAlignment="1">
      <alignment horizontal="center" vertical="center" wrapText="1"/>
    </xf>
    <xf numFmtId="0" fontId="35" fillId="4" borderId="368" xfId="6" applyFont="1" applyFill="1" applyBorder="1" applyAlignment="1">
      <alignment vertical="center"/>
    </xf>
    <xf numFmtId="0" fontId="39" fillId="4" borderId="368" xfId="1" applyFont="1" applyFill="1" applyBorder="1" applyAlignment="1" applyProtection="1">
      <alignment vertical="center"/>
      <protection hidden="1"/>
    </xf>
    <xf numFmtId="186" fontId="148" fillId="7" borderId="368" xfId="6" applyNumberFormat="1" applyFont="1" applyFill="1" applyBorder="1" applyAlignment="1">
      <alignment vertical="center"/>
    </xf>
    <xf numFmtId="0" fontId="20" fillId="4" borderId="386" xfId="4" applyFill="1" applyBorder="1"/>
    <xf numFmtId="0" fontId="12" fillId="22" borderId="88" xfId="1" applyFont="1" applyFill="1" applyBorder="1" applyAlignment="1" applyProtection="1">
      <alignment horizontal="center" vertical="center" wrapText="1"/>
      <protection hidden="1"/>
    </xf>
    <xf numFmtId="0" fontId="20" fillId="0" borderId="377" xfId="4" applyBorder="1"/>
    <xf numFmtId="0" fontId="12" fillId="12" borderId="400" xfId="3" applyFont="1" applyFill="1" applyBorder="1" applyAlignment="1">
      <alignment horizontal="center" vertical="center"/>
    </xf>
    <xf numFmtId="0" fontId="12" fillId="12" borderId="401" xfId="3" applyFont="1" applyFill="1" applyBorder="1" applyAlignment="1">
      <alignment horizontal="center" vertical="center"/>
    </xf>
    <xf numFmtId="0" fontId="12" fillId="12" borderId="402" xfId="3" applyFont="1" applyFill="1" applyBorder="1" applyAlignment="1">
      <alignment horizontal="center" vertical="center"/>
    </xf>
    <xf numFmtId="0" fontId="7" fillId="19" borderId="15" xfId="1" applyFont="1" applyFill="1" applyBorder="1" applyAlignment="1">
      <alignment vertical="center" wrapText="1"/>
    </xf>
    <xf numFmtId="0" fontId="59" fillId="19" borderId="15" xfId="1" applyFont="1" applyFill="1" applyBorder="1" applyAlignment="1" applyProtection="1">
      <alignment horizontal="center" vertical="center"/>
      <protection hidden="1"/>
    </xf>
    <xf numFmtId="0" fontId="34" fillId="13" borderId="15" xfId="1" applyFont="1" applyFill="1" applyBorder="1" applyAlignment="1">
      <alignment vertical="center" wrapText="1"/>
    </xf>
    <xf numFmtId="169" fontId="57" fillId="46" borderId="345" xfId="6" applyNumberFormat="1" applyFont="1" applyFill="1" applyBorder="1" applyAlignment="1">
      <alignment horizontal="center" vertical="center"/>
    </xf>
    <xf numFmtId="165" fontId="58" fillId="46" borderId="345" xfId="4" applyNumberFormat="1" applyFont="1" applyFill="1" applyBorder="1" applyAlignment="1">
      <alignment horizontal="left" vertical="center" wrapText="1"/>
    </xf>
    <xf numFmtId="0" fontId="57" fillId="46" borderId="345" xfId="4" applyFont="1" applyFill="1" applyBorder="1" applyAlignment="1" applyProtection="1">
      <alignment horizontal="center" vertical="center"/>
      <protection locked="0"/>
    </xf>
    <xf numFmtId="0" fontId="12" fillId="35" borderId="28" xfId="4" applyFont="1" applyFill="1" applyBorder="1" applyAlignment="1">
      <alignment horizontal="left" vertical="center"/>
    </xf>
    <xf numFmtId="0" fontId="12" fillId="29" borderId="31" xfId="1" applyFont="1" applyFill="1" applyBorder="1" applyAlignment="1">
      <alignment horizontal="left" vertical="center"/>
    </xf>
    <xf numFmtId="0" fontId="12" fillId="13" borderId="351" xfId="3" applyFont="1" applyFill="1" applyBorder="1"/>
    <xf numFmtId="0" fontId="12" fillId="13" borderId="368" xfId="3" applyFont="1" applyFill="1" applyBorder="1"/>
    <xf numFmtId="0" fontId="33" fillId="13" borderId="350" xfId="1" applyFont="1" applyFill="1" applyBorder="1" applyAlignment="1">
      <alignment vertical="center"/>
    </xf>
    <xf numFmtId="0" fontId="9" fillId="13" borderId="15" xfId="6" applyFont="1" applyFill="1" applyBorder="1" applyAlignment="1">
      <alignment vertical="center" wrapText="1"/>
    </xf>
    <xf numFmtId="0" fontId="79" fillId="39" borderId="15" xfId="3" applyFont="1" applyFill="1" applyBorder="1" applyAlignment="1">
      <alignment horizontal="center" vertical="center"/>
    </xf>
    <xf numFmtId="0" fontId="48" fillId="13" borderId="15" xfId="6" applyFont="1" applyFill="1" applyBorder="1" applyAlignment="1">
      <alignment vertical="center"/>
    </xf>
    <xf numFmtId="0" fontId="79" fillId="13" borderId="15" xfId="3" applyFont="1" applyFill="1" applyBorder="1" applyAlignment="1">
      <alignment horizontal="center" vertical="center"/>
    </xf>
    <xf numFmtId="0" fontId="80" fillId="4" borderId="0" xfId="4" applyFont="1" applyFill="1" applyAlignment="1">
      <alignment horizontal="left" vertical="center"/>
    </xf>
    <xf numFmtId="0" fontId="76" fillId="13" borderId="15" xfId="3" applyFont="1" applyFill="1" applyBorder="1" applyAlignment="1">
      <alignment vertical="center"/>
    </xf>
    <xf numFmtId="0" fontId="77" fillId="13" borderId="15" xfId="3" applyFont="1" applyFill="1" applyBorder="1" applyAlignment="1">
      <alignment vertical="center"/>
    </xf>
    <xf numFmtId="0" fontId="77" fillId="13" borderId="351" xfId="2" applyFont="1" applyFill="1" applyBorder="1" applyAlignment="1">
      <alignment horizontal="right" vertical="center"/>
    </xf>
    <xf numFmtId="0" fontId="77" fillId="13" borderId="368" xfId="2" applyFont="1" applyFill="1" applyBorder="1"/>
    <xf numFmtId="0" fontId="77" fillId="13" borderId="350" xfId="2" applyFont="1" applyFill="1" applyBorder="1"/>
    <xf numFmtId="0" fontId="77" fillId="13" borderId="388" xfId="3" applyFont="1" applyFill="1" applyBorder="1" applyAlignment="1">
      <alignment vertical="center" wrapText="1"/>
    </xf>
    <xf numFmtId="0" fontId="77" fillId="13" borderId="389" xfId="3" applyFont="1" applyFill="1" applyBorder="1" applyAlignment="1">
      <alignment vertical="center" wrapText="1"/>
    </xf>
    <xf numFmtId="0" fontId="77" fillId="13" borderId="241" xfId="3" applyFont="1" applyFill="1" applyBorder="1" applyAlignment="1">
      <alignment vertical="center" wrapText="1"/>
    </xf>
    <xf numFmtId="1" fontId="9" fillId="13" borderId="15" xfId="3" applyNumberFormat="1" applyFont="1" applyFill="1" applyBorder="1" applyAlignment="1">
      <alignment horizontal="center" vertical="center"/>
    </xf>
    <xf numFmtId="0" fontId="50" fillId="4" borderId="351" xfId="4" applyFont="1" applyFill="1" applyBorder="1" applyAlignment="1">
      <alignment vertical="center"/>
    </xf>
    <xf numFmtId="0" fontId="50" fillId="4" borderId="368" xfId="4" applyFont="1" applyFill="1" applyBorder="1" applyAlignment="1">
      <alignment vertical="center"/>
    </xf>
    <xf numFmtId="0" fontId="74" fillId="42" borderId="361" xfId="1" applyFont="1" applyFill="1" applyBorder="1" applyAlignment="1" applyProtection="1">
      <alignment horizontal="center" vertical="center"/>
      <protection hidden="1"/>
    </xf>
    <xf numFmtId="168" fontId="46" fillId="22" borderId="90" xfId="0" applyNumberFormat="1" applyFont="1" applyFill="1" applyBorder="1" applyAlignment="1">
      <alignment horizontal="center" vertical="center"/>
    </xf>
    <xf numFmtId="168" fontId="48" fillId="4" borderId="393" xfId="0" applyNumberFormat="1" applyFont="1" applyFill="1" applyBorder="1" applyAlignment="1">
      <alignment horizontal="center" vertical="center"/>
    </xf>
    <xf numFmtId="0" fontId="34" fillId="4" borderId="393" xfId="0" applyFont="1" applyFill="1" applyBorder="1" applyAlignment="1">
      <alignment horizontal="right" vertical="center"/>
    </xf>
    <xf numFmtId="0" fontId="62" fillId="4" borderId="393" xfId="4" applyFont="1" applyFill="1" applyBorder="1" applyAlignment="1">
      <alignment horizontal="left" vertical="center"/>
    </xf>
    <xf numFmtId="0" fontId="73" fillId="22" borderId="15" xfId="1" applyFont="1" applyFill="1" applyBorder="1" applyAlignment="1">
      <alignment horizontal="center" vertical="center"/>
    </xf>
    <xf numFmtId="166" fontId="46" fillId="41" borderId="15" xfId="1" applyNumberFormat="1" applyFont="1" applyFill="1" applyBorder="1" applyAlignment="1">
      <alignment horizontal="center" vertical="center"/>
    </xf>
    <xf numFmtId="0" fontId="41" fillId="22" borderId="15" xfId="0" applyFont="1" applyFill="1" applyBorder="1" applyAlignment="1">
      <alignment horizontal="center" vertical="center" wrapText="1"/>
    </xf>
    <xf numFmtId="0" fontId="20" fillId="15" borderId="15" xfId="4" applyFill="1" applyBorder="1"/>
    <xf numFmtId="0" fontId="41" fillId="15" borderId="15" xfId="0" applyFont="1" applyFill="1" applyBorder="1" applyAlignment="1">
      <alignment horizontal="center" vertical="center" wrapText="1"/>
    </xf>
    <xf numFmtId="169" fontId="57" fillId="15" borderId="341" xfId="6" applyNumberFormat="1" applyFont="1" applyFill="1" applyBorder="1" applyAlignment="1">
      <alignment horizontal="center" vertical="center"/>
    </xf>
    <xf numFmtId="165" fontId="58" fillId="15" borderId="341" xfId="4" applyNumberFormat="1" applyFont="1" applyFill="1" applyBorder="1" applyAlignment="1">
      <alignment horizontal="left" vertical="center" wrapText="1"/>
    </xf>
    <xf numFmtId="0" fontId="57" fillId="15" borderId="341" xfId="4" applyFont="1" applyFill="1" applyBorder="1" applyAlignment="1" applyProtection="1">
      <alignment horizontal="center" vertical="center"/>
      <protection locked="0"/>
    </xf>
    <xf numFmtId="0" fontId="41" fillId="6" borderId="15" xfId="0" applyFont="1" applyFill="1" applyBorder="1" applyAlignment="1">
      <alignment horizontal="center" vertical="center" wrapText="1"/>
    </xf>
    <xf numFmtId="0" fontId="50" fillId="6" borderId="341" xfId="0" applyFont="1" applyFill="1" applyBorder="1" applyAlignment="1">
      <alignment horizontal="center" vertical="center"/>
    </xf>
    <xf numFmtId="0" fontId="1" fillId="4" borderId="15" xfId="4" applyFont="1" applyFill="1" applyBorder="1" applyAlignment="1">
      <alignment horizontal="center" vertical="center"/>
    </xf>
    <xf numFmtId="0" fontId="40" fillId="23" borderId="15" xfId="1" applyFont="1" applyFill="1" applyBorder="1" applyAlignment="1" applyProtection="1">
      <alignment horizontal="centerContinuous" vertical="center"/>
      <protection hidden="1"/>
    </xf>
    <xf numFmtId="0" fontId="1" fillId="4" borderId="15" xfId="1" applyFont="1" applyFill="1" applyBorder="1" applyAlignment="1">
      <alignment vertical="center"/>
    </xf>
    <xf numFmtId="0" fontId="44" fillId="2" borderId="15" xfId="1" applyFont="1" applyFill="1" applyBorder="1" applyAlignment="1">
      <alignment horizontal="center" vertical="center"/>
    </xf>
    <xf numFmtId="0" fontId="7" fillId="2" borderId="351" xfId="1" applyFont="1" applyFill="1" applyBorder="1" applyAlignment="1">
      <alignment horizontal="right" vertical="center"/>
    </xf>
    <xf numFmtId="0" fontId="18" fillId="6" borderId="15" xfId="1" applyFont="1" applyFill="1" applyBorder="1" applyAlignment="1">
      <alignment vertical="center"/>
    </xf>
    <xf numFmtId="2" fontId="21" fillId="14" borderId="15" xfId="1" applyNumberFormat="1" applyFont="1" applyFill="1" applyBorder="1" applyAlignment="1" applyProtection="1">
      <alignment vertical="center"/>
      <protection locked="0"/>
    </xf>
    <xf numFmtId="0" fontId="21" fillId="11" borderId="344" xfId="1" applyFont="1" applyFill="1" applyBorder="1" applyAlignment="1" applyProtection="1">
      <alignment horizontal="right" vertical="center"/>
      <protection locked="0"/>
    </xf>
    <xf numFmtId="0" fontId="13" fillId="5" borderId="406" xfId="1" applyFont="1" applyFill="1" applyBorder="1" applyAlignment="1" applyProtection="1">
      <alignment horizontal="center" vertical="center" wrapText="1"/>
      <protection hidden="1"/>
    </xf>
    <xf numFmtId="0" fontId="35" fillId="3" borderId="0" xfId="6" applyFont="1" applyFill="1" applyAlignment="1">
      <alignment horizontal="center" vertical="center"/>
    </xf>
    <xf numFmtId="0" fontId="35" fillId="12" borderId="61" xfId="3" applyFont="1" applyFill="1" applyBorder="1" applyAlignment="1">
      <alignment horizontal="center" vertical="center"/>
    </xf>
    <xf numFmtId="0" fontId="20" fillId="4" borderId="407" xfId="13" applyFill="1" applyBorder="1"/>
    <xf numFmtId="0" fontId="75" fillId="4" borderId="408" xfId="1" applyFont="1" applyFill="1" applyBorder="1" applyAlignment="1" applyProtection="1">
      <alignment horizontal="center" vertical="center"/>
      <protection hidden="1"/>
    </xf>
    <xf numFmtId="171" fontId="9" fillId="4" borderId="407" xfId="11" applyNumberFormat="1" applyFont="1" applyFill="1" applyBorder="1" applyAlignment="1" applyProtection="1">
      <alignment horizontal="right" vertical="center"/>
      <protection locked="0"/>
    </xf>
    <xf numFmtId="177" fontId="9" fillId="4" borderId="407" xfId="5" applyNumberFormat="1" applyFont="1" applyFill="1" applyBorder="1" applyAlignment="1">
      <alignment horizontal="right" vertical="center"/>
    </xf>
    <xf numFmtId="2" fontId="9" fillId="4" borderId="407" xfId="5" applyNumberFormat="1" applyFont="1" applyFill="1" applyBorder="1" applyAlignment="1">
      <alignment horizontal="right" vertical="center"/>
    </xf>
    <xf numFmtId="0" fontId="75" fillId="21" borderId="407" xfId="10" applyFont="1" applyFill="1" applyBorder="1" applyAlignment="1" applyProtection="1">
      <alignment vertical="center" wrapText="1"/>
      <protection locked="0"/>
    </xf>
    <xf numFmtId="0" fontId="20" fillId="4" borderId="410" xfId="13" applyFill="1" applyBorder="1"/>
    <xf numFmtId="0" fontId="12" fillId="4" borderId="344" xfId="3" applyFont="1" applyFill="1" applyBorder="1"/>
    <xf numFmtId="0" fontId="12" fillId="4" borderId="345" xfId="3" applyFont="1" applyFill="1" applyBorder="1"/>
    <xf numFmtId="0" fontId="35" fillId="49" borderId="400" xfId="3" applyFont="1" applyFill="1" applyBorder="1" applyAlignment="1">
      <alignment horizontal="center" vertical="center"/>
    </xf>
    <xf numFmtId="0" fontId="35" fillId="49" borderId="401" xfId="3" applyFont="1" applyFill="1" applyBorder="1" applyAlignment="1">
      <alignment horizontal="center" vertical="center"/>
    </xf>
    <xf numFmtId="0" fontId="35" fillId="49" borderId="402" xfId="3" applyFont="1" applyFill="1" applyBorder="1" applyAlignment="1">
      <alignment horizontal="center" vertical="center"/>
    </xf>
    <xf numFmtId="0" fontId="35" fillId="49" borderId="412" xfId="3" applyFont="1" applyFill="1" applyBorder="1" applyAlignment="1">
      <alignment horizontal="center" vertical="center"/>
    </xf>
    <xf numFmtId="0" fontId="35" fillId="49" borderId="389" xfId="3" applyFont="1" applyFill="1" applyBorder="1" applyAlignment="1">
      <alignment horizontal="center" vertical="center"/>
    </xf>
    <xf numFmtId="0" fontId="35" fillId="49" borderId="241" xfId="3" applyFont="1" applyFill="1" applyBorder="1" applyAlignment="1">
      <alignment horizontal="center" vertical="center"/>
    </xf>
    <xf numFmtId="170" fontId="9" fillId="40" borderId="413" xfId="1" applyNumberFormat="1" applyFont="1" applyFill="1" applyBorder="1" applyAlignment="1">
      <alignment horizontal="center" vertical="center"/>
    </xf>
    <xf numFmtId="165" fontId="9" fillId="4" borderId="88" xfId="1" applyNumberFormat="1" applyFont="1" applyFill="1" applyBorder="1" applyAlignment="1" applyProtection="1">
      <alignment vertical="center" wrapText="1"/>
      <protection hidden="1"/>
    </xf>
    <xf numFmtId="0" fontId="12" fillId="4" borderId="88" xfId="3" applyFont="1" applyFill="1" applyBorder="1"/>
    <xf numFmtId="0" fontId="12" fillId="4" borderId="361" xfId="3" applyFont="1" applyFill="1" applyBorder="1"/>
    <xf numFmtId="165" fontId="17" fillId="4" borderId="88" xfId="1" applyNumberFormat="1" applyFont="1" applyFill="1" applyBorder="1" applyAlignment="1" applyProtection="1">
      <alignment horizontal="right" vertical="center"/>
      <protection hidden="1"/>
    </xf>
    <xf numFmtId="181" fontId="17" fillId="54" borderId="416" xfId="5" applyNumberFormat="1" applyFont="1" applyFill="1" applyBorder="1" applyAlignment="1">
      <alignment horizontal="center" vertical="center"/>
    </xf>
    <xf numFmtId="169" fontId="48" fillId="54" borderId="417" xfId="5" applyNumberFormat="1" applyFont="1" applyFill="1" applyBorder="1" applyAlignment="1">
      <alignment horizontal="center" vertical="center"/>
    </xf>
    <xf numFmtId="169" fontId="12" fillId="54" borderId="418" xfId="5" applyNumberFormat="1" applyFont="1" applyFill="1" applyBorder="1" applyAlignment="1">
      <alignment horizontal="center" vertical="center"/>
    </xf>
    <xf numFmtId="182" fontId="35" fillId="54" borderId="416" xfId="5" applyNumberFormat="1" applyFont="1" applyFill="1" applyBorder="1" applyAlignment="1">
      <alignment horizontal="center" vertical="center"/>
    </xf>
    <xf numFmtId="1" fontId="35" fillId="54" borderId="419" xfId="5" applyNumberFormat="1" applyFont="1" applyFill="1" applyBorder="1" applyAlignment="1">
      <alignment horizontal="center" vertical="center"/>
    </xf>
    <xf numFmtId="165" fontId="48" fillId="54" borderId="416" xfId="5" applyNumberFormat="1" applyFont="1" applyFill="1" applyBorder="1" applyAlignment="1">
      <alignment horizontal="center" vertical="center"/>
    </xf>
    <xf numFmtId="165" fontId="48" fillId="54" borderId="420" xfId="5" applyNumberFormat="1" applyFont="1" applyFill="1" applyBorder="1" applyAlignment="1">
      <alignment horizontal="center" vertical="center"/>
    </xf>
    <xf numFmtId="4" fontId="124" fillId="0" borderId="408" xfId="6" applyNumberFormat="1" applyFont="1" applyBorder="1" applyAlignment="1" applyProtection="1">
      <alignment horizontal="center" vertical="center"/>
      <protection locked="0"/>
    </xf>
    <xf numFmtId="0" fontId="12" fillId="13" borderId="88" xfId="3" applyFont="1" applyFill="1" applyBorder="1"/>
    <xf numFmtId="0" fontId="77" fillId="13" borderId="88" xfId="12" applyFont="1" applyFill="1" applyBorder="1"/>
    <xf numFmtId="0" fontId="12" fillId="13" borderId="340" xfId="3" applyFont="1" applyFill="1" applyBorder="1"/>
    <xf numFmtId="0" fontId="12" fillId="13" borderId="341" xfId="3" applyFont="1" applyFill="1" applyBorder="1"/>
    <xf numFmtId="0" fontId="12" fillId="13" borderId="354" xfId="3" applyFont="1" applyFill="1" applyBorder="1"/>
    <xf numFmtId="0" fontId="40" fillId="2" borderId="215" xfId="12" applyFont="1" applyFill="1" applyBorder="1" applyAlignment="1">
      <alignment horizontal="centerContinuous" vertical="center"/>
    </xf>
    <xf numFmtId="0" fontId="40" fillId="2" borderId="216" xfId="12" applyFont="1" applyFill="1" applyBorder="1" applyAlignment="1">
      <alignment horizontal="centerContinuous" vertical="center"/>
    </xf>
    <xf numFmtId="2" fontId="12" fillId="4" borderId="388" xfId="3" applyNumberFormat="1" applyFont="1" applyFill="1" applyBorder="1" applyAlignment="1">
      <alignment vertical="center"/>
    </xf>
    <xf numFmtId="170" fontId="33" fillId="40" borderId="389" xfId="1" applyNumberFormat="1" applyFont="1" applyFill="1" applyBorder="1" applyAlignment="1">
      <alignment horizontal="center" vertical="center"/>
    </xf>
    <xf numFmtId="0" fontId="41" fillId="4" borderId="389" xfId="12" applyFont="1" applyFill="1" applyBorder="1" applyAlignment="1">
      <alignment horizontal="right" vertical="center"/>
    </xf>
    <xf numFmtId="0" fontId="9" fillId="4" borderId="389" xfId="12" applyFont="1" applyFill="1" applyBorder="1" applyAlignment="1">
      <alignment horizontal="right" vertical="top"/>
    </xf>
    <xf numFmtId="0" fontId="54" fillId="4" borderId="389" xfId="12" applyFont="1" applyFill="1" applyBorder="1" applyAlignment="1">
      <alignment horizontal="right" vertical="top"/>
    </xf>
    <xf numFmtId="2" fontId="64" fillId="56" borderId="345" xfId="15" applyNumberFormat="1" applyFont="1" applyFill="1" applyBorder="1" applyAlignment="1">
      <alignment horizontal="center" vertical="center"/>
    </xf>
    <xf numFmtId="2" fontId="132" fillId="39" borderId="345" xfId="15" applyNumberFormat="1" applyFont="1" applyFill="1" applyBorder="1" applyAlignment="1">
      <alignment horizontal="center" vertical="center"/>
    </xf>
    <xf numFmtId="0" fontId="17" fillId="4" borderId="341" xfId="3" applyFont="1" applyFill="1" applyBorder="1" applyAlignment="1">
      <alignment vertical="center"/>
    </xf>
    <xf numFmtId="165" fontId="12" fillId="4" borderId="393" xfId="1" applyNumberFormat="1" applyFont="1" applyFill="1" applyBorder="1" applyAlignment="1">
      <alignment horizontal="left" vertical="center"/>
    </xf>
    <xf numFmtId="0" fontId="139" fillId="4" borderId="354" xfId="1" applyFont="1" applyFill="1" applyBorder="1" applyAlignment="1" applyProtection="1">
      <alignment horizontal="center" vertical="center" wrapText="1"/>
      <protection hidden="1"/>
    </xf>
    <xf numFmtId="0" fontId="12" fillId="4" borderId="350" xfId="3" applyFont="1" applyFill="1" applyBorder="1" applyAlignment="1">
      <alignment horizontal="center" vertical="center" wrapText="1"/>
    </xf>
    <xf numFmtId="0" fontId="2" fillId="2" borderId="345" xfId="3" applyFont="1" applyFill="1" applyBorder="1" applyAlignment="1">
      <alignment horizontal="right" vertical="center"/>
    </xf>
    <xf numFmtId="0" fontId="2" fillId="2" borderId="399" xfId="3" applyFont="1" applyFill="1" applyBorder="1" applyAlignment="1">
      <alignment horizontal="right" vertical="center"/>
    </xf>
    <xf numFmtId="186" fontId="44" fillId="2" borderId="399" xfId="6" applyNumberFormat="1" applyFont="1" applyFill="1" applyBorder="1" applyAlignment="1">
      <alignment vertical="center"/>
    </xf>
    <xf numFmtId="0" fontId="2" fillId="2" borderId="399" xfId="3" applyFont="1" applyFill="1" applyBorder="1" applyAlignment="1">
      <alignment horizontal="left" vertical="center"/>
    </xf>
    <xf numFmtId="0" fontId="40" fillId="2" borderId="393" xfId="3" applyFont="1" applyFill="1" applyBorder="1" applyAlignment="1">
      <alignment horizontal="left" vertical="top"/>
    </xf>
    <xf numFmtId="0" fontId="40" fillId="2" borderId="393" xfId="3" applyFont="1" applyFill="1" applyBorder="1" applyAlignment="1">
      <alignment horizontal="right" vertical="top"/>
    </xf>
    <xf numFmtId="0" fontId="143" fillId="2" borderId="393" xfId="1" applyFont="1" applyFill="1" applyBorder="1" applyAlignment="1" applyProtection="1">
      <alignment horizontal="center" vertical="center"/>
      <protection hidden="1"/>
    </xf>
    <xf numFmtId="186" fontId="44" fillId="2" borderId="393" xfId="6" applyNumberFormat="1" applyFont="1" applyFill="1" applyBorder="1" applyAlignment="1">
      <alignment horizontal="left" vertical="center"/>
    </xf>
    <xf numFmtId="2" fontId="64" fillId="56" borderId="341" xfId="15" applyNumberFormat="1" applyFont="1" applyFill="1" applyBorder="1" applyAlignment="1">
      <alignment horizontal="center" vertical="center"/>
    </xf>
    <xf numFmtId="2" fontId="132" fillId="39" borderId="341" xfId="15" applyNumberFormat="1" applyFont="1" applyFill="1" applyBorder="1" applyAlignment="1">
      <alignment horizontal="center" vertical="center"/>
    </xf>
    <xf numFmtId="0" fontId="144" fillId="4" borderId="393" xfId="3" applyFont="1" applyFill="1" applyBorder="1" applyAlignment="1">
      <alignment horizontal="right"/>
    </xf>
    <xf numFmtId="0" fontId="12" fillId="4" borderId="393" xfId="3" applyFont="1" applyFill="1" applyBorder="1"/>
    <xf numFmtId="0" fontId="18" fillId="4" borderId="364" xfId="5" applyFont="1" applyFill="1" applyBorder="1" applyAlignment="1">
      <alignment vertical="center"/>
    </xf>
    <xf numFmtId="0" fontId="12" fillId="4" borderId="215" xfId="3" applyFont="1" applyFill="1" applyBorder="1" applyAlignment="1">
      <alignment vertical="center"/>
    </xf>
    <xf numFmtId="0" fontId="12" fillId="4" borderId="216" xfId="3" applyFont="1" applyFill="1" applyBorder="1" applyAlignment="1">
      <alignment vertical="center"/>
    </xf>
    <xf numFmtId="0" fontId="149" fillId="0" borderId="215" xfId="1" applyFont="1" applyBorder="1" applyAlignment="1">
      <alignment vertical="top" textRotation="255"/>
    </xf>
    <xf numFmtId="0" fontId="39" fillId="2" borderId="216" xfId="1" applyFont="1" applyFill="1" applyBorder="1" applyAlignment="1" applyProtection="1">
      <alignment vertical="center"/>
      <protection hidden="1"/>
    </xf>
    <xf numFmtId="0" fontId="21" fillId="22" borderId="389" xfId="1" applyFont="1" applyFill="1" applyBorder="1" applyAlignment="1" applyProtection="1">
      <alignment horizontal="right" vertical="center"/>
      <protection hidden="1"/>
    </xf>
    <xf numFmtId="0" fontId="21" fillId="22" borderId="389" xfId="1" applyFont="1" applyFill="1" applyBorder="1" applyAlignment="1" applyProtection="1">
      <alignment vertical="center"/>
      <protection hidden="1"/>
    </xf>
    <xf numFmtId="0" fontId="12" fillId="21" borderId="0" xfId="10" applyFont="1" applyFill="1" applyAlignment="1" applyProtection="1">
      <alignment horizontal="left" vertical="center"/>
      <protection locked="0"/>
    </xf>
    <xf numFmtId="0" fontId="48" fillId="21" borderId="0" xfId="10" applyFont="1" applyFill="1" applyAlignment="1" applyProtection="1">
      <alignment horizontal="left" vertical="center"/>
      <protection locked="0"/>
    </xf>
    <xf numFmtId="181" fontId="17" fillId="54" borderId="421" xfId="5" applyNumberFormat="1" applyFont="1" applyFill="1" applyBorder="1" applyAlignment="1">
      <alignment horizontal="center" vertical="center"/>
    </xf>
    <xf numFmtId="169" fontId="48" fillId="54" borderId="422" xfId="5" applyNumberFormat="1" applyFont="1" applyFill="1" applyBorder="1" applyAlignment="1">
      <alignment horizontal="center" vertical="center"/>
    </xf>
    <xf numFmtId="182" fontId="35" fillId="54" borderId="421" xfId="5" applyNumberFormat="1" applyFont="1" applyFill="1" applyBorder="1" applyAlignment="1">
      <alignment horizontal="center" vertical="center"/>
    </xf>
    <xf numFmtId="1" fontId="35" fillId="54" borderId="423" xfId="5" applyNumberFormat="1" applyFont="1" applyFill="1" applyBorder="1" applyAlignment="1">
      <alignment horizontal="center" vertical="center"/>
    </xf>
    <xf numFmtId="165" fontId="48" fillId="54" borderId="421" xfId="5" applyNumberFormat="1" applyFont="1" applyFill="1" applyBorder="1" applyAlignment="1">
      <alignment horizontal="center" vertical="center"/>
    </xf>
    <xf numFmtId="165" fontId="48" fillId="54" borderId="424" xfId="5" applyNumberFormat="1" applyFont="1" applyFill="1" applyBorder="1" applyAlignment="1">
      <alignment horizontal="center" vertical="center"/>
    </xf>
    <xf numFmtId="0" fontId="33" fillId="4" borderId="350" xfId="1" applyFont="1" applyFill="1" applyBorder="1" applyAlignment="1" applyProtection="1">
      <alignment horizontal="right" vertical="center" wrapText="1"/>
      <protection hidden="1"/>
    </xf>
    <xf numFmtId="0" fontId="2" fillId="2" borderId="425" xfId="3" applyFont="1" applyFill="1" applyBorder="1" applyAlignment="1">
      <alignment horizontal="right" vertical="center"/>
    </xf>
    <xf numFmtId="186" fontId="44" fillId="2" borderId="425" xfId="6" applyNumberFormat="1" applyFont="1" applyFill="1" applyBorder="1" applyAlignment="1">
      <alignment vertical="center"/>
    </xf>
    <xf numFmtId="0" fontId="2" fillId="2" borderId="425" xfId="3" applyFont="1" applyFill="1" applyBorder="1" applyAlignment="1">
      <alignment horizontal="left" vertical="center"/>
    </xf>
    <xf numFmtId="170" fontId="33" fillId="4" borderId="0" xfId="5" applyNumberFormat="1" applyFont="1" applyFill="1" applyAlignment="1">
      <alignment horizontal="right" vertical="center"/>
    </xf>
    <xf numFmtId="1" fontId="21" fillId="11" borderId="426" xfId="1" applyNumberFormat="1" applyFont="1" applyFill="1" applyBorder="1" applyAlignment="1" applyProtection="1">
      <alignment horizontal="center" vertical="center"/>
      <protection locked="0"/>
    </xf>
    <xf numFmtId="0" fontId="13" fillId="64" borderId="425" xfId="1" applyFont="1" applyFill="1" applyBorder="1" applyAlignment="1">
      <alignment horizontal="center" vertical="center" wrapText="1"/>
    </xf>
    <xf numFmtId="186" fontId="36" fillId="15" borderId="427" xfId="6" applyNumberFormat="1" applyFont="1" applyFill="1" applyBorder="1" applyAlignment="1">
      <alignment vertical="center"/>
    </xf>
    <xf numFmtId="0" fontId="33" fillId="4" borderId="48" xfId="1" applyFont="1" applyFill="1" applyBorder="1" applyAlignment="1" applyProtection="1">
      <alignment horizontal="right" vertical="center" wrapText="1"/>
      <protection hidden="1"/>
    </xf>
    <xf numFmtId="0" fontId="162" fillId="67" borderId="0" xfId="19" applyFont="1" applyFill="1" applyAlignment="1" applyProtection="1">
      <alignment horizontal="left" vertical="center"/>
    </xf>
    <xf numFmtId="0" fontId="252" fillId="6" borderId="13" xfId="3" applyFont="1" applyFill="1" applyBorder="1" applyAlignment="1" applyProtection="1">
      <alignment horizontal="center" vertical="center" wrapText="1"/>
      <protection locked="0"/>
    </xf>
    <xf numFmtId="0" fontId="252" fillId="6" borderId="0" xfId="3" applyFont="1" applyFill="1" applyAlignment="1" applyProtection="1">
      <alignment horizontal="center" vertical="center" wrapText="1"/>
      <protection locked="0"/>
    </xf>
    <xf numFmtId="173" fontId="252" fillId="25" borderId="13" xfId="3" applyNumberFormat="1" applyFont="1" applyFill="1" applyBorder="1" applyAlignment="1" applyProtection="1">
      <alignment horizontal="center" vertical="center"/>
      <protection locked="0"/>
    </xf>
    <xf numFmtId="173" fontId="252" fillId="25" borderId="0" xfId="3" applyNumberFormat="1" applyFont="1" applyFill="1" applyAlignment="1" applyProtection="1">
      <alignment horizontal="center" vertical="center"/>
      <protection locked="0"/>
    </xf>
    <xf numFmtId="0" fontId="255" fillId="6" borderId="16" xfId="3" applyFont="1" applyFill="1" applyBorder="1" applyAlignment="1" applyProtection="1">
      <alignment horizontal="center" vertical="center"/>
      <protection locked="0"/>
    </xf>
    <xf numFmtId="0" fontId="255" fillId="6" borderId="0" xfId="3" applyFont="1" applyFill="1" applyAlignment="1" applyProtection="1">
      <alignment horizontal="center" vertical="center"/>
      <protection locked="0"/>
    </xf>
    <xf numFmtId="0" fontId="251" fillId="3" borderId="16" xfId="3" applyFont="1" applyFill="1" applyBorder="1" applyAlignment="1" applyProtection="1">
      <alignment horizontal="center" vertical="center"/>
      <protection locked="0"/>
    </xf>
    <xf numFmtId="0" fontId="251" fillId="3" borderId="0" xfId="3" applyFont="1" applyFill="1" applyAlignment="1" applyProtection="1">
      <alignment horizontal="center" vertical="center"/>
      <protection locked="0"/>
    </xf>
    <xf numFmtId="0" fontId="251" fillId="73" borderId="91" xfId="22" applyFont="1" applyFill="1" applyBorder="1" applyAlignment="1">
      <alignment horizontal="center" vertical="center"/>
    </xf>
    <xf numFmtId="0" fontId="251" fillId="73" borderId="40" xfId="22" applyFont="1" applyFill="1" applyBorder="1" applyAlignment="1">
      <alignment horizontal="center" vertical="center"/>
    </xf>
    <xf numFmtId="0" fontId="251" fillId="73" borderId="46" xfId="22" applyFont="1" applyFill="1" applyBorder="1" applyAlignment="1">
      <alignment horizontal="center" vertical="center"/>
    </xf>
    <xf numFmtId="0" fontId="251" fillId="73" borderId="5" xfId="22" applyFont="1" applyFill="1" applyBorder="1" applyAlignment="1">
      <alignment horizontal="center" vertical="center"/>
    </xf>
    <xf numFmtId="0" fontId="251" fillId="73" borderId="47" xfId="22" applyFont="1" applyFill="1" applyBorder="1" applyAlignment="1">
      <alignment horizontal="center" vertical="center"/>
    </xf>
    <xf numFmtId="1" fontId="286" fillId="56" borderId="0" xfId="22" applyNumberFormat="1" applyFont="1" applyFill="1" applyAlignment="1">
      <alignment horizontal="center" vertical="center"/>
    </xf>
    <xf numFmtId="0" fontId="267" fillId="19" borderId="0" xfId="1" applyFont="1" applyFill="1" applyAlignment="1" applyProtection="1">
      <alignment horizontal="center" vertical="center" wrapText="1"/>
      <protection hidden="1"/>
    </xf>
    <xf numFmtId="0" fontId="262" fillId="3" borderId="0" xfId="22" applyFont="1" applyFill="1" applyAlignment="1">
      <alignment horizontal="center" vertical="center"/>
    </xf>
    <xf numFmtId="177" fontId="255" fillId="25" borderId="140" xfId="3" applyNumberFormat="1" applyFont="1" applyFill="1" applyBorder="1" applyAlignment="1" applyProtection="1">
      <alignment horizontal="center" vertical="center"/>
      <protection locked="0"/>
    </xf>
    <xf numFmtId="177" fontId="251" fillId="3" borderId="40" xfId="3" applyNumberFormat="1" applyFont="1" applyFill="1" applyBorder="1" applyAlignment="1" applyProtection="1">
      <alignment horizontal="center" vertical="center"/>
      <protection locked="0"/>
    </xf>
    <xf numFmtId="0" fontId="251" fillId="4" borderId="48" xfId="22" applyFont="1" applyFill="1" applyBorder="1" applyAlignment="1">
      <alignment horizontal="center" vertical="center"/>
    </xf>
    <xf numFmtId="0" fontId="251" fillId="4" borderId="140" xfId="22" applyFont="1" applyFill="1" applyBorder="1" applyAlignment="1">
      <alignment horizontal="center" vertical="center"/>
    </xf>
    <xf numFmtId="0" fontId="186" fillId="3" borderId="51" xfId="1" applyFont="1" applyFill="1" applyBorder="1" applyAlignment="1">
      <alignment horizontal="center" vertical="center"/>
    </xf>
    <xf numFmtId="0" fontId="186" fillId="3" borderId="145" xfId="1" applyFont="1" applyFill="1" applyBorder="1" applyAlignment="1">
      <alignment horizontal="center" vertical="center"/>
    </xf>
    <xf numFmtId="0" fontId="251" fillId="4" borderId="61" xfId="22" applyFont="1" applyFill="1" applyBorder="1" applyAlignment="1">
      <alignment horizontal="center" vertical="center"/>
    </xf>
    <xf numFmtId="0" fontId="251" fillId="4" borderId="62" xfId="22" applyFont="1" applyFill="1" applyBorder="1" applyAlignment="1">
      <alignment horizontal="center" vertical="center"/>
    </xf>
    <xf numFmtId="0" fontId="251" fillId="74" borderId="0" xfId="1" applyFont="1" applyFill="1" applyAlignment="1" applyProtection="1">
      <alignment horizontal="center" vertical="center"/>
      <protection hidden="1"/>
    </xf>
    <xf numFmtId="0" fontId="251" fillId="74" borderId="0" xfId="1" applyFont="1" applyFill="1" applyAlignment="1" applyProtection="1">
      <alignment horizontal="center" vertical="center" wrapText="1"/>
      <protection hidden="1"/>
    </xf>
    <xf numFmtId="0" fontId="251" fillId="74" borderId="21" xfId="1" applyFont="1" applyFill="1" applyBorder="1" applyAlignment="1" applyProtection="1">
      <alignment horizontal="center" vertical="center" wrapText="1"/>
      <protection hidden="1"/>
    </xf>
    <xf numFmtId="0" fontId="164" fillId="15" borderId="0" xfId="1" applyFont="1" applyFill="1" applyAlignment="1" applyProtection="1">
      <alignment horizontal="center" vertical="center" wrapText="1"/>
      <protection hidden="1"/>
    </xf>
    <xf numFmtId="169" fontId="164" fillId="26" borderId="0" xfId="1" applyNumberFormat="1" applyFont="1" applyFill="1" applyAlignment="1">
      <alignment horizontal="center" vertical="center"/>
    </xf>
    <xf numFmtId="169" fontId="164" fillId="29" borderId="0" xfId="1" applyNumberFormat="1" applyFont="1" applyFill="1" applyAlignment="1">
      <alignment horizontal="center" vertical="center"/>
    </xf>
    <xf numFmtId="0" fontId="245" fillId="67" borderId="0" xfId="1" applyFont="1" applyFill="1" applyAlignment="1" applyProtection="1">
      <alignment horizontal="center" vertical="center"/>
      <protection hidden="1"/>
    </xf>
    <xf numFmtId="0" fontId="186" fillId="3" borderId="13" xfId="1" applyFont="1" applyFill="1" applyBorder="1" applyAlignment="1">
      <alignment horizontal="center" vertical="center"/>
    </xf>
    <xf numFmtId="0" fontId="186" fillId="3" borderId="85" xfId="1" applyFont="1" applyFill="1" applyBorder="1" applyAlignment="1">
      <alignment horizontal="center" vertical="center"/>
    </xf>
    <xf numFmtId="0" fontId="290" fillId="15" borderId="0" xfId="23" applyFont="1" applyFill="1" applyAlignment="1" applyProtection="1">
      <alignment horizontal="left" vertical="center"/>
    </xf>
    <xf numFmtId="0" fontId="251" fillId="4" borderId="0" xfId="2" applyFont="1" applyFill="1" applyAlignment="1">
      <alignment horizontal="center" vertical="center" wrapText="1"/>
    </xf>
    <xf numFmtId="0" fontId="243" fillId="67" borderId="0" xfId="1" applyFont="1" applyFill="1" applyAlignment="1">
      <alignment horizontal="center" vertical="center"/>
    </xf>
    <xf numFmtId="0" fontId="269" fillId="4" borderId="0" xfId="23" applyFont="1" applyFill="1" applyAlignment="1" applyProtection="1">
      <alignment horizontal="left" vertical="center"/>
      <protection hidden="1"/>
    </xf>
    <xf numFmtId="0" fontId="179" fillId="4" borderId="0" xfId="1" applyFont="1" applyFill="1" applyAlignment="1" applyProtection="1">
      <alignment horizontal="left" vertical="center"/>
      <protection hidden="1"/>
    </xf>
    <xf numFmtId="0" fontId="252" fillId="4" borderId="17" xfId="2" applyFont="1" applyFill="1" applyBorder="1" applyAlignment="1">
      <alignment horizontal="center" vertical="center" wrapText="1"/>
    </xf>
    <xf numFmtId="0" fontId="252" fillId="4" borderId="140" xfId="2" applyFont="1" applyFill="1" applyBorder="1" applyAlignment="1">
      <alignment horizontal="center" vertical="center" wrapText="1"/>
    </xf>
    <xf numFmtId="0" fontId="252" fillId="4" borderId="16" xfId="2" applyFont="1" applyFill="1" applyBorder="1" applyAlignment="1">
      <alignment horizontal="center" vertical="center" wrapText="1"/>
    </xf>
    <xf numFmtId="0" fontId="252" fillId="4" borderId="0" xfId="2" applyFont="1" applyFill="1" applyAlignment="1">
      <alignment horizontal="center" vertical="center" wrapText="1"/>
    </xf>
    <xf numFmtId="0" fontId="285" fillId="17" borderId="17" xfId="1" applyFont="1" applyFill="1" applyBorder="1" applyAlignment="1">
      <alignment horizontal="center" vertical="center" wrapText="1"/>
    </xf>
    <xf numFmtId="0" fontId="285" fillId="17" borderId="140" xfId="1" applyFont="1" applyFill="1" applyBorder="1" applyAlignment="1">
      <alignment horizontal="center" vertical="center" wrapText="1"/>
    </xf>
    <xf numFmtId="0" fontId="285" fillId="17" borderId="16" xfId="1" applyFont="1" applyFill="1" applyBorder="1" applyAlignment="1">
      <alignment horizontal="center" vertical="center" wrapText="1"/>
    </xf>
    <xf numFmtId="0" fontId="285" fillId="17" borderId="0" xfId="1" applyFont="1" applyFill="1" applyAlignment="1">
      <alignment horizontal="center" vertical="center" wrapText="1"/>
    </xf>
    <xf numFmtId="0" fontId="251" fillId="15" borderId="0" xfId="1" applyFont="1" applyFill="1" applyAlignment="1" applyProtection="1">
      <alignment horizontal="center" vertical="center"/>
      <protection hidden="1"/>
    </xf>
    <xf numFmtId="0" fontId="284" fillId="4" borderId="16" xfId="2" applyFont="1" applyFill="1" applyBorder="1" applyAlignment="1">
      <alignment horizontal="center" vertical="center" wrapText="1"/>
    </xf>
    <xf numFmtId="0" fontId="284" fillId="4" borderId="0" xfId="2" applyFont="1" applyFill="1" applyAlignment="1">
      <alignment horizontal="center" vertical="center" wrapText="1"/>
    </xf>
    <xf numFmtId="0" fontId="284" fillId="9" borderId="16" xfId="2" applyFont="1" applyFill="1" applyBorder="1" applyAlignment="1">
      <alignment horizontal="center" vertical="center" wrapText="1"/>
    </xf>
    <xf numFmtId="0" fontId="284" fillId="9" borderId="0" xfId="2" applyFont="1" applyFill="1" applyAlignment="1">
      <alignment horizontal="center" vertical="center" wrapText="1"/>
    </xf>
    <xf numFmtId="0" fontId="283" fillId="7" borderId="16" xfId="2" applyFont="1" applyFill="1" applyBorder="1" applyAlignment="1">
      <alignment horizontal="center" vertical="center" wrapText="1"/>
    </xf>
    <xf numFmtId="0" fontId="283" fillId="7" borderId="0" xfId="2" applyFont="1" applyFill="1" applyAlignment="1">
      <alignment horizontal="center" vertical="center" wrapText="1"/>
    </xf>
    <xf numFmtId="0" fontId="21" fillId="4" borderId="66" xfId="26" applyFont="1" applyFill="1" applyBorder="1" applyAlignment="1" applyProtection="1">
      <alignment horizontal="center" vertical="center"/>
      <protection locked="0"/>
    </xf>
    <xf numFmtId="0" fontId="21" fillId="4" borderId="67" xfId="26" applyFont="1" applyFill="1" applyBorder="1" applyAlignment="1" applyProtection="1">
      <alignment horizontal="center" vertical="center"/>
      <protection locked="0"/>
    </xf>
    <xf numFmtId="0" fontId="21" fillId="4" borderId="0" xfId="26" applyFont="1" applyFill="1" applyAlignment="1" applyProtection="1">
      <alignment horizontal="center" vertical="center"/>
      <protection locked="0"/>
    </xf>
    <xf numFmtId="0" fontId="21" fillId="4" borderId="15" xfId="26" applyFont="1" applyFill="1" applyBorder="1" applyAlignment="1" applyProtection="1">
      <alignment horizontal="center" vertical="center"/>
      <protection locked="0"/>
    </xf>
    <xf numFmtId="0" fontId="37" fillId="0" borderId="17" xfId="3" applyFont="1" applyBorder="1" applyAlignment="1">
      <alignment horizontal="center" vertical="center" wrapText="1"/>
    </xf>
    <xf numFmtId="0" fontId="37" fillId="0" borderId="140" xfId="3" applyFont="1" applyBorder="1" applyAlignment="1">
      <alignment horizontal="center" vertical="center" wrapText="1"/>
    </xf>
    <xf numFmtId="0" fontId="37" fillId="0" borderId="141" xfId="3" applyFont="1" applyBorder="1" applyAlignment="1">
      <alignment horizontal="center" vertical="center" wrapText="1"/>
    </xf>
    <xf numFmtId="0" fontId="37" fillId="0" borderId="16" xfId="3" applyFont="1" applyBorder="1" applyAlignment="1">
      <alignment horizontal="center" vertical="center" wrapText="1"/>
    </xf>
    <xf numFmtId="0" fontId="37" fillId="0" borderId="0" xfId="3" applyFont="1" applyAlignment="1">
      <alignment horizontal="center" vertical="center" wrapText="1"/>
    </xf>
    <xf numFmtId="0" fontId="37" fillId="0" borderId="10" xfId="3" applyFont="1" applyBorder="1" applyAlignment="1">
      <alignment horizontal="center" vertical="center" wrapText="1"/>
    </xf>
    <xf numFmtId="0" fontId="37" fillId="0" borderId="80" xfId="3" applyFont="1" applyBorder="1" applyAlignment="1">
      <alignment horizontal="center" vertical="center" wrapText="1"/>
    </xf>
    <xf numFmtId="0" fontId="37" fillId="0" borderId="40" xfId="3" applyFont="1" applyBorder="1" applyAlignment="1">
      <alignment horizontal="center" vertical="center" wrapText="1"/>
    </xf>
    <xf numFmtId="0" fontId="37" fillId="0" borderId="81" xfId="3" applyFont="1" applyBorder="1" applyAlignment="1">
      <alignment horizontal="center" vertical="center" wrapText="1"/>
    </xf>
    <xf numFmtId="0" fontId="41" fillId="9" borderId="8" xfId="1" applyFont="1" applyFill="1" applyBorder="1" applyAlignment="1" applyProtection="1">
      <alignment horizontal="center" vertical="center" textRotation="90"/>
      <protection locked="0"/>
    </xf>
    <xf numFmtId="0" fontId="41" fillId="9" borderId="33" xfId="1" applyFont="1" applyFill="1" applyBorder="1" applyAlignment="1" applyProtection="1">
      <alignment horizontal="center" vertical="center" textRotation="90"/>
      <protection locked="0"/>
    </xf>
    <xf numFmtId="0" fontId="327" fillId="4" borderId="66" xfId="1" applyFont="1" applyFill="1" applyBorder="1" applyAlignment="1" applyProtection="1">
      <alignment horizontal="center" vertical="center"/>
      <protection hidden="1"/>
    </xf>
    <xf numFmtId="0" fontId="327" fillId="4" borderId="67" xfId="1" applyFont="1" applyFill="1" applyBorder="1" applyAlignment="1" applyProtection="1">
      <alignment horizontal="center" vertical="center"/>
      <protection hidden="1"/>
    </xf>
    <xf numFmtId="0" fontId="327" fillId="4" borderId="21" xfId="1" applyFont="1" applyFill="1" applyBorder="1" applyAlignment="1" applyProtection="1">
      <alignment horizontal="center" vertical="center"/>
      <protection hidden="1"/>
    </xf>
    <xf numFmtId="0" fontId="327" fillId="4" borderId="34" xfId="1" applyFont="1" applyFill="1" applyBorder="1" applyAlignment="1" applyProtection="1">
      <alignment horizontal="center" vertical="center"/>
      <protection hidden="1"/>
    </xf>
    <xf numFmtId="0" fontId="59" fillId="80" borderId="8" xfId="1" applyFont="1" applyFill="1" applyBorder="1" applyAlignment="1" applyProtection="1">
      <alignment horizontal="center" vertical="center"/>
      <protection hidden="1"/>
    </xf>
    <xf numFmtId="0" fontId="59" fillId="80" borderId="66" xfId="1" applyFont="1" applyFill="1" applyBorder="1" applyAlignment="1" applyProtection="1">
      <alignment horizontal="center" vertical="center"/>
      <protection hidden="1"/>
    </xf>
    <xf numFmtId="0" fontId="41" fillId="9" borderId="8" xfId="25" applyFont="1" applyFill="1" applyBorder="1" applyAlignment="1" applyProtection="1">
      <alignment horizontal="center" vertical="center" textRotation="90"/>
      <protection locked="0"/>
    </xf>
    <xf numFmtId="0" fontId="41" fillId="9" borderId="13" xfId="25" applyFont="1" applyFill="1" applyBorder="1" applyAlignment="1" applyProtection="1">
      <alignment horizontal="center" vertical="center" textRotation="90"/>
      <protection locked="0"/>
    </xf>
    <xf numFmtId="0" fontId="151" fillId="80" borderId="13" xfId="1" applyFont="1" applyFill="1" applyBorder="1" applyAlignment="1" applyProtection="1">
      <alignment horizontal="center" vertical="center" textRotation="90"/>
      <protection locked="0"/>
    </xf>
    <xf numFmtId="0" fontId="151" fillId="80" borderId="85" xfId="1" applyFont="1" applyFill="1" applyBorder="1" applyAlignment="1" applyProtection="1">
      <alignment horizontal="center" vertical="center" textRotation="90"/>
      <protection locked="0"/>
    </xf>
    <xf numFmtId="0" fontId="34" fillId="4" borderId="21" xfId="1" applyFont="1" applyFill="1" applyBorder="1" applyAlignment="1" applyProtection="1">
      <alignment horizontal="left" vertical="center"/>
      <protection hidden="1"/>
    </xf>
    <xf numFmtId="0" fontId="59" fillId="80" borderId="21" xfId="1" applyFont="1" applyFill="1" applyBorder="1" applyAlignment="1" applyProtection="1">
      <alignment horizontal="center" vertical="center"/>
      <protection hidden="1"/>
    </xf>
    <xf numFmtId="0" fontId="59" fillId="80" borderId="162" xfId="1" applyFont="1" applyFill="1" applyBorder="1" applyAlignment="1" applyProtection="1">
      <alignment horizontal="center" vertical="center"/>
      <protection hidden="1"/>
    </xf>
    <xf numFmtId="0" fontId="36" fillId="78" borderId="113" xfId="1" applyFont="1" applyFill="1" applyBorder="1" applyAlignment="1" applyProtection="1">
      <alignment horizontal="center" vertical="center" textRotation="90"/>
      <protection locked="0"/>
    </xf>
    <xf numFmtId="0" fontId="36" fillId="78" borderId="15" xfId="1" applyFont="1" applyFill="1" applyBorder="1" applyAlignment="1" applyProtection="1">
      <alignment horizontal="center" vertical="center" textRotation="90"/>
      <protection locked="0"/>
    </xf>
    <xf numFmtId="1" fontId="331" fillId="4" borderId="0" xfId="1" applyNumberFormat="1" applyFont="1" applyFill="1" applyAlignment="1" applyProtection="1">
      <alignment horizontal="center" vertical="center"/>
      <protection hidden="1"/>
    </xf>
    <xf numFmtId="0" fontId="328" fillId="4" borderId="165" xfId="1" applyFont="1" applyFill="1" applyBorder="1" applyAlignment="1" applyProtection="1">
      <alignment horizontal="center" vertical="center"/>
      <protection hidden="1"/>
    </xf>
    <xf numFmtId="0" fontId="59" fillId="80" borderId="15" xfId="1" applyFont="1" applyFill="1" applyBorder="1" applyAlignment="1" applyProtection="1">
      <alignment horizontal="center" vertical="center" textRotation="90"/>
      <protection locked="0"/>
    </xf>
    <xf numFmtId="0" fontId="59" fillId="80" borderId="87" xfId="1" applyFont="1" applyFill="1" applyBorder="1" applyAlignment="1" applyProtection="1">
      <alignment horizontal="center" vertical="center" textRotation="90"/>
      <protection locked="0"/>
    </xf>
    <xf numFmtId="0" fontId="9" fillId="4" borderId="40" xfId="1" applyFont="1" applyFill="1" applyBorder="1" applyAlignment="1" applyProtection="1">
      <alignment horizontal="center"/>
      <protection hidden="1"/>
    </xf>
    <xf numFmtId="0" fontId="12" fillId="4" borderId="0" xfId="25" applyFont="1" applyFill="1" applyAlignment="1" applyProtection="1">
      <alignment horizontal="center" vertical="center"/>
      <protection locked="0"/>
    </xf>
    <xf numFmtId="0" fontId="41" fillId="9" borderId="13" xfId="1" applyFont="1" applyFill="1" applyBorder="1" applyAlignment="1" applyProtection="1">
      <alignment horizontal="center" vertical="center" textRotation="90"/>
      <protection locked="0"/>
    </xf>
    <xf numFmtId="0" fontId="18" fillId="12" borderId="8" xfId="1" applyFont="1" applyFill="1" applyBorder="1" applyAlignment="1" applyProtection="1">
      <alignment horizontal="center" vertical="center"/>
      <protection hidden="1"/>
    </xf>
    <xf numFmtId="0" fontId="18" fillId="12" borderId="66" xfId="1" applyFont="1" applyFill="1" applyBorder="1" applyAlignment="1" applyProtection="1">
      <alignment horizontal="center" vertical="center"/>
      <protection hidden="1"/>
    </xf>
    <xf numFmtId="0" fontId="41" fillId="12" borderId="13" xfId="1" applyFont="1" applyFill="1" applyBorder="1" applyAlignment="1" applyProtection="1">
      <alignment horizontal="center" vertical="center" textRotation="90"/>
      <protection locked="0"/>
    </xf>
    <xf numFmtId="0" fontId="41" fillId="12" borderId="85" xfId="1" applyFont="1" applyFill="1" applyBorder="1" applyAlignment="1" applyProtection="1">
      <alignment horizontal="center" vertical="center" textRotation="90"/>
      <protection locked="0"/>
    </xf>
    <xf numFmtId="0" fontId="18" fillId="12" borderId="21" xfId="1" applyFont="1" applyFill="1" applyBorder="1" applyAlignment="1" applyProtection="1">
      <alignment horizontal="center" vertical="center"/>
      <protection hidden="1"/>
    </xf>
    <xf numFmtId="0" fontId="18" fillId="12" borderId="162" xfId="1" applyFont="1" applyFill="1" applyBorder="1" applyAlignment="1" applyProtection="1">
      <alignment horizontal="center" vertical="center"/>
      <protection hidden="1"/>
    </xf>
    <xf numFmtId="165" fontId="111" fillId="39" borderId="0" xfId="1" applyNumberFormat="1" applyFont="1" applyFill="1" applyAlignment="1" applyProtection="1">
      <alignment horizontal="center" vertical="center"/>
      <protection hidden="1"/>
    </xf>
    <xf numFmtId="0" fontId="60" fillId="39" borderId="0" xfId="1" applyFont="1" applyFill="1" applyAlignment="1" applyProtection="1">
      <alignment horizontal="center" vertical="center"/>
      <protection hidden="1"/>
    </xf>
    <xf numFmtId="0" fontId="18" fillId="12" borderId="113" xfId="1" applyFont="1" applyFill="1" applyBorder="1" applyAlignment="1" applyProtection="1">
      <alignment horizontal="center" vertical="center" textRotation="90"/>
      <protection locked="0"/>
    </xf>
    <xf numFmtId="0" fontId="18" fillId="12" borderId="158" xfId="1" applyFont="1" applyFill="1" applyBorder="1" applyAlignment="1" applyProtection="1">
      <alignment horizontal="center" vertical="center" textRotation="90"/>
      <protection locked="0"/>
    </xf>
    <xf numFmtId="0" fontId="12" fillId="4" borderId="66" xfId="1" applyFont="1" applyFill="1" applyBorder="1" applyAlignment="1" applyProtection="1">
      <alignment horizontal="center" vertical="center"/>
      <protection locked="0"/>
    </xf>
    <xf numFmtId="0" fontId="103" fillId="24" borderId="173" xfId="4" applyFont="1" applyFill="1" applyBorder="1" applyAlignment="1">
      <alignment horizontal="center" vertical="center"/>
    </xf>
    <xf numFmtId="0" fontId="103" fillId="24" borderId="0" xfId="4" applyFont="1" applyFill="1" applyAlignment="1">
      <alignment horizontal="center" vertical="center"/>
    </xf>
    <xf numFmtId="0" fontId="103" fillId="24" borderId="15" xfId="4" applyFont="1" applyFill="1" applyBorder="1" applyAlignment="1">
      <alignment horizontal="center" vertical="center"/>
    </xf>
    <xf numFmtId="0" fontId="335" fillId="0" borderId="93" xfId="7" applyFont="1" applyBorder="1" applyAlignment="1">
      <alignment horizontal="center" vertical="center"/>
    </xf>
    <xf numFmtId="0" fontId="335" fillId="0" borderId="20" xfId="7" applyFont="1" applyBorder="1" applyAlignment="1">
      <alignment horizontal="center" vertical="center"/>
    </xf>
    <xf numFmtId="0" fontId="335" fillId="0" borderId="11" xfId="7" applyFont="1" applyBorder="1" applyAlignment="1">
      <alignment horizontal="center" vertical="center"/>
    </xf>
    <xf numFmtId="0" fontId="80" fillId="4" borderId="49" xfId="4" applyFont="1" applyFill="1" applyBorder="1" applyAlignment="1">
      <alignment horizontal="center" vertical="center"/>
    </xf>
    <xf numFmtId="0" fontId="80" fillId="4" borderId="0" xfId="4" applyFont="1" applyFill="1" applyAlignment="1">
      <alignment horizontal="center" vertical="center"/>
    </xf>
    <xf numFmtId="0" fontId="80" fillId="4" borderId="15" xfId="4" applyFont="1" applyFill="1" applyBorder="1" applyAlignment="1">
      <alignment horizontal="center" vertical="center"/>
    </xf>
    <xf numFmtId="0" fontId="18" fillId="22" borderId="176" xfId="1" applyFont="1" applyFill="1" applyBorder="1" applyAlignment="1">
      <alignment horizontal="center" vertical="center"/>
    </xf>
    <xf numFmtId="0" fontId="18" fillId="22" borderId="175" xfId="1" applyFont="1" applyFill="1" applyBorder="1" applyAlignment="1">
      <alignment horizontal="center" vertical="center"/>
    </xf>
    <xf numFmtId="0" fontId="18" fillId="22" borderId="174" xfId="1" applyFont="1" applyFill="1" applyBorder="1" applyAlignment="1">
      <alignment horizontal="center" vertical="center"/>
    </xf>
    <xf numFmtId="0" fontId="9" fillId="13" borderId="13" xfId="10" applyFont="1" applyFill="1" applyBorder="1" applyAlignment="1" applyProtection="1">
      <alignment horizontal="center" vertical="center" wrapText="1"/>
      <protection locked="0"/>
    </xf>
    <xf numFmtId="0" fontId="9" fillId="13" borderId="0" xfId="10" applyFont="1" applyFill="1" applyAlignment="1" applyProtection="1">
      <alignment horizontal="center" vertical="center" wrapText="1"/>
      <protection locked="0"/>
    </xf>
    <xf numFmtId="0" fontId="9" fillId="13" borderId="15" xfId="10" applyFont="1" applyFill="1" applyBorder="1" applyAlignment="1" applyProtection="1">
      <alignment horizontal="center" vertical="center" wrapText="1"/>
      <protection locked="0"/>
    </xf>
    <xf numFmtId="0" fontId="9" fillId="13" borderId="85" xfId="10" applyFont="1" applyFill="1" applyBorder="1" applyAlignment="1" applyProtection="1">
      <alignment horizontal="center" vertical="center" wrapText="1"/>
      <protection locked="0"/>
    </xf>
    <xf numFmtId="0" fontId="9" fillId="13" borderId="86" xfId="10" applyFont="1" applyFill="1" applyBorder="1" applyAlignment="1" applyProtection="1">
      <alignment horizontal="center" vertical="center" wrapText="1"/>
      <protection locked="0"/>
    </xf>
    <xf numFmtId="0" fontId="9" fillId="13" borderId="87" xfId="10" applyFont="1" applyFill="1" applyBorder="1" applyAlignment="1" applyProtection="1">
      <alignment horizontal="center" vertical="center" wrapText="1"/>
      <protection locked="0"/>
    </xf>
    <xf numFmtId="0" fontId="4" fillId="4" borderId="75" xfId="13" applyFont="1" applyFill="1" applyBorder="1" applyAlignment="1">
      <alignment horizontal="left" vertical="center" wrapText="1"/>
    </xf>
    <xf numFmtId="0" fontId="64" fillId="28" borderId="65" xfId="10" applyFont="1" applyFill="1" applyBorder="1" applyAlignment="1" applyProtection="1">
      <alignment horizontal="left" vertical="center"/>
      <protection locked="0"/>
    </xf>
    <xf numFmtId="0" fontId="64" fillId="28" borderId="70" xfId="10" applyFont="1" applyFill="1" applyBorder="1" applyAlignment="1" applyProtection="1">
      <alignment horizontal="left" vertical="center"/>
      <protection locked="0"/>
    </xf>
    <xf numFmtId="175" fontId="9" fillId="4" borderId="0" xfId="10" applyNumberFormat="1" applyFont="1" applyFill="1" applyAlignment="1" applyProtection="1">
      <alignment horizontal="center" vertical="center"/>
      <protection locked="0"/>
    </xf>
    <xf numFmtId="166" fontId="33" fillId="40" borderId="0" xfId="1" applyNumberFormat="1" applyFont="1" applyFill="1" applyAlignment="1">
      <alignment horizontal="center" vertical="center"/>
    </xf>
    <xf numFmtId="0" fontId="46" fillId="0" borderId="0" xfId="13" applyFont="1" applyAlignment="1">
      <alignment horizontal="right" vertical="center" wrapText="1"/>
    </xf>
    <xf numFmtId="176" fontId="103" fillId="4" borderId="0" xfId="13" applyNumberFormat="1" applyFont="1" applyFill="1" applyAlignment="1">
      <alignment horizontal="center" vertical="center"/>
    </xf>
    <xf numFmtId="166" fontId="9" fillId="40" borderId="83" xfId="1" applyNumberFormat="1" applyFont="1" applyFill="1" applyBorder="1" applyAlignment="1">
      <alignment horizontal="center" vertical="center"/>
    </xf>
    <xf numFmtId="1" fontId="33" fillId="4" borderId="75" xfId="10" applyNumberFormat="1" applyFont="1" applyFill="1" applyBorder="1" applyAlignment="1" applyProtection="1">
      <alignment horizontal="center" vertical="center"/>
      <protection locked="0"/>
    </xf>
    <xf numFmtId="1" fontId="33" fillId="4" borderId="70" xfId="10" applyNumberFormat="1" applyFont="1" applyFill="1" applyBorder="1" applyAlignment="1" applyProtection="1">
      <alignment horizontal="center" vertical="center"/>
      <protection locked="0"/>
    </xf>
    <xf numFmtId="174" fontId="9" fillId="40" borderId="83" xfId="1" applyNumberFormat="1" applyFont="1" applyFill="1" applyBorder="1" applyAlignment="1">
      <alignment horizontal="center" vertical="center"/>
    </xf>
    <xf numFmtId="175" fontId="18" fillId="4" borderId="0" xfId="10" applyNumberFormat="1" applyFont="1" applyFill="1" applyAlignment="1" applyProtection="1">
      <alignment horizontal="center" vertical="center"/>
      <protection locked="0"/>
    </xf>
    <xf numFmtId="0" fontId="103" fillId="4" borderId="0" xfId="13" applyFont="1" applyFill="1" applyAlignment="1">
      <alignment horizontal="center" vertical="center"/>
    </xf>
    <xf numFmtId="1" fontId="18" fillId="40" borderId="0" xfId="1" applyNumberFormat="1" applyFont="1" applyFill="1" applyAlignment="1">
      <alignment horizontal="center" vertical="center"/>
    </xf>
    <xf numFmtId="0" fontId="46" fillId="4" borderId="0" xfId="13" applyFont="1" applyFill="1" applyAlignment="1">
      <alignment horizontal="center" vertical="center"/>
    </xf>
    <xf numFmtId="0" fontId="36" fillId="4" borderId="63" xfId="10" applyFont="1" applyFill="1" applyBorder="1" applyAlignment="1">
      <alignment horizontal="left" vertical="center"/>
    </xf>
    <xf numFmtId="0" fontId="36" fillId="4" borderId="64" xfId="10" applyFont="1" applyFill="1" applyBorder="1" applyAlignment="1">
      <alignment horizontal="left" vertical="center"/>
    </xf>
    <xf numFmtId="0" fontId="36" fillId="4" borderId="68" xfId="10" applyFont="1" applyFill="1" applyBorder="1" applyAlignment="1">
      <alignment horizontal="left" vertical="center"/>
    </xf>
    <xf numFmtId="0" fontId="36" fillId="4" borderId="69" xfId="10" applyFont="1" applyFill="1" applyBorder="1" applyAlignment="1">
      <alignment horizontal="left" vertical="center"/>
    </xf>
    <xf numFmtId="0" fontId="33" fillId="21" borderId="64" xfId="10" applyFont="1" applyFill="1" applyBorder="1" applyAlignment="1" applyProtection="1">
      <alignment horizontal="right" vertical="center" wrapText="1"/>
      <protection locked="0"/>
    </xf>
    <xf numFmtId="0" fontId="33" fillId="21" borderId="69" xfId="10" applyFont="1" applyFill="1" applyBorder="1" applyAlignment="1" applyProtection="1">
      <alignment horizontal="right" vertical="center" wrapText="1"/>
      <protection locked="0"/>
    </xf>
    <xf numFmtId="174" fontId="111" fillId="28" borderId="64" xfId="10" applyNumberFormat="1" applyFont="1" applyFill="1" applyBorder="1" applyAlignment="1" applyProtection="1">
      <alignment horizontal="center" vertical="center"/>
      <protection locked="0"/>
    </xf>
    <xf numFmtId="174" fontId="111" fillId="28" borderId="69" xfId="10" applyNumberFormat="1" applyFont="1" applyFill="1" applyBorder="1" applyAlignment="1" applyProtection="1">
      <alignment horizontal="center" vertical="center"/>
      <protection locked="0"/>
    </xf>
    <xf numFmtId="0" fontId="46" fillId="4" borderId="0" xfId="13" applyFont="1" applyFill="1" applyAlignment="1">
      <alignment horizontal="right" vertical="center"/>
    </xf>
    <xf numFmtId="1" fontId="33" fillId="4" borderId="74" xfId="5" applyNumberFormat="1" applyFont="1" applyFill="1" applyBorder="1" applyAlignment="1">
      <alignment horizontal="center" vertical="center"/>
    </xf>
    <xf numFmtId="1" fontId="33" fillId="4" borderId="68" xfId="5" applyNumberFormat="1" applyFont="1" applyFill="1" applyBorder="1" applyAlignment="1">
      <alignment horizontal="center" vertical="center"/>
    </xf>
    <xf numFmtId="174" fontId="33" fillId="40" borderId="0" xfId="1" applyNumberFormat="1" applyFont="1" applyFill="1" applyAlignment="1">
      <alignment horizontal="center" vertical="center"/>
    </xf>
    <xf numFmtId="174" fontId="33" fillId="40" borderId="69" xfId="1" applyNumberFormat="1" applyFont="1" applyFill="1" applyBorder="1" applyAlignment="1">
      <alignment horizontal="center" vertical="center"/>
    </xf>
    <xf numFmtId="0" fontId="46" fillId="4" borderId="69" xfId="13" applyFont="1" applyFill="1" applyBorder="1" applyAlignment="1">
      <alignment horizontal="center" vertical="center"/>
    </xf>
    <xf numFmtId="175" fontId="18" fillId="4" borderId="69" xfId="10" applyNumberFormat="1" applyFont="1" applyFill="1" applyBorder="1" applyAlignment="1" applyProtection="1">
      <alignment horizontal="center" vertical="center"/>
      <protection locked="0"/>
    </xf>
    <xf numFmtId="176" fontId="18" fillId="4" borderId="0" xfId="12" applyNumberFormat="1" applyFont="1" applyFill="1" applyAlignment="1">
      <alignment horizontal="center" vertical="center"/>
    </xf>
    <xf numFmtId="176" fontId="18" fillId="4" borderId="69" xfId="12" applyNumberFormat="1" applyFont="1" applyFill="1" applyBorder="1" applyAlignment="1">
      <alignment horizontal="center" vertical="center"/>
    </xf>
    <xf numFmtId="1" fontId="33" fillId="4" borderId="0" xfId="10" applyNumberFormat="1" applyFont="1" applyFill="1" applyAlignment="1" applyProtection="1">
      <alignment horizontal="left" vertical="center" wrapText="1"/>
      <protection locked="0"/>
    </xf>
    <xf numFmtId="1" fontId="33" fillId="4" borderId="69" xfId="10" applyNumberFormat="1" applyFont="1" applyFill="1" applyBorder="1" applyAlignment="1" applyProtection="1">
      <alignment horizontal="left" vertical="center" wrapText="1"/>
      <protection locked="0"/>
    </xf>
    <xf numFmtId="0" fontId="110" fillId="7" borderId="13" xfId="12" applyFont="1" applyFill="1" applyBorder="1" applyAlignment="1">
      <alignment horizontal="center" vertical="center" wrapText="1"/>
    </xf>
    <xf numFmtId="0" fontId="110" fillId="7" borderId="0" xfId="12" applyFont="1" applyFill="1" applyAlignment="1">
      <alignment horizontal="center" vertical="center" wrapText="1"/>
    </xf>
    <xf numFmtId="0" fontId="110" fillId="7" borderId="15" xfId="12" applyFont="1" applyFill="1" applyBorder="1" applyAlignment="1">
      <alignment horizontal="center" vertical="center" wrapText="1"/>
    </xf>
    <xf numFmtId="0" fontId="110" fillId="7" borderId="91" xfId="12" applyFont="1" applyFill="1" applyBorder="1" applyAlignment="1">
      <alignment horizontal="center" vertical="center" wrapText="1"/>
    </xf>
    <xf numFmtId="0" fontId="110" fillId="7" borderId="40" xfId="12" applyFont="1" applyFill="1" applyBorder="1" applyAlignment="1">
      <alignment horizontal="center" vertical="center" wrapText="1"/>
    </xf>
    <xf numFmtId="0" fontId="110" fillId="7" borderId="90" xfId="12" applyFont="1" applyFill="1" applyBorder="1" applyAlignment="1">
      <alignment horizontal="center" vertical="center" wrapText="1"/>
    </xf>
    <xf numFmtId="1" fontId="160" fillId="4" borderId="63" xfId="10" applyNumberFormat="1" applyFont="1" applyFill="1" applyBorder="1" applyAlignment="1">
      <alignment horizontal="center" vertical="center"/>
    </xf>
    <xf numFmtId="0" fontId="160" fillId="4" borderId="64" xfId="10" applyFont="1" applyFill="1" applyBorder="1" applyAlignment="1">
      <alignment horizontal="center" vertical="center"/>
    </xf>
    <xf numFmtId="0" fontId="158" fillId="21" borderId="0" xfId="10" applyFont="1" applyFill="1" applyAlignment="1" applyProtection="1">
      <alignment horizontal="right" vertical="center" wrapText="1"/>
      <protection locked="0"/>
    </xf>
    <xf numFmtId="174" fontId="89" fillId="28" borderId="64" xfId="10" applyNumberFormat="1" applyFont="1" applyFill="1" applyBorder="1" applyAlignment="1" applyProtection="1">
      <alignment horizontal="center" vertical="center"/>
      <protection locked="0"/>
    </xf>
    <xf numFmtId="174" fontId="89" fillId="28" borderId="69" xfId="10" applyNumberFormat="1" applyFont="1" applyFill="1" applyBorder="1" applyAlignment="1" applyProtection="1">
      <alignment horizontal="center" vertical="center"/>
      <protection locked="0"/>
    </xf>
    <xf numFmtId="0" fontId="33" fillId="21" borderId="65" xfId="10" applyFont="1" applyFill="1" applyBorder="1" applyAlignment="1" applyProtection="1">
      <alignment horizontal="left" vertical="center"/>
      <protection locked="0"/>
    </xf>
    <xf numFmtId="0" fontId="33" fillId="21" borderId="70" xfId="10" applyFont="1" applyFill="1" applyBorder="1" applyAlignment="1" applyProtection="1">
      <alignment horizontal="left" vertical="center"/>
      <protection locked="0"/>
    </xf>
    <xf numFmtId="166" fontId="33" fillId="40" borderId="69" xfId="1" applyNumberFormat="1" applyFont="1" applyFill="1" applyBorder="1" applyAlignment="1">
      <alignment horizontal="center" vertical="center"/>
    </xf>
    <xf numFmtId="175" fontId="33" fillId="4" borderId="0" xfId="10" applyNumberFormat="1" applyFont="1" applyFill="1" applyAlignment="1" applyProtection="1">
      <alignment horizontal="center" vertical="center"/>
      <protection locked="0"/>
    </xf>
    <xf numFmtId="175" fontId="33" fillId="4" borderId="69" xfId="10" applyNumberFormat="1" applyFont="1" applyFill="1" applyBorder="1" applyAlignment="1" applyProtection="1">
      <alignment horizontal="center" vertical="center"/>
      <protection locked="0"/>
    </xf>
    <xf numFmtId="176" fontId="33" fillId="4" borderId="0" xfId="12" applyNumberFormat="1" applyFont="1" applyFill="1" applyAlignment="1">
      <alignment horizontal="center" vertical="center"/>
    </xf>
    <xf numFmtId="176" fontId="33" fillId="4" borderId="69" xfId="12" applyNumberFormat="1" applyFont="1" applyFill="1" applyBorder="1" applyAlignment="1">
      <alignment horizontal="center" vertical="center"/>
    </xf>
    <xf numFmtId="0" fontId="48" fillId="13" borderId="13" xfId="6" applyFont="1" applyFill="1" applyBorder="1" applyAlignment="1">
      <alignment horizontal="center" vertical="center" wrapText="1"/>
    </xf>
    <xf numFmtId="0" fontId="48" fillId="13" borderId="0" xfId="6" applyFont="1" applyFill="1" applyAlignment="1">
      <alignment horizontal="center" vertical="center" wrapText="1"/>
    </xf>
    <xf numFmtId="0" fontId="48" fillId="13" borderId="15" xfId="6" applyFont="1" applyFill="1" applyBorder="1" applyAlignment="1">
      <alignment horizontal="center" vertical="center" wrapText="1"/>
    </xf>
    <xf numFmtId="0" fontId="33" fillId="15" borderId="13" xfId="5" applyFont="1" applyFill="1" applyBorder="1" applyAlignment="1">
      <alignment horizontal="right" vertical="center"/>
    </xf>
    <xf numFmtId="0" fontId="33" fillId="15" borderId="0" xfId="5" applyFont="1" applyFill="1" applyAlignment="1">
      <alignment horizontal="right" vertical="center"/>
    </xf>
    <xf numFmtId="178" fontId="113" fillId="17" borderId="0" xfId="16" applyNumberFormat="1" applyFont="1" applyFill="1" applyAlignment="1">
      <alignment horizontal="center" vertical="center"/>
    </xf>
    <xf numFmtId="178" fontId="113" fillId="17" borderId="21" xfId="16" applyNumberFormat="1" applyFont="1" applyFill="1" applyBorder="1" applyAlignment="1">
      <alignment horizontal="center" vertical="center"/>
    </xf>
    <xf numFmtId="178" fontId="24" fillId="17" borderId="0" xfId="16" applyNumberFormat="1" applyFont="1" applyFill="1" applyAlignment="1">
      <alignment horizontal="center" vertical="center"/>
    </xf>
    <xf numFmtId="0" fontId="30" fillId="13" borderId="15" xfId="6" applyFont="1" applyFill="1" applyBorder="1" applyAlignment="1">
      <alignment horizontal="left" vertical="center"/>
    </xf>
    <xf numFmtId="0" fontId="12" fillId="13" borderId="13" xfId="1" applyFont="1" applyFill="1" applyBorder="1" applyAlignment="1" applyProtection="1">
      <alignment horizontal="left" vertical="center" wrapText="1"/>
      <protection locked="0"/>
    </xf>
    <xf numFmtId="0" fontId="12" fillId="13" borderId="0" xfId="1" applyFont="1" applyFill="1" applyAlignment="1" applyProtection="1">
      <alignment horizontal="left" vertical="center" wrapText="1"/>
      <protection locked="0"/>
    </xf>
    <xf numFmtId="0" fontId="12" fillId="13" borderId="15" xfId="1" applyFont="1" applyFill="1" applyBorder="1" applyAlignment="1" applyProtection="1">
      <alignment horizontal="left" vertical="center" wrapText="1"/>
      <protection locked="0"/>
    </xf>
    <xf numFmtId="0" fontId="79" fillId="13" borderId="13" xfId="6" applyFont="1" applyFill="1" applyBorder="1" applyAlignment="1">
      <alignment horizontal="left" wrapText="1"/>
    </xf>
    <xf numFmtId="0" fontId="79" fillId="13" borderId="0" xfId="6" applyFont="1" applyFill="1" applyAlignment="1">
      <alignment horizontal="left" wrapText="1"/>
    </xf>
    <xf numFmtId="0" fontId="79" fillId="13" borderId="15" xfId="6" applyFont="1" applyFill="1" applyBorder="1" applyAlignment="1">
      <alignment horizontal="left" wrapText="1"/>
    </xf>
    <xf numFmtId="0" fontId="1" fillId="22" borderId="13" xfId="12" applyFill="1" applyBorder="1" applyAlignment="1">
      <alignment horizontal="center" wrapText="1"/>
    </xf>
    <xf numFmtId="0" fontId="1" fillId="22" borderId="0" xfId="12" applyFill="1" applyAlignment="1">
      <alignment horizontal="center" wrapText="1"/>
    </xf>
    <xf numFmtId="0" fontId="1" fillId="22" borderId="15" xfId="12" applyFill="1" applyBorder="1" applyAlignment="1">
      <alignment horizontal="center" wrapText="1"/>
    </xf>
    <xf numFmtId="0" fontId="77" fillId="13" borderId="93" xfId="14" applyFont="1" applyFill="1" applyBorder="1" applyAlignment="1">
      <alignment horizontal="left" vertical="center" wrapText="1"/>
    </xf>
    <xf numFmtId="0" fontId="77" fillId="13" borderId="20" xfId="14" applyFont="1" applyFill="1" applyBorder="1" applyAlignment="1">
      <alignment horizontal="left" vertical="center" wrapText="1"/>
    </xf>
    <xf numFmtId="0" fontId="77" fillId="13" borderId="11" xfId="14" applyFont="1" applyFill="1" applyBorder="1" applyAlignment="1">
      <alignment horizontal="left" vertical="center" wrapText="1"/>
    </xf>
    <xf numFmtId="0" fontId="77" fillId="13" borderId="13" xfId="14" applyFont="1" applyFill="1" applyBorder="1" applyAlignment="1">
      <alignment horizontal="left" vertical="center" wrapText="1"/>
    </xf>
    <xf numFmtId="0" fontId="77" fillId="13" borderId="0" xfId="14" applyFont="1" applyFill="1" applyAlignment="1">
      <alignment horizontal="left" vertical="center" wrapText="1"/>
    </xf>
    <xf numFmtId="0" fontId="77" fillId="13" borderId="15" xfId="14" applyFont="1" applyFill="1" applyBorder="1" applyAlignment="1">
      <alignment horizontal="left" vertical="center" wrapText="1"/>
    </xf>
    <xf numFmtId="0" fontId="77" fillId="13" borderId="13" xfId="12" applyFont="1" applyFill="1" applyBorder="1" applyAlignment="1">
      <alignment horizontal="left" wrapText="1"/>
    </xf>
    <xf numFmtId="0" fontId="77" fillId="13" borderId="0" xfId="12" applyFont="1" applyFill="1" applyAlignment="1">
      <alignment horizontal="left" wrapText="1"/>
    </xf>
    <xf numFmtId="0" fontId="77" fillId="13" borderId="15" xfId="12" applyFont="1" applyFill="1" applyBorder="1" applyAlignment="1">
      <alignment horizontal="left" wrapText="1"/>
    </xf>
    <xf numFmtId="2" fontId="40" fillId="43" borderId="46" xfId="1" applyNumberFormat="1" applyFont="1" applyFill="1" applyBorder="1" applyAlignment="1" applyProtection="1">
      <alignment horizontal="center" vertical="center"/>
      <protection locked="0"/>
    </xf>
    <xf numFmtId="2" fontId="40" fillId="43" borderId="5" xfId="1" applyNumberFormat="1" applyFont="1" applyFill="1" applyBorder="1" applyAlignment="1" applyProtection="1">
      <alignment horizontal="center" vertical="center"/>
      <protection locked="0"/>
    </xf>
    <xf numFmtId="0" fontId="48" fillId="13" borderId="13" xfId="6" applyFont="1" applyFill="1" applyBorder="1" applyAlignment="1">
      <alignment horizontal="left" vertical="center" wrapText="1"/>
    </xf>
    <xf numFmtId="0" fontId="48" fillId="13" borderId="0" xfId="6" applyFont="1" applyFill="1" applyAlignment="1">
      <alignment horizontal="left" vertical="center" wrapText="1"/>
    </xf>
    <xf numFmtId="0" fontId="48" fillId="13" borderId="15" xfId="6" applyFont="1" applyFill="1" applyBorder="1" applyAlignment="1">
      <alignment horizontal="left" vertical="center" wrapText="1"/>
    </xf>
    <xf numFmtId="0" fontId="59" fillId="2" borderId="8" xfId="12" applyFont="1" applyFill="1" applyBorder="1" applyAlignment="1">
      <alignment horizontal="center" vertical="center"/>
    </xf>
    <xf numFmtId="0" fontId="59" fillId="2" borderId="66" xfId="12" applyFont="1" applyFill="1" applyBorder="1" applyAlignment="1">
      <alignment horizontal="center" vertical="center"/>
    </xf>
    <xf numFmtId="0" fontId="59" fillId="2" borderId="67" xfId="12" applyFont="1" applyFill="1" applyBorder="1" applyAlignment="1">
      <alignment horizontal="center" vertical="center"/>
    </xf>
    <xf numFmtId="0" fontId="18" fillId="9" borderId="8" xfId="1" applyFont="1" applyFill="1" applyBorder="1" applyAlignment="1">
      <alignment horizontal="center" vertical="center" wrapText="1"/>
    </xf>
    <xf numFmtId="0" fontId="18" fillId="9" borderId="66" xfId="1" applyFont="1" applyFill="1" applyBorder="1" applyAlignment="1">
      <alignment horizontal="center" vertical="center" wrapText="1"/>
    </xf>
    <xf numFmtId="0" fontId="18" fillId="9" borderId="67" xfId="1" applyFont="1" applyFill="1" applyBorder="1" applyAlignment="1">
      <alignment horizontal="center" vertical="center" wrapText="1"/>
    </xf>
    <xf numFmtId="0" fontId="18" fillId="9" borderId="13" xfId="1" applyFont="1" applyFill="1" applyBorder="1" applyAlignment="1">
      <alignment horizontal="center" vertical="center" wrapText="1"/>
    </xf>
    <xf numFmtId="0" fontId="18" fillId="9" borderId="0" xfId="1" applyFont="1" applyFill="1" applyAlignment="1">
      <alignment horizontal="center" vertical="center" wrapText="1"/>
    </xf>
    <xf numFmtId="0" fontId="18" fillId="9" borderId="15" xfId="1" applyFont="1" applyFill="1" applyBorder="1" applyAlignment="1">
      <alignment horizontal="center" vertical="center" wrapText="1"/>
    </xf>
    <xf numFmtId="0" fontId="111" fillId="7" borderId="0" xfId="6" applyFont="1" applyFill="1" applyAlignment="1">
      <alignment horizontal="center" vertical="center"/>
    </xf>
    <xf numFmtId="0" fontId="30" fillId="4" borderId="0" xfId="14" applyFont="1" applyFill="1" applyAlignment="1">
      <alignment horizontal="left" vertical="center" wrapText="1"/>
    </xf>
    <xf numFmtId="0" fontId="30" fillId="4" borderId="15" xfId="14" applyFont="1" applyFill="1" applyBorder="1" applyAlignment="1">
      <alignment horizontal="left" vertical="center" wrapText="1"/>
    </xf>
    <xf numFmtId="0" fontId="111" fillId="4" borderId="16" xfId="6" applyFont="1" applyFill="1" applyBorder="1" applyAlignment="1">
      <alignment horizontal="center" vertical="center" wrapText="1"/>
    </xf>
    <xf numFmtId="0" fontId="111" fillId="4" borderId="0" xfId="6" applyFont="1" applyFill="1" applyAlignment="1">
      <alignment horizontal="center" vertical="center" wrapText="1"/>
    </xf>
    <xf numFmtId="0" fontId="111" fillId="4" borderId="10" xfId="6" applyFont="1" applyFill="1" applyBorder="1" applyAlignment="1">
      <alignment horizontal="center" vertical="center" wrapText="1"/>
    </xf>
    <xf numFmtId="0" fontId="31" fillId="13" borderId="13" xfId="14" applyFont="1" applyFill="1" applyBorder="1" applyAlignment="1">
      <alignment horizontal="right" vertical="center" wrapText="1"/>
    </xf>
    <xf numFmtId="0" fontId="31" fillId="13" borderId="0" xfId="14" applyFont="1" applyFill="1" applyAlignment="1">
      <alignment horizontal="right" vertical="center" wrapText="1"/>
    </xf>
    <xf numFmtId="0" fontId="47" fillId="4" borderId="0" xfId="1" applyFont="1" applyFill="1" applyAlignment="1" applyProtection="1">
      <alignment horizontal="center" vertical="center" wrapText="1"/>
      <protection hidden="1"/>
    </xf>
    <xf numFmtId="0" fontId="47" fillId="4" borderId="21" xfId="1" applyFont="1" applyFill="1" applyBorder="1" applyAlignment="1" applyProtection="1">
      <alignment horizontal="center" vertical="center" wrapText="1"/>
      <protection hidden="1"/>
    </xf>
    <xf numFmtId="0" fontId="56" fillId="4" borderId="15" xfId="1" applyFont="1" applyFill="1" applyBorder="1" applyAlignment="1" applyProtection="1">
      <alignment horizontal="center" vertical="center" wrapText="1"/>
      <protection hidden="1"/>
    </xf>
    <xf numFmtId="0" fontId="56" fillId="4" borderId="34" xfId="1" applyFont="1" applyFill="1" applyBorder="1" applyAlignment="1" applyProtection="1">
      <alignment horizontal="center" vertical="center" wrapText="1"/>
      <protection hidden="1"/>
    </xf>
    <xf numFmtId="0" fontId="9" fillId="13" borderId="13" xfId="6" applyFont="1" applyFill="1" applyBorder="1" applyAlignment="1">
      <alignment horizontal="left" vertical="center" wrapText="1"/>
    </xf>
    <xf numFmtId="0" fontId="9" fillId="13" borderId="0" xfId="6" applyFont="1" applyFill="1" applyAlignment="1">
      <alignment horizontal="left" vertical="center" wrapText="1"/>
    </xf>
    <xf numFmtId="0" fontId="9" fillId="13" borderId="15" xfId="6" applyFont="1" applyFill="1" applyBorder="1" applyAlignment="1">
      <alignment horizontal="left" vertical="center" wrapText="1"/>
    </xf>
    <xf numFmtId="0" fontId="128" fillId="13" borderId="13" xfId="14" applyFont="1" applyFill="1" applyBorder="1" applyAlignment="1">
      <alignment horizontal="left" vertical="center" wrapText="1"/>
    </xf>
    <xf numFmtId="0" fontId="128" fillId="13" borderId="0" xfId="14" applyFont="1" applyFill="1" applyAlignment="1">
      <alignment horizontal="left" vertical="center" wrapText="1"/>
    </xf>
    <xf numFmtId="0" fontId="128" fillId="13" borderId="15" xfId="14" applyFont="1" applyFill="1" applyBorder="1" applyAlignment="1">
      <alignment horizontal="left" vertical="center" wrapText="1"/>
    </xf>
    <xf numFmtId="0" fontId="127" fillId="13" borderId="13" xfId="12" applyFont="1" applyFill="1" applyBorder="1" applyAlignment="1">
      <alignment horizontal="center" vertical="center"/>
    </xf>
    <xf numFmtId="0" fontId="127" fillId="13" borderId="0" xfId="12" applyFont="1" applyFill="1" applyAlignment="1">
      <alignment horizontal="center" vertical="center"/>
    </xf>
    <xf numFmtId="0" fontId="127" fillId="13" borderId="15" xfId="12" applyFont="1" applyFill="1" applyBorder="1" applyAlignment="1">
      <alignment horizontal="center" vertical="center"/>
    </xf>
    <xf numFmtId="49" fontId="84" fillId="4" borderId="0" xfId="18" applyNumberFormat="1" applyFont="1" applyFill="1" applyBorder="1" applyAlignment="1">
      <alignment horizontal="left" vertical="center"/>
    </xf>
    <xf numFmtId="0" fontId="76" fillId="13" borderId="13" xfId="14" applyFont="1" applyFill="1" applyBorder="1" applyAlignment="1">
      <alignment horizontal="left" vertical="center" wrapText="1"/>
    </xf>
    <xf numFmtId="0" fontId="76" fillId="13" borderId="0" xfId="14" applyFont="1" applyFill="1" applyAlignment="1">
      <alignment horizontal="left" vertical="center" wrapText="1"/>
    </xf>
    <xf numFmtId="0" fontId="76" fillId="13" borderId="15" xfId="14" applyFont="1" applyFill="1" applyBorder="1" applyAlignment="1">
      <alignment horizontal="left" vertical="center" wrapText="1"/>
    </xf>
    <xf numFmtId="0" fontId="87" fillId="0" borderId="0" xfId="17" applyFont="1" applyBorder="1" applyAlignment="1">
      <alignment horizontal="left" vertical="center"/>
    </xf>
    <xf numFmtId="0" fontId="27" fillId="12" borderId="13" xfId="1" applyFont="1" applyFill="1" applyBorder="1" applyAlignment="1">
      <alignment horizontal="center" vertical="center" wrapText="1"/>
    </xf>
    <xf numFmtId="0" fontId="27" fillId="12" borderId="0" xfId="1" applyFont="1" applyFill="1" applyAlignment="1">
      <alignment horizontal="center" vertical="center" wrapText="1"/>
    </xf>
    <xf numFmtId="0" fontId="27" fillId="12" borderId="15" xfId="1" applyFont="1" applyFill="1" applyBorder="1" applyAlignment="1">
      <alignment horizontal="center" vertical="center" wrapText="1"/>
    </xf>
    <xf numFmtId="0" fontId="154" fillId="12" borderId="13" xfId="1" applyFont="1" applyFill="1" applyBorder="1" applyAlignment="1">
      <alignment horizontal="center" vertical="center" wrapText="1"/>
    </xf>
    <xf numFmtId="0" fontId="154" fillId="12" borderId="0" xfId="1" applyFont="1" applyFill="1" applyAlignment="1">
      <alignment horizontal="center" vertical="center" wrapText="1"/>
    </xf>
    <xf numFmtId="0" fontId="154" fillId="12" borderId="15" xfId="1" applyFont="1" applyFill="1" applyBorder="1" applyAlignment="1">
      <alignment horizontal="center" vertical="center" wrapText="1"/>
    </xf>
    <xf numFmtId="0" fontId="1" fillId="0" borderId="13" xfId="12" applyBorder="1" applyAlignment="1">
      <alignment horizontal="center" vertical="center" wrapText="1"/>
    </xf>
    <xf numFmtId="0" fontId="1" fillId="0" borderId="0" xfId="12" applyAlignment="1">
      <alignment horizontal="center" vertical="center" wrapText="1"/>
    </xf>
    <xf numFmtId="0" fontId="1" fillId="0" borderId="15" xfId="12" applyBorder="1" applyAlignment="1">
      <alignment horizontal="center" vertical="center" wrapText="1"/>
    </xf>
    <xf numFmtId="0" fontId="28" fillId="7" borderId="13" xfId="1" applyFont="1" applyFill="1" applyBorder="1" applyAlignment="1">
      <alignment horizontal="center" vertical="center" wrapText="1"/>
    </xf>
    <xf numFmtId="0" fontId="28" fillId="7" borderId="0" xfId="1" applyFont="1" applyFill="1" applyAlignment="1">
      <alignment horizontal="center" vertical="center" wrapText="1"/>
    </xf>
    <xf numFmtId="0" fontId="28" fillId="7" borderId="15" xfId="1" applyFont="1" applyFill="1" applyBorder="1" applyAlignment="1">
      <alignment horizontal="center" vertical="center" wrapText="1"/>
    </xf>
    <xf numFmtId="0" fontId="100" fillId="7" borderId="13" xfId="1" applyFont="1" applyFill="1" applyBorder="1" applyAlignment="1">
      <alignment horizontal="center" vertical="center" wrapText="1"/>
    </xf>
    <xf numFmtId="0" fontId="100" fillId="7" borderId="0" xfId="1" applyFont="1" applyFill="1" applyAlignment="1">
      <alignment horizontal="center" vertical="center" wrapText="1"/>
    </xf>
    <xf numFmtId="0" fontId="100" fillId="7" borderId="15" xfId="1" applyFont="1" applyFill="1" applyBorder="1" applyAlignment="1">
      <alignment horizontal="center" vertical="center" wrapText="1"/>
    </xf>
    <xf numFmtId="0" fontId="34" fillId="3" borderId="0" xfId="14" applyFont="1" applyFill="1" applyAlignment="1">
      <alignment horizontal="center" vertical="center" textRotation="90"/>
    </xf>
    <xf numFmtId="0" fontId="118" fillId="0" borderId="100" xfId="1" applyFont="1" applyBorder="1" applyAlignment="1">
      <alignment horizontal="center" vertical="top" textRotation="255"/>
    </xf>
    <xf numFmtId="0" fontId="118" fillId="0" borderId="95" xfId="1" applyFont="1" applyBorder="1" applyAlignment="1">
      <alignment horizontal="center" vertical="top" textRotation="255"/>
    </xf>
    <xf numFmtId="0" fontId="118" fillId="0" borderId="107" xfId="1" applyFont="1" applyBorder="1" applyAlignment="1">
      <alignment horizontal="center" vertical="top" textRotation="255"/>
    </xf>
    <xf numFmtId="0" fontId="130" fillId="4" borderId="20" xfId="1" applyFont="1" applyFill="1" applyBorder="1" applyAlignment="1" applyProtection="1">
      <alignment horizontal="center" wrapText="1"/>
      <protection hidden="1"/>
    </xf>
    <xf numFmtId="0" fontId="130" fillId="4" borderId="0" xfId="1" applyFont="1" applyFill="1" applyAlignment="1" applyProtection="1">
      <alignment horizontal="center" wrapText="1"/>
      <protection hidden="1"/>
    </xf>
    <xf numFmtId="0" fontId="129" fillId="4" borderId="20" xfId="6" applyFont="1" applyFill="1" applyBorder="1" applyAlignment="1">
      <alignment horizontal="center" wrapText="1"/>
    </xf>
    <xf numFmtId="0" fontId="129" fillId="4" borderId="0" xfId="6" applyFont="1" applyFill="1" applyAlignment="1">
      <alignment horizontal="center" wrapText="1"/>
    </xf>
    <xf numFmtId="0" fontId="18" fillId="9" borderId="8" xfId="1" applyFont="1" applyFill="1" applyBorder="1" applyAlignment="1">
      <alignment horizontal="center" vertical="center"/>
    </xf>
    <xf numFmtId="0" fontId="18" fillId="9" borderId="66" xfId="1" applyFont="1" applyFill="1" applyBorder="1" applyAlignment="1">
      <alignment horizontal="center" vertical="center"/>
    </xf>
    <xf numFmtId="0" fontId="18" fillId="9" borderId="67" xfId="1" applyFont="1" applyFill="1" applyBorder="1" applyAlignment="1">
      <alignment horizontal="center" vertical="center"/>
    </xf>
    <xf numFmtId="186" fontId="9" fillId="4" borderId="21" xfId="6" applyNumberFormat="1" applyFont="1" applyFill="1" applyBorder="1" applyAlignment="1">
      <alignment horizontal="center" vertical="center"/>
    </xf>
    <xf numFmtId="0" fontId="64" fillId="4" borderId="0" xfId="12" applyFont="1" applyFill="1" applyAlignment="1">
      <alignment horizontal="center" wrapText="1"/>
    </xf>
    <xf numFmtId="0" fontId="64" fillId="4" borderId="15" xfId="12" applyFont="1" applyFill="1" applyBorder="1" applyAlignment="1">
      <alignment horizontal="center" wrapText="1"/>
    </xf>
    <xf numFmtId="1" fontId="79" fillId="4" borderId="0" xfId="6" applyNumberFormat="1" applyFont="1" applyFill="1" applyAlignment="1">
      <alignment horizontal="center" vertical="center"/>
    </xf>
    <xf numFmtId="1" fontId="9" fillId="4" borderId="0" xfId="6" applyNumberFormat="1" applyFont="1" applyFill="1" applyAlignment="1">
      <alignment horizontal="center" vertical="center" wrapText="1"/>
    </xf>
    <xf numFmtId="0" fontId="9" fillId="9" borderId="8" xfId="1" applyFont="1" applyFill="1" applyBorder="1" applyAlignment="1">
      <alignment horizontal="center" vertical="center" wrapText="1"/>
    </xf>
    <xf numFmtId="0" fontId="9" fillId="9" borderId="66" xfId="1" applyFont="1" applyFill="1" applyBorder="1" applyAlignment="1">
      <alignment horizontal="center" vertical="center" wrapText="1"/>
    </xf>
    <xf numFmtId="0" fontId="9" fillId="9" borderId="67" xfId="1" applyFont="1" applyFill="1" applyBorder="1" applyAlignment="1">
      <alignment horizontal="center" vertical="center" wrapText="1"/>
    </xf>
    <xf numFmtId="0" fontId="9" fillId="9" borderId="13" xfId="1" applyFont="1" applyFill="1" applyBorder="1" applyAlignment="1">
      <alignment horizontal="center" vertical="center" wrapText="1"/>
    </xf>
    <xf numFmtId="0" fontId="9" fillId="9" borderId="0" xfId="1" applyFont="1" applyFill="1" applyAlignment="1">
      <alignment horizontal="center" vertical="center" wrapText="1"/>
    </xf>
    <xf numFmtId="0" fontId="9" fillId="9" borderId="15" xfId="1" applyFont="1" applyFill="1" applyBorder="1" applyAlignment="1">
      <alignment horizontal="center" vertical="center" wrapText="1"/>
    </xf>
    <xf numFmtId="0" fontId="79" fillId="4" borderId="17" xfId="1" applyFont="1" applyFill="1" applyBorder="1" applyAlignment="1" applyProtection="1">
      <alignment horizontal="center"/>
      <protection hidden="1"/>
    </xf>
    <xf numFmtId="0" fontId="79" fillId="4" borderId="140" xfId="1" applyFont="1" applyFill="1" applyBorder="1" applyAlignment="1" applyProtection="1">
      <alignment horizontal="center"/>
      <protection hidden="1"/>
    </xf>
    <xf numFmtId="0" fontId="79" fillId="4" borderId="141" xfId="1" applyFont="1" applyFill="1" applyBorder="1" applyAlignment="1" applyProtection="1">
      <alignment horizontal="center"/>
      <protection hidden="1"/>
    </xf>
    <xf numFmtId="0" fontId="98" fillId="6" borderId="17" xfId="12" applyFont="1" applyFill="1" applyBorder="1" applyAlignment="1" applyProtection="1">
      <alignment horizontal="center" vertical="center" wrapText="1"/>
      <protection locked="0"/>
    </xf>
    <xf numFmtId="0" fontId="98" fillId="6" borderId="16" xfId="12" applyFont="1" applyFill="1" applyBorder="1" applyAlignment="1" applyProtection="1">
      <alignment horizontal="center" vertical="center" wrapText="1"/>
      <protection locked="0"/>
    </xf>
    <xf numFmtId="0" fontId="98" fillId="6" borderId="80" xfId="12" applyFont="1" applyFill="1" applyBorder="1" applyAlignment="1" applyProtection="1">
      <alignment horizontal="center" vertical="center" wrapText="1"/>
      <protection locked="0"/>
    </xf>
    <xf numFmtId="0" fontId="12" fillId="4" borderId="16" xfId="1" applyFont="1" applyFill="1" applyBorder="1" applyAlignment="1" applyProtection="1">
      <alignment horizontal="center" vertical="center" wrapText="1"/>
      <protection hidden="1"/>
    </xf>
    <xf numFmtId="0" fontId="12" fillId="4" borderId="0" xfId="1" applyFont="1" applyFill="1" applyAlignment="1" applyProtection="1">
      <alignment horizontal="center" vertical="center" wrapText="1"/>
      <protection hidden="1"/>
    </xf>
    <xf numFmtId="0" fontId="9" fillId="4" borderId="10" xfId="1" applyFont="1" applyFill="1" applyBorder="1" applyAlignment="1" applyProtection="1">
      <alignment horizontal="center" wrapText="1"/>
      <protection hidden="1"/>
    </xf>
    <xf numFmtId="0" fontId="81" fillId="3" borderId="100" xfId="5" applyFont="1" applyFill="1" applyBorder="1" applyAlignment="1">
      <alignment horizontal="center" vertical="center" textRotation="180"/>
    </xf>
    <xf numFmtId="0" fontId="81" fillId="3" borderId="95" xfId="5" applyFont="1" applyFill="1" applyBorder="1" applyAlignment="1">
      <alignment horizontal="center" vertical="center" textRotation="180"/>
    </xf>
    <xf numFmtId="0" fontId="81" fillId="3" borderId="96" xfId="5" applyFont="1" applyFill="1" applyBorder="1" applyAlignment="1">
      <alignment horizontal="center" vertical="center" textRotation="180"/>
    </xf>
    <xf numFmtId="171" fontId="138" fillId="21" borderId="21" xfId="1" applyNumberFormat="1" applyFont="1" applyFill="1" applyBorder="1" applyAlignment="1" applyProtection="1">
      <alignment horizontal="right" vertical="center" wrapText="1"/>
      <protection locked="0"/>
    </xf>
    <xf numFmtId="0" fontId="47" fillId="4" borderId="13" xfId="1" applyFont="1" applyFill="1" applyBorder="1" applyAlignment="1" applyProtection="1">
      <alignment horizontal="center" vertical="center" wrapText="1"/>
      <protection hidden="1"/>
    </xf>
    <xf numFmtId="0" fontId="47" fillId="4" borderId="33" xfId="1" applyFont="1" applyFill="1" applyBorder="1" applyAlignment="1" applyProtection="1">
      <alignment horizontal="center" vertical="center" wrapText="1"/>
      <protection hidden="1"/>
    </xf>
    <xf numFmtId="0" fontId="27" fillId="12" borderId="13" xfId="1" applyFont="1" applyFill="1" applyBorder="1" applyAlignment="1">
      <alignment horizontal="center" vertical="center"/>
    </xf>
    <xf numFmtId="0" fontId="27" fillId="12" borderId="0" xfId="1" applyFont="1" applyFill="1" applyAlignment="1">
      <alignment horizontal="center" vertical="center"/>
    </xf>
    <xf numFmtId="0" fontId="27" fillId="12" borderId="15" xfId="1" applyFont="1" applyFill="1" applyBorder="1" applyAlignment="1">
      <alignment horizontal="center" vertical="center"/>
    </xf>
    <xf numFmtId="1" fontId="18" fillId="4" borderId="17" xfId="1" applyNumberFormat="1" applyFont="1" applyFill="1" applyBorder="1" applyAlignment="1" applyProtection="1">
      <alignment horizontal="center" vertical="center"/>
      <protection hidden="1"/>
    </xf>
    <xf numFmtId="1" fontId="18" fillId="4" borderId="140" xfId="1" applyNumberFormat="1" applyFont="1" applyFill="1" applyBorder="1" applyAlignment="1" applyProtection="1">
      <alignment horizontal="center" vertical="center"/>
      <protection hidden="1"/>
    </xf>
    <xf numFmtId="1" fontId="18" fillId="4" borderId="141" xfId="1" applyNumberFormat="1" applyFont="1" applyFill="1" applyBorder="1" applyAlignment="1" applyProtection="1">
      <alignment horizontal="center" vertical="center"/>
      <protection hidden="1"/>
    </xf>
    <xf numFmtId="0" fontId="132" fillId="4" borderId="17" xfId="6" applyFont="1" applyFill="1" applyBorder="1" applyAlignment="1">
      <alignment horizontal="center" vertical="center" wrapText="1"/>
    </xf>
    <xf numFmtId="0" fontId="132" fillId="4" borderId="140" xfId="6" applyFont="1" applyFill="1" applyBorder="1" applyAlignment="1">
      <alignment horizontal="center" vertical="center" wrapText="1"/>
    </xf>
    <xf numFmtId="0" fontId="132" fillId="4" borderId="141" xfId="6" applyFont="1" applyFill="1" applyBorder="1" applyAlignment="1">
      <alignment horizontal="center" vertical="center" wrapText="1"/>
    </xf>
    <xf numFmtId="0" fontId="132" fillId="4" borderId="16" xfId="6" applyFont="1" applyFill="1" applyBorder="1" applyAlignment="1">
      <alignment horizontal="center" vertical="center" wrapText="1"/>
    </xf>
    <xf numFmtId="0" fontId="132" fillId="4" borderId="0" xfId="6" applyFont="1" applyFill="1" applyAlignment="1">
      <alignment horizontal="center" vertical="center" wrapText="1"/>
    </xf>
    <xf numFmtId="0" fontId="132" fillId="4" borderId="10" xfId="6" applyFont="1" applyFill="1" applyBorder="1" applyAlignment="1">
      <alignment horizontal="center" vertical="center" wrapText="1"/>
    </xf>
    <xf numFmtId="0" fontId="28" fillId="13" borderId="13" xfId="1" applyFont="1" applyFill="1" applyBorder="1" applyAlignment="1">
      <alignment horizontal="center" vertical="center"/>
    </xf>
    <xf numFmtId="0" fontId="28" fillId="13" borderId="0" xfId="1" applyFont="1" applyFill="1" applyAlignment="1">
      <alignment horizontal="center" vertical="center"/>
    </xf>
    <xf numFmtId="0" fontId="28" fillId="13" borderId="15" xfId="1" applyFont="1" applyFill="1" applyBorder="1" applyAlignment="1">
      <alignment horizontal="center" vertical="center"/>
    </xf>
    <xf numFmtId="0" fontId="9" fillId="4" borderId="0" xfId="6" applyFont="1" applyFill="1" applyAlignment="1">
      <alignment horizontal="center" vertical="center" wrapText="1"/>
    </xf>
    <xf numFmtId="0" fontId="33" fillId="4" borderId="0" xfId="6" applyFont="1" applyFill="1" applyAlignment="1">
      <alignment horizontal="center" wrapText="1"/>
    </xf>
    <xf numFmtId="0" fontId="35" fillId="4" borderId="0" xfId="1" applyFont="1" applyFill="1" applyAlignment="1" applyProtection="1">
      <alignment horizontal="center" wrapText="1"/>
      <protection hidden="1"/>
    </xf>
    <xf numFmtId="0" fontId="47" fillId="4" borderId="0" xfId="1" applyFont="1" applyFill="1" applyAlignment="1" applyProtection="1">
      <alignment horizontal="center" vertical="center"/>
      <protection hidden="1"/>
    </xf>
    <xf numFmtId="0" fontId="32" fillId="13" borderId="15" xfId="14" applyFont="1" applyFill="1" applyBorder="1" applyAlignment="1">
      <alignment horizontal="center" vertical="center"/>
    </xf>
    <xf numFmtId="2" fontId="18" fillId="8" borderId="5" xfId="1" applyNumberFormat="1" applyFont="1" applyFill="1" applyBorder="1" applyAlignment="1" applyProtection="1">
      <alignment horizontal="center" vertical="center"/>
      <protection locked="0"/>
    </xf>
    <xf numFmtId="0" fontId="81" fillId="0" borderId="7" xfId="1" applyFont="1" applyBorder="1" applyAlignment="1">
      <alignment horizontal="center" vertical="top" textRotation="255"/>
    </xf>
    <xf numFmtId="0" fontId="81" fillId="0" borderId="12" xfId="1" applyFont="1" applyBorder="1" applyAlignment="1">
      <alignment horizontal="center" vertical="top" textRotation="255"/>
    </xf>
    <xf numFmtId="0" fontId="81" fillId="0" borderId="41" xfId="1" applyFont="1" applyBorder="1" applyAlignment="1">
      <alignment horizontal="center" vertical="top" textRotation="255"/>
    </xf>
    <xf numFmtId="0" fontId="18" fillId="9" borderId="9" xfId="1" applyFont="1" applyFill="1" applyBorder="1" applyAlignment="1">
      <alignment horizontal="center" vertical="center" wrapText="1"/>
    </xf>
    <xf numFmtId="0" fontId="18" fillId="9" borderId="7" xfId="1" applyFont="1" applyFill="1" applyBorder="1" applyAlignment="1">
      <alignment horizontal="center" vertical="center" wrapText="1"/>
    </xf>
    <xf numFmtId="0" fontId="18" fillId="9" borderId="12" xfId="1" applyFont="1" applyFill="1" applyBorder="1" applyAlignment="1">
      <alignment horizontal="center" vertical="center" wrapText="1"/>
    </xf>
    <xf numFmtId="0" fontId="21" fillId="0" borderId="10" xfId="1" applyFont="1" applyBorder="1" applyAlignment="1">
      <alignment horizontal="center" vertical="center" textRotation="180"/>
    </xf>
    <xf numFmtId="0" fontId="21" fillId="0" borderId="52" xfId="1" applyFont="1" applyBorder="1" applyAlignment="1">
      <alignment horizontal="center" vertical="center" textRotation="180"/>
    </xf>
    <xf numFmtId="0" fontId="19" fillId="6" borderId="0" xfId="0" applyFont="1" applyFill="1" applyAlignment="1">
      <alignment horizontal="right" vertical="center"/>
    </xf>
    <xf numFmtId="0" fontId="26" fillId="4" borderId="0" xfId="5" applyFont="1" applyFill="1" applyAlignment="1">
      <alignment horizontal="center" vertical="center"/>
    </xf>
    <xf numFmtId="0" fontId="26" fillId="4" borderId="14" xfId="5" applyFont="1" applyFill="1" applyBorder="1" applyAlignment="1">
      <alignment horizontal="center" vertical="center"/>
    </xf>
    <xf numFmtId="0" fontId="28" fillId="13" borderId="12" xfId="1" applyFont="1" applyFill="1" applyBorder="1" applyAlignment="1">
      <alignment horizontal="center" vertical="center"/>
    </xf>
    <xf numFmtId="0" fontId="30" fillId="4" borderId="0" xfId="3" applyFont="1" applyFill="1" applyAlignment="1">
      <alignment horizontal="left" vertical="center" wrapText="1"/>
    </xf>
    <xf numFmtId="0" fontId="30" fillId="4" borderId="12" xfId="3" applyFont="1" applyFill="1" applyBorder="1" applyAlignment="1">
      <alignment horizontal="left" vertical="center" wrapText="1"/>
    </xf>
    <xf numFmtId="0" fontId="31" fillId="13" borderId="13" xfId="3" applyFont="1" applyFill="1" applyBorder="1" applyAlignment="1">
      <alignment horizontal="right" vertical="center" wrapText="1"/>
    </xf>
    <xf numFmtId="0" fontId="31" fillId="13" borderId="0" xfId="3" applyFont="1" applyFill="1" applyAlignment="1">
      <alignment horizontal="right" vertical="center" wrapText="1"/>
    </xf>
    <xf numFmtId="0" fontId="32" fillId="13" borderId="12" xfId="3" applyFont="1" applyFill="1" applyBorder="1" applyAlignment="1">
      <alignment horizontal="center" vertical="center"/>
    </xf>
    <xf numFmtId="0" fontId="36" fillId="3" borderId="0" xfId="1" applyFont="1" applyFill="1" applyAlignment="1" applyProtection="1">
      <alignment horizontal="center" vertical="center"/>
      <protection hidden="1"/>
    </xf>
    <xf numFmtId="2" fontId="37" fillId="3" borderId="0" xfId="4" applyNumberFormat="1" applyFont="1" applyFill="1" applyAlignment="1">
      <alignment horizontal="center" vertical="center"/>
    </xf>
    <xf numFmtId="1" fontId="18" fillId="3" borderId="0" xfId="4" applyNumberFormat="1" applyFont="1" applyFill="1" applyAlignment="1">
      <alignment horizontal="left" vertical="center" wrapText="1"/>
    </xf>
    <xf numFmtId="1" fontId="18" fillId="3" borderId="10" xfId="4" applyNumberFormat="1" applyFont="1" applyFill="1" applyBorder="1" applyAlignment="1">
      <alignment horizontal="left" vertical="center" wrapText="1"/>
    </xf>
    <xf numFmtId="0" fontId="38" fillId="2" borderId="17" xfId="5" applyFont="1" applyFill="1" applyBorder="1" applyAlignment="1">
      <alignment horizontal="center" vertical="center"/>
    </xf>
    <xf numFmtId="0" fontId="38" fillId="2" borderId="18" xfId="5" applyFont="1" applyFill="1" applyBorder="1" applyAlignment="1">
      <alignment horizontal="center" vertical="center"/>
    </xf>
    <xf numFmtId="0" fontId="38" fillId="2" borderId="16" xfId="5" applyFont="1" applyFill="1" applyBorder="1" applyAlignment="1">
      <alignment horizontal="center" vertical="center"/>
    </xf>
    <xf numFmtId="0" fontId="38" fillId="2" borderId="0" xfId="5" applyFont="1" applyFill="1" applyAlignment="1">
      <alignment horizontal="center" vertical="center"/>
    </xf>
    <xf numFmtId="1" fontId="39" fillId="2" borderId="18" xfId="5" applyNumberFormat="1" applyFont="1" applyFill="1" applyBorder="1" applyAlignment="1">
      <alignment horizontal="center" vertical="center"/>
    </xf>
    <xf numFmtId="1" fontId="39" fillId="2" borderId="0" xfId="5" applyNumberFormat="1" applyFont="1" applyFill="1" applyAlignment="1">
      <alignment horizontal="center" vertical="center"/>
    </xf>
    <xf numFmtId="0" fontId="38" fillId="2" borderId="18" xfId="1" applyFont="1" applyFill="1" applyBorder="1" applyAlignment="1">
      <alignment horizontal="left" vertical="center"/>
    </xf>
    <xf numFmtId="0" fontId="38" fillId="2" borderId="0" xfId="1" applyFont="1" applyFill="1" applyAlignment="1">
      <alignment horizontal="left" vertical="center"/>
    </xf>
    <xf numFmtId="0" fontId="40" fillId="2" borderId="18" xfId="5" applyFont="1" applyFill="1" applyBorder="1" applyAlignment="1">
      <alignment horizontal="right" vertical="center"/>
    </xf>
    <xf numFmtId="0" fontId="40" fillId="2" borderId="0" xfId="5" applyFont="1" applyFill="1" applyAlignment="1">
      <alignment horizontal="right" vertical="center"/>
    </xf>
    <xf numFmtId="166" fontId="39" fillId="16" borderId="19" xfId="1" applyNumberFormat="1" applyFont="1" applyFill="1" applyBorder="1" applyAlignment="1">
      <alignment horizontal="center" vertical="center"/>
    </xf>
    <xf numFmtId="166" fontId="39" fillId="16" borderId="18" xfId="1" applyNumberFormat="1" applyFont="1" applyFill="1" applyBorder="1" applyAlignment="1">
      <alignment horizontal="center" vertical="center"/>
    </xf>
    <xf numFmtId="166" fontId="39" fillId="16" borderId="12" xfId="1" applyNumberFormat="1" applyFont="1" applyFill="1" applyBorder="1" applyAlignment="1">
      <alignment horizontal="center" vertical="center"/>
    </xf>
    <xf numFmtId="166" fontId="39" fillId="16" borderId="0" xfId="1" applyNumberFormat="1" applyFont="1" applyFill="1" applyAlignment="1">
      <alignment horizontal="center" vertical="center"/>
    </xf>
    <xf numFmtId="165" fontId="33" fillId="15" borderId="0" xfId="4" applyNumberFormat="1" applyFont="1" applyFill="1" applyAlignment="1">
      <alignment horizontal="center" vertical="center"/>
    </xf>
    <xf numFmtId="1" fontId="41" fillId="15" borderId="0" xfId="4" applyNumberFormat="1" applyFont="1" applyFill="1" applyAlignment="1">
      <alignment horizontal="left" vertical="center" wrapText="1"/>
    </xf>
    <xf numFmtId="0" fontId="40" fillId="19" borderId="0" xfId="1" applyFont="1" applyFill="1" applyAlignment="1" applyProtection="1">
      <alignment horizontal="center" vertical="center"/>
      <protection hidden="1"/>
    </xf>
    <xf numFmtId="0" fontId="9" fillId="22" borderId="0" xfId="1" applyFont="1" applyFill="1" applyAlignment="1" applyProtection="1">
      <alignment horizontal="center" vertical="center"/>
      <protection hidden="1"/>
    </xf>
    <xf numFmtId="0" fontId="41" fillId="22" borderId="0" xfId="1" applyFont="1" applyFill="1" applyAlignment="1" applyProtection="1">
      <alignment horizontal="center" vertical="center" wrapText="1"/>
      <protection hidden="1"/>
    </xf>
    <xf numFmtId="0" fontId="48" fillId="15" borderId="20" xfId="1" applyFont="1" applyFill="1" applyBorder="1" applyAlignment="1" applyProtection="1">
      <alignment horizontal="center" vertical="center" wrapText="1"/>
      <protection hidden="1"/>
    </xf>
    <xf numFmtId="0" fontId="48" fillId="15" borderId="0" xfId="1" applyFont="1" applyFill="1" applyAlignment="1" applyProtection="1">
      <alignment horizontal="center" vertical="center" wrapText="1"/>
      <protection hidden="1"/>
    </xf>
    <xf numFmtId="0" fontId="48" fillId="15" borderId="21" xfId="1" applyFont="1" applyFill="1" applyBorder="1" applyAlignment="1" applyProtection="1">
      <alignment horizontal="center" vertical="center" wrapText="1"/>
      <protection hidden="1"/>
    </xf>
    <xf numFmtId="0" fontId="49" fillId="3" borderId="0" xfId="1" applyFont="1" applyFill="1" applyAlignment="1">
      <alignment horizontal="center" vertical="center" wrapText="1"/>
    </xf>
    <xf numFmtId="165" fontId="18" fillId="22" borderId="0" xfId="1" applyNumberFormat="1" applyFont="1" applyFill="1" applyAlignment="1">
      <alignment horizontal="center" vertical="center" wrapText="1"/>
    </xf>
    <xf numFmtId="0" fontId="33" fillId="22" borderId="12" xfId="1" applyFont="1" applyFill="1" applyBorder="1" applyAlignment="1" applyProtection="1">
      <alignment horizontal="center" vertical="center" wrapText="1"/>
      <protection hidden="1"/>
    </xf>
    <xf numFmtId="0" fontId="40" fillId="2" borderId="8" xfId="1" applyFont="1" applyFill="1" applyBorder="1" applyAlignment="1">
      <alignment horizontal="center" vertical="center" wrapText="1"/>
    </xf>
    <xf numFmtId="0" fontId="40" fillId="2" borderId="9" xfId="1" applyFont="1" applyFill="1" applyBorder="1" applyAlignment="1">
      <alignment horizontal="center" vertical="center" wrapText="1"/>
    </xf>
    <xf numFmtId="0" fontId="40" fillId="2" borderId="7" xfId="1" applyFont="1" applyFill="1" applyBorder="1" applyAlignment="1">
      <alignment horizontal="center" vertical="center" wrapText="1"/>
    </xf>
    <xf numFmtId="0" fontId="40" fillId="2" borderId="13" xfId="1" applyFont="1" applyFill="1" applyBorder="1" applyAlignment="1">
      <alignment horizontal="center" vertical="center" wrapText="1"/>
    </xf>
    <xf numFmtId="0" fontId="40" fillId="2" borderId="0" xfId="1" applyFont="1" applyFill="1" applyAlignment="1">
      <alignment horizontal="center" vertical="center" wrapText="1"/>
    </xf>
    <xf numFmtId="0" fontId="40" fillId="2" borderId="12" xfId="1" applyFont="1" applyFill="1" applyBorder="1" applyAlignment="1">
      <alignment horizontal="center" vertical="center" wrapText="1"/>
    </xf>
    <xf numFmtId="0" fontId="33" fillId="22" borderId="13" xfId="1" applyFont="1" applyFill="1" applyBorder="1" applyAlignment="1" applyProtection="1">
      <alignment horizontal="center" vertical="center"/>
      <protection hidden="1"/>
    </xf>
    <xf numFmtId="0" fontId="33" fillId="22" borderId="0" xfId="1" applyFont="1" applyFill="1" applyAlignment="1" applyProtection="1">
      <alignment horizontal="center" vertical="center"/>
      <protection hidden="1"/>
    </xf>
    <xf numFmtId="0" fontId="33" fillId="22" borderId="10" xfId="1" applyFont="1" applyFill="1" applyBorder="1" applyAlignment="1" applyProtection="1">
      <alignment horizontal="center" vertical="center"/>
      <protection hidden="1"/>
    </xf>
    <xf numFmtId="0" fontId="50" fillId="4" borderId="16" xfId="4" applyFont="1" applyFill="1" applyBorder="1" applyAlignment="1">
      <alignment horizontal="left" vertical="center"/>
    </xf>
    <xf numFmtId="0" fontId="50" fillId="4" borderId="0" xfId="4" applyFont="1" applyFill="1" applyAlignment="1">
      <alignment horizontal="left" vertical="center"/>
    </xf>
    <xf numFmtId="0" fontId="50" fillId="4" borderId="12" xfId="4" applyFont="1" applyFill="1" applyBorder="1" applyAlignment="1">
      <alignment horizontal="left" vertical="center"/>
    </xf>
    <xf numFmtId="0" fontId="33" fillId="22" borderId="22" xfId="1" applyFont="1" applyFill="1" applyBorder="1" applyAlignment="1" applyProtection="1">
      <alignment horizontal="center" vertical="center"/>
      <protection hidden="1"/>
    </xf>
    <xf numFmtId="0" fontId="33" fillId="22" borderId="23" xfId="1" applyFont="1" applyFill="1" applyBorder="1" applyAlignment="1" applyProtection="1">
      <alignment horizontal="center" vertical="center"/>
      <protection hidden="1"/>
    </xf>
    <xf numFmtId="164" fontId="18" fillId="22" borderId="13" xfId="1" applyNumberFormat="1" applyFont="1" applyFill="1" applyBorder="1" applyAlignment="1" applyProtection="1">
      <alignment horizontal="center" vertical="center"/>
      <protection hidden="1"/>
    </xf>
    <xf numFmtId="164" fontId="18" fillId="22" borderId="10" xfId="1" applyNumberFormat="1" applyFont="1" applyFill="1" applyBorder="1" applyAlignment="1" applyProtection="1">
      <alignment horizontal="center" vertical="center"/>
      <protection hidden="1"/>
    </xf>
    <xf numFmtId="0" fontId="56" fillId="4" borderId="12" xfId="1" applyFont="1" applyFill="1" applyBorder="1" applyAlignment="1" applyProtection="1">
      <alignment horizontal="center" vertical="center" wrapText="1"/>
      <protection hidden="1"/>
    </xf>
    <xf numFmtId="0" fontId="76" fillId="13" borderId="13" xfId="3" applyFont="1" applyFill="1" applyBorder="1" applyAlignment="1">
      <alignment horizontal="center" vertical="center" wrapText="1"/>
    </xf>
    <xf numFmtId="0" fontId="76" fillId="13" borderId="0" xfId="3" applyFont="1" applyFill="1" applyAlignment="1">
      <alignment horizontal="center" vertical="center" wrapText="1"/>
    </xf>
    <xf numFmtId="0" fontId="76" fillId="13" borderId="12" xfId="3" applyFont="1" applyFill="1" applyBorder="1" applyAlignment="1">
      <alignment horizontal="center" vertical="center" wrapText="1"/>
    </xf>
    <xf numFmtId="0" fontId="59" fillId="19" borderId="13" xfId="1" applyFont="1" applyFill="1" applyBorder="1" applyAlignment="1" applyProtection="1">
      <alignment horizontal="right" vertical="center"/>
      <protection hidden="1"/>
    </xf>
    <xf numFmtId="0" fontId="59" fillId="19" borderId="0" xfId="1" applyFont="1" applyFill="1" applyAlignment="1" applyProtection="1">
      <alignment horizontal="right" vertical="center"/>
      <protection hidden="1"/>
    </xf>
    <xf numFmtId="0" fontId="50" fillId="4" borderId="13" xfId="3" applyFont="1" applyFill="1" applyBorder="1" applyAlignment="1">
      <alignment horizontal="center" vertical="center" wrapText="1"/>
    </xf>
    <xf numFmtId="0" fontId="50" fillId="4" borderId="0" xfId="3" applyFont="1" applyFill="1" applyAlignment="1">
      <alignment horizontal="center" vertical="center" wrapText="1"/>
    </xf>
    <xf numFmtId="0" fontId="50" fillId="4" borderId="12" xfId="3" applyFont="1" applyFill="1" applyBorder="1" applyAlignment="1">
      <alignment horizontal="center" vertical="center" wrapText="1"/>
    </xf>
    <xf numFmtId="0" fontId="1" fillId="13" borderId="13" xfId="2" applyFill="1" applyBorder="1" applyAlignment="1">
      <alignment horizontal="center" wrapText="1"/>
    </xf>
    <xf numFmtId="0" fontId="1" fillId="13" borderId="0" xfId="2" applyFill="1" applyAlignment="1">
      <alignment horizontal="center" wrapText="1"/>
    </xf>
    <xf numFmtId="0" fontId="1" fillId="13" borderId="12" xfId="2" applyFill="1" applyBorder="1" applyAlignment="1">
      <alignment horizontal="center" wrapText="1"/>
    </xf>
    <xf numFmtId="0" fontId="34" fillId="13" borderId="13" xfId="1" applyFont="1" applyFill="1" applyBorder="1" applyAlignment="1">
      <alignment horizontal="left" vertical="center" wrapText="1"/>
    </xf>
    <xf numFmtId="0" fontId="34" fillId="13" borderId="0" xfId="1" applyFont="1" applyFill="1" applyAlignment="1">
      <alignment horizontal="left" vertical="center" wrapText="1"/>
    </xf>
    <xf numFmtId="0" fontId="34" fillId="13" borderId="12" xfId="1" applyFont="1" applyFill="1" applyBorder="1" applyAlignment="1">
      <alignment horizontal="left" vertical="center" wrapText="1"/>
    </xf>
    <xf numFmtId="0" fontId="81" fillId="19" borderId="50" xfId="5" applyFont="1" applyFill="1" applyBorder="1" applyAlignment="1">
      <alignment horizontal="center" vertical="center" textRotation="180"/>
    </xf>
    <xf numFmtId="0" fontId="81" fillId="19" borderId="51" xfId="5" applyFont="1" applyFill="1" applyBorder="1" applyAlignment="1">
      <alignment horizontal="center" vertical="center" textRotation="180"/>
    </xf>
    <xf numFmtId="0" fontId="81" fillId="19" borderId="59" xfId="5" applyFont="1" applyFill="1" applyBorder="1" applyAlignment="1">
      <alignment horizontal="center" vertical="center" textRotation="180"/>
    </xf>
    <xf numFmtId="0" fontId="34" fillId="13" borderId="13" xfId="1" applyFont="1" applyFill="1" applyBorder="1" applyAlignment="1">
      <alignment horizontal="center" vertical="center" wrapText="1"/>
    </xf>
    <xf numFmtId="0" fontId="34" fillId="13" borderId="0" xfId="1" applyFont="1" applyFill="1" applyAlignment="1">
      <alignment horizontal="center" vertical="center" wrapText="1"/>
    </xf>
    <xf numFmtId="0" fontId="34" fillId="13" borderId="12" xfId="1" applyFont="1" applyFill="1" applyBorder="1" applyAlignment="1">
      <alignment horizontal="center" vertical="center" wrapText="1"/>
    </xf>
    <xf numFmtId="0" fontId="36" fillId="4" borderId="63" xfId="10" applyFont="1" applyFill="1" applyBorder="1" applyAlignment="1">
      <alignment horizontal="center" vertical="center"/>
    </xf>
    <xf numFmtId="0" fontId="36" fillId="4" borderId="64" xfId="10" applyFont="1" applyFill="1" applyBorder="1" applyAlignment="1">
      <alignment horizontal="center" vertical="center"/>
    </xf>
    <xf numFmtId="0" fontId="36" fillId="4" borderId="68" xfId="10" applyFont="1" applyFill="1" applyBorder="1" applyAlignment="1">
      <alignment horizontal="center" vertical="center"/>
    </xf>
    <xf numFmtId="0" fontId="36" fillId="4" borderId="69" xfId="10" applyFont="1" applyFill="1" applyBorder="1" applyAlignment="1">
      <alignment horizontal="center" vertical="center"/>
    </xf>
    <xf numFmtId="0" fontId="33" fillId="21" borderId="64" xfId="10" applyFont="1" applyFill="1" applyBorder="1" applyAlignment="1" applyProtection="1">
      <alignment horizontal="center" vertical="center"/>
      <protection locked="0"/>
    </xf>
    <xf numFmtId="0" fontId="33" fillId="21" borderId="69" xfId="10" applyFont="1" applyFill="1" applyBorder="1" applyAlignment="1" applyProtection="1">
      <alignment horizontal="center" vertical="center"/>
      <protection locked="0"/>
    </xf>
    <xf numFmtId="0" fontId="46" fillId="4" borderId="0" xfId="4" applyFont="1" applyFill="1" applyAlignment="1">
      <alignment horizontal="center" vertical="center"/>
    </xf>
    <xf numFmtId="0" fontId="46" fillId="4" borderId="69" xfId="4" applyFont="1" applyFill="1" applyBorder="1" applyAlignment="1">
      <alignment horizontal="center" vertical="center"/>
    </xf>
    <xf numFmtId="176" fontId="33" fillId="4" borderId="0" xfId="2" applyNumberFormat="1" applyFont="1" applyFill="1" applyAlignment="1">
      <alignment horizontal="center" vertical="center"/>
    </xf>
    <xf numFmtId="176" fontId="33" fillId="4" borderId="69" xfId="2" applyNumberFormat="1" applyFont="1" applyFill="1" applyBorder="1" applyAlignment="1">
      <alignment horizontal="center" vertical="center"/>
    </xf>
    <xf numFmtId="0" fontId="1" fillId="0" borderId="13" xfId="2" applyBorder="1" applyAlignment="1">
      <alignment horizontal="center" vertical="center" wrapText="1"/>
    </xf>
    <xf numFmtId="0" fontId="1" fillId="0" borderId="0" xfId="2" applyAlignment="1">
      <alignment horizontal="center" vertical="center" wrapText="1"/>
    </xf>
    <xf numFmtId="0" fontId="1" fillId="0" borderId="15" xfId="2" applyBorder="1" applyAlignment="1">
      <alignment horizontal="center" vertical="center" wrapText="1"/>
    </xf>
    <xf numFmtId="0" fontId="79" fillId="4" borderId="18" xfId="1" applyFont="1" applyFill="1" applyBorder="1" applyAlignment="1" applyProtection="1">
      <alignment horizontal="center"/>
      <protection hidden="1"/>
    </xf>
    <xf numFmtId="0" fontId="79" fillId="4" borderId="79" xfId="1" applyFont="1" applyFill="1" applyBorder="1" applyAlignment="1" applyProtection="1">
      <alignment horizontal="center"/>
      <protection hidden="1"/>
    </xf>
    <xf numFmtId="0" fontId="98" fillId="6" borderId="17" xfId="2" applyFont="1" applyFill="1" applyBorder="1" applyAlignment="1" applyProtection="1">
      <alignment horizontal="center" vertical="center" wrapText="1"/>
      <protection locked="0"/>
    </xf>
    <xf numFmtId="0" fontId="98" fillId="6" borderId="16" xfId="2" applyFont="1" applyFill="1" applyBorder="1" applyAlignment="1" applyProtection="1">
      <alignment horizontal="center" vertical="center" wrapText="1"/>
      <protection locked="0"/>
    </xf>
    <xf numFmtId="0" fontId="98" fillId="6" borderId="80" xfId="2" applyFont="1" applyFill="1" applyBorder="1" applyAlignment="1" applyProtection="1">
      <alignment horizontal="center" vertical="center" wrapText="1"/>
      <protection locked="0"/>
    </xf>
    <xf numFmtId="166" fontId="9" fillId="40" borderId="0" xfId="1" applyNumberFormat="1" applyFont="1" applyFill="1" applyAlignment="1">
      <alignment horizontal="center" vertical="center"/>
    </xf>
    <xf numFmtId="174" fontId="104" fillId="28" borderId="64" xfId="10" applyNumberFormat="1" applyFont="1" applyFill="1" applyBorder="1" applyAlignment="1" applyProtection="1">
      <alignment horizontal="center" vertical="center"/>
      <protection locked="0"/>
    </xf>
    <xf numFmtId="174" fontId="104" fillId="28" borderId="69" xfId="10" applyNumberFormat="1" applyFont="1" applyFill="1" applyBorder="1" applyAlignment="1" applyProtection="1">
      <alignment horizontal="center" vertical="center"/>
      <protection locked="0"/>
    </xf>
    <xf numFmtId="0" fontId="75" fillId="28" borderId="65" xfId="10" applyFont="1" applyFill="1" applyBorder="1" applyAlignment="1" applyProtection="1">
      <alignment horizontal="left" vertical="center"/>
      <protection locked="0"/>
    </xf>
    <xf numFmtId="0" fontId="75" fillId="28" borderId="70" xfId="10" applyFont="1" applyFill="1" applyBorder="1" applyAlignment="1" applyProtection="1">
      <alignment horizontal="left" vertical="center"/>
      <protection locked="0"/>
    </xf>
    <xf numFmtId="176" fontId="18" fillId="4" borderId="0" xfId="2" applyNumberFormat="1" applyFont="1" applyFill="1" applyAlignment="1">
      <alignment horizontal="center" vertical="center"/>
    </xf>
    <xf numFmtId="176" fontId="18" fillId="4" borderId="69" xfId="2" applyNumberFormat="1" applyFont="1" applyFill="1" applyBorder="1" applyAlignment="1">
      <alignment horizontal="center" vertical="center"/>
    </xf>
    <xf numFmtId="0" fontId="103" fillId="4" borderId="0" xfId="4" applyFont="1" applyFill="1" applyAlignment="1">
      <alignment horizontal="center" vertical="center"/>
    </xf>
    <xf numFmtId="0" fontId="46" fillId="0" borderId="0" xfId="4" applyFont="1" applyAlignment="1">
      <alignment horizontal="center" vertical="center" wrapText="1"/>
    </xf>
    <xf numFmtId="176" fontId="103" fillId="4" borderId="0" xfId="4" applyNumberFormat="1" applyFont="1" applyFill="1" applyAlignment="1">
      <alignment horizontal="center" vertical="center"/>
    </xf>
    <xf numFmtId="0" fontId="4" fillId="4" borderId="75" xfId="4" applyFont="1" applyFill="1" applyBorder="1" applyAlignment="1">
      <alignment horizontal="left" vertical="center" wrapText="1"/>
    </xf>
    <xf numFmtId="1" fontId="33" fillId="4" borderId="0" xfId="10" applyNumberFormat="1" applyFont="1" applyFill="1" applyAlignment="1" applyProtection="1">
      <alignment horizontal="center" vertical="center" wrapText="1"/>
      <protection locked="0"/>
    </xf>
    <xf numFmtId="1" fontId="33" fillId="4" borderId="69" xfId="10" applyNumberFormat="1" applyFont="1" applyFill="1" applyBorder="1" applyAlignment="1" applyProtection="1">
      <alignment horizontal="center" vertical="center" wrapText="1"/>
      <protection locked="0"/>
    </xf>
    <xf numFmtId="0" fontId="18" fillId="4" borderId="17" xfId="1" applyFont="1" applyFill="1" applyBorder="1" applyAlignment="1" applyProtection="1">
      <alignment horizontal="center" wrapText="1"/>
      <protection hidden="1"/>
    </xf>
    <xf numFmtId="0" fontId="18" fillId="4" borderId="19" xfId="1" applyFont="1" applyFill="1" applyBorder="1" applyAlignment="1" applyProtection="1">
      <alignment horizontal="center" wrapText="1"/>
      <protection hidden="1"/>
    </xf>
    <xf numFmtId="0" fontId="18" fillId="4" borderId="16" xfId="1" applyFont="1" applyFill="1" applyBorder="1" applyAlignment="1" applyProtection="1">
      <alignment horizontal="center" wrapText="1"/>
      <protection hidden="1"/>
    </xf>
    <xf numFmtId="0" fontId="18" fillId="4" borderId="15" xfId="1" applyFont="1" applyFill="1" applyBorder="1" applyAlignment="1" applyProtection="1">
      <alignment horizontal="center" wrapText="1"/>
      <protection hidden="1"/>
    </xf>
    <xf numFmtId="0" fontId="18" fillId="0" borderId="48" xfId="1" applyFont="1" applyBorder="1" applyAlignment="1" applyProtection="1">
      <alignment horizontal="center" vertical="center"/>
      <protection hidden="1"/>
    </xf>
    <xf numFmtId="0" fontId="18" fillId="0" borderId="88" xfId="1" applyFont="1" applyBorder="1" applyAlignment="1" applyProtection="1">
      <alignment horizontal="center" vertical="center"/>
      <protection hidden="1"/>
    </xf>
    <xf numFmtId="0" fontId="18" fillId="0" borderId="19" xfId="1" applyFont="1" applyBorder="1" applyAlignment="1" applyProtection="1">
      <alignment horizontal="center" vertical="center"/>
      <protection hidden="1"/>
    </xf>
    <xf numFmtId="0" fontId="34" fillId="3" borderId="0" xfId="3" applyFont="1" applyFill="1" applyAlignment="1">
      <alignment horizontal="center" vertical="center" textRotation="90"/>
    </xf>
    <xf numFmtId="0" fontId="122" fillId="0" borderId="100" xfId="1" applyFont="1" applyBorder="1" applyAlignment="1">
      <alignment horizontal="center" vertical="top" textRotation="255"/>
    </xf>
    <xf numFmtId="0" fontId="122" fillId="0" borderId="95" xfId="1" applyFont="1" applyBorder="1" applyAlignment="1">
      <alignment horizontal="center" vertical="top" textRotation="255"/>
    </xf>
    <xf numFmtId="0" fontId="122" fillId="0" borderId="111" xfId="1" applyFont="1" applyBorder="1" applyAlignment="1">
      <alignment horizontal="center" vertical="top" textRotation="255"/>
    </xf>
    <xf numFmtId="1" fontId="18" fillId="4" borderId="88" xfId="1" applyNumberFormat="1" applyFont="1" applyFill="1" applyBorder="1" applyAlignment="1" applyProtection="1">
      <alignment horizontal="center" vertical="center"/>
      <protection hidden="1"/>
    </xf>
    <xf numFmtId="1" fontId="18" fillId="4" borderId="79" xfId="1" applyNumberFormat="1" applyFont="1" applyFill="1" applyBorder="1" applyAlignment="1" applyProtection="1">
      <alignment horizontal="center" vertical="center"/>
      <protection hidden="1"/>
    </xf>
    <xf numFmtId="0" fontId="59" fillId="57" borderId="0" xfId="6" applyFont="1" applyFill="1" applyAlignment="1">
      <alignment horizontal="center" vertical="center" wrapText="1"/>
    </xf>
    <xf numFmtId="2" fontId="33" fillId="64" borderId="66" xfId="1" applyNumberFormat="1" applyFont="1" applyFill="1" applyBorder="1" applyAlignment="1">
      <alignment horizontal="center" vertical="center" wrapText="1"/>
    </xf>
    <xf numFmtId="0" fontId="33" fillId="64" borderId="66" xfId="1" applyFont="1" applyFill="1" applyBorder="1" applyAlignment="1">
      <alignment horizontal="center" vertical="center" wrapText="1"/>
    </xf>
    <xf numFmtId="0" fontId="50" fillId="4" borderId="15" xfId="3" applyFont="1" applyFill="1" applyBorder="1" applyAlignment="1">
      <alignment horizontal="center" vertical="center" wrapText="1"/>
    </xf>
    <xf numFmtId="0" fontId="59" fillId="2" borderId="8" xfId="1" applyFont="1" applyFill="1" applyBorder="1" applyAlignment="1">
      <alignment horizontal="center" vertical="center" wrapText="1"/>
    </xf>
    <xf numFmtId="0" fontId="59" fillId="2" borderId="66" xfId="1" applyFont="1" applyFill="1" applyBorder="1" applyAlignment="1">
      <alignment horizontal="center" vertical="center" wrapText="1"/>
    </xf>
    <xf numFmtId="0" fontId="59" fillId="2" borderId="67" xfId="1" applyFont="1" applyFill="1" applyBorder="1" applyAlignment="1">
      <alignment horizontal="center" vertical="center" wrapText="1"/>
    </xf>
    <xf numFmtId="0" fontId="59" fillId="2" borderId="13" xfId="1" applyFont="1" applyFill="1" applyBorder="1" applyAlignment="1">
      <alignment horizontal="center" vertical="center" wrapText="1"/>
    </xf>
    <xf numFmtId="0" fontId="59" fillId="2" borderId="0" xfId="1" applyFont="1" applyFill="1" applyAlignment="1">
      <alignment horizontal="center" vertical="center" wrapText="1"/>
    </xf>
    <xf numFmtId="0" fontId="59" fillId="2" borderId="15" xfId="1" applyFont="1" applyFill="1" applyBorder="1" applyAlignment="1">
      <alignment horizontal="center" vertical="center" wrapText="1"/>
    </xf>
    <xf numFmtId="0" fontId="12" fillId="4" borderId="0" xfId="1" applyFont="1" applyFill="1" applyAlignment="1" applyProtection="1">
      <alignment horizontal="center" vertical="center"/>
      <protection hidden="1"/>
    </xf>
    <xf numFmtId="0" fontId="12" fillId="4" borderId="15" xfId="1" applyFont="1" applyFill="1" applyBorder="1" applyAlignment="1" applyProtection="1">
      <alignment horizontal="center" vertical="center"/>
      <protection hidden="1"/>
    </xf>
    <xf numFmtId="0" fontId="30" fillId="4" borderId="15" xfId="3" applyFont="1" applyFill="1" applyBorder="1" applyAlignment="1">
      <alignment horizontal="left" vertical="center" wrapText="1"/>
    </xf>
    <xf numFmtId="0" fontId="132" fillId="4" borderId="88" xfId="6" applyFont="1" applyFill="1" applyBorder="1" applyAlignment="1">
      <alignment horizontal="center" vertical="center" wrapText="1"/>
    </xf>
    <xf numFmtId="0" fontId="132" fillId="4" borderId="79" xfId="6" applyFont="1" applyFill="1" applyBorder="1" applyAlignment="1">
      <alignment horizontal="center" vertical="center" wrapText="1"/>
    </xf>
    <xf numFmtId="0" fontId="33" fillId="4" borderId="13" xfId="3" applyFont="1" applyFill="1" applyBorder="1" applyAlignment="1">
      <alignment horizontal="center"/>
    </xf>
    <xf numFmtId="0" fontId="33" fillId="4" borderId="0" xfId="3" applyFont="1" applyFill="1" applyAlignment="1">
      <alignment horizontal="center"/>
    </xf>
    <xf numFmtId="0" fontId="34" fillId="4" borderId="0" xfId="3" applyFont="1" applyFill="1" applyAlignment="1">
      <alignment horizontal="center"/>
    </xf>
    <xf numFmtId="0" fontId="34" fillId="4" borderId="15" xfId="3" applyFont="1" applyFill="1" applyBorder="1" applyAlignment="1">
      <alignment horizontal="center"/>
    </xf>
    <xf numFmtId="186" fontId="33" fillId="4" borderId="88" xfId="6" applyNumberFormat="1" applyFont="1" applyFill="1" applyBorder="1" applyAlignment="1">
      <alignment horizontal="center" vertical="center"/>
    </xf>
    <xf numFmtId="0" fontId="33" fillId="15" borderId="13" xfId="12" applyFont="1" applyFill="1" applyBorder="1" applyAlignment="1">
      <alignment horizontal="center" vertical="center"/>
    </xf>
    <xf numFmtId="170" fontId="33" fillId="63" borderId="0" xfId="1" applyNumberFormat="1" applyFont="1" applyFill="1" applyAlignment="1">
      <alignment horizontal="center" vertical="center"/>
    </xf>
    <xf numFmtId="0" fontId="32" fillId="13" borderId="15" xfId="3" applyFont="1" applyFill="1" applyBorder="1" applyAlignment="1">
      <alignment horizontal="center" vertical="center"/>
    </xf>
    <xf numFmtId="0" fontId="79" fillId="13" borderId="13" xfId="6" applyFont="1" applyFill="1" applyBorder="1" applyAlignment="1">
      <alignment horizontal="left" vertical="center" wrapText="1"/>
    </xf>
    <xf numFmtId="0" fontId="79" fillId="13" borderId="0" xfId="6" applyFont="1" applyFill="1" applyAlignment="1">
      <alignment horizontal="left" vertical="center" wrapText="1"/>
    </xf>
    <xf numFmtId="0" fontId="79" fillId="13" borderId="15" xfId="6" applyFont="1" applyFill="1" applyBorder="1" applyAlignment="1">
      <alignment horizontal="left" vertical="center" wrapText="1"/>
    </xf>
    <xf numFmtId="0" fontId="77" fillId="13" borderId="93" xfId="3" applyFont="1" applyFill="1" applyBorder="1" applyAlignment="1">
      <alignment horizontal="left" vertical="center" wrapText="1"/>
    </xf>
    <xf numFmtId="0" fontId="77" fillId="13" borderId="20" xfId="3" applyFont="1" applyFill="1" applyBorder="1" applyAlignment="1">
      <alignment horizontal="left" vertical="center" wrapText="1"/>
    </xf>
    <xf numFmtId="0" fontId="77" fillId="13" borderId="11" xfId="3" applyFont="1" applyFill="1" applyBorder="1" applyAlignment="1">
      <alignment horizontal="left" vertical="center" wrapText="1"/>
    </xf>
    <xf numFmtId="0" fontId="77" fillId="13" borderId="13" xfId="3" applyFont="1" applyFill="1" applyBorder="1" applyAlignment="1">
      <alignment horizontal="left" vertical="center" wrapText="1"/>
    </xf>
    <xf numFmtId="0" fontId="77" fillId="13" borderId="0" xfId="3" applyFont="1" applyFill="1" applyAlignment="1">
      <alignment horizontal="left" vertical="center" wrapText="1"/>
    </xf>
    <xf numFmtId="0" fontId="77" fillId="13" borderId="15" xfId="3" applyFont="1" applyFill="1" applyBorder="1" applyAlignment="1">
      <alignment horizontal="left" vertical="center" wrapText="1"/>
    </xf>
    <xf numFmtId="167" fontId="33" fillId="18" borderId="0" xfId="1" applyNumberFormat="1" applyFont="1" applyFill="1" applyAlignment="1">
      <alignment horizontal="center" vertical="center"/>
    </xf>
    <xf numFmtId="0" fontId="76" fillId="13" borderId="13" xfId="3" applyFont="1" applyFill="1" applyBorder="1" applyAlignment="1">
      <alignment horizontal="left" vertical="center" wrapText="1"/>
    </xf>
    <xf numFmtId="0" fontId="76" fillId="13" borderId="0" xfId="3" applyFont="1" applyFill="1" applyAlignment="1">
      <alignment horizontal="left" vertical="center" wrapText="1"/>
    </xf>
    <xf numFmtId="0" fontId="76" fillId="13" borderId="15" xfId="3" applyFont="1" applyFill="1" applyBorder="1" applyAlignment="1">
      <alignment horizontal="left" vertical="center" wrapText="1"/>
    </xf>
    <xf numFmtId="0" fontId="34" fillId="13" borderId="15" xfId="1" applyFont="1" applyFill="1" applyBorder="1" applyAlignment="1">
      <alignment horizontal="left" vertical="center" wrapText="1"/>
    </xf>
    <xf numFmtId="0" fontId="128" fillId="13" borderId="13" xfId="3" applyFont="1" applyFill="1" applyBorder="1" applyAlignment="1">
      <alignment horizontal="left" vertical="center" wrapText="1"/>
    </xf>
    <xf numFmtId="0" fontId="128" fillId="13" borderId="0" xfId="3" applyFont="1" applyFill="1" applyAlignment="1">
      <alignment horizontal="left" vertical="center" wrapText="1"/>
    </xf>
    <xf numFmtId="0" fontId="128" fillId="13" borderId="15" xfId="3" applyFont="1" applyFill="1" applyBorder="1" applyAlignment="1">
      <alignment horizontal="left" vertical="center" wrapText="1"/>
    </xf>
    <xf numFmtId="0" fontId="18" fillId="13" borderId="13" xfId="6" applyFont="1" applyFill="1" applyBorder="1" applyAlignment="1">
      <alignment horizontal="center" vertical="center" wrapText="1"/>
    </xf>
    <xf numFmtId="0" fontId="18" fillId="13" borderId="0" xfId="6" applyFont="1" applyFill="1" applyAlignment="1">
      <alignment horizontal="center" vertical="center" wrapText="1"/>
    </xf>
    <xf numFmtId="0" fontId="18" fillId="13" borderId="15" xfId="6" applyFont="1" applyFill="1" applyBorder="1" applyAlignment="1">
      <alignment horizontal="center" vertical="center" wrapText="1"/>
    </xf>
    <xf numFmtId="1" fontId="81" fillId="3" borderId="100" xfId="5" applyNumberFormat="1" applyFont="1" applyFill="1" applyBorder="1" applyAlignment="1">
      <alignment horizontal="center" vertical="center" textRotation="180"/>
    </xf>
    <xf numFmtId="1" fontId="81" fillId="3" borderId="95" xfId="5" applyNumberFormat="1" applyFont="1" applyFill="1" applyBorder="1" applyAlignment="1">
      <alignment horizontal="center" vertical="center" textRotation="180"/>
    </xf>
    <xf numFmtId="0" fontId="9" fillId="4" borderId="99" xfId="1" applyFont="1" applyFill="1" applyBorder="1" applyAlignment="1" applyProtection="1">
      <alignment horizontal="center" vertical="center" wrapText="1"/>
      <protection hidden="1"/>
    </xf>
    <xf numFmtId="0" fontId="9" fillId="4" borderId="98" xfId="1" applyFont="1" applyFill="1" applyBorder="1" applyAlignment="1" applyProtection="1">
      <alignment horizontal="center" vertical="center" wrapText="1"/>
      <protection hidden="1"/>
    </xf>
    <xf numFmtId="0" fontId="9" fillId="4" borderId="16" xfId="1" applyFont="1" applyFill="1" applyBorder="1" applyAlignment="1" applyProtection="1">
      <alignment horizontal="center" vertical="center" wrapText="1"/>
      <protection hidden="1"/>
    </xf>
    <xf numFmtId="0" fontId="9" fillId="4" borderId="15" xfId="1" applyFont="1" applyFill="1" applyBorder="1" applyAlignment="1" applyProtection="1">
      <alignment horizontal="center" vertical="center" wrapText="1"/>
      <protection hidden="1"/>
    </xf>
    <xf numFmtId="49" fontId="84" fillId="4" borderId="0" xfId="8" applyNumberFormat="1" applyFont="1" applyFill="1" applyBorder="1" applyAlignment="1">
      <alignment horizontal="left" vertical="center"/>
    </xf>
    <xf numFmtId="0" fontId="87" fillId="0" borderId="0" xfId="9" applyFont="1" applyBorder="1" applyAlignment="1">
      <alignment horizontal="left" vertical="center"/>
    </xf>
    <xf numFmtId="0" fontId="98" fillId="6" borderId="39" xfId="12" applyFont="1" applyFill="1" applyBorder="1" applyAlignment="1" applyProtection="1">
      <alignment horizontal="center" vertical="center" wrapText="1"/>
      <protection locked="0"/>
    </xf>
    <xf numFmtId="178" fontId="113" fillId="17" borderId="0" xfId="12" applyNumberFormat="1" applyFont="1" applyFill="1" applyAlignment="1">
      <alignment horizontal="center" vertical="center"/>
    </xf>
    <xf numFmtId="178" fontId="113" fillId="17" borderId="21" xfId="12" applyNumberFormat="1" applyFont="1" applyFill="1" applyBorder="1" applyAlignment="1">
      <alignment horizontal="center" vertical="center"/>
    </xf>
    <xf numFmtId="178" fontId="24" fillId="17" borderId="0" xfId="12" applyNumberFormat="1" applyFont="1" applyFill="1" applyAlignment="1">
      <alignment horizontal="center" vertical="center"/>
    </xf>
    <xf numFmtId="0" fontId="9" fillId="13" borderId="12" xfId="10" applyFont="1" applyFill="1" applyBorder="1" applyAlignment="1" applyProtection="1">
      <alignment horizontal="center" vertical="center" wrapText="1"/>
      <protection locked="0"/>
    </xf>
    <xf numFmtId="174" fontId="9" fillId="40" borderId="0" xfId="1" applyNumberFormat="1" applyFont="1" applyFill="1" applyAlignment="1">
      <alignment horizontal="center" vertical="center"/>
    </xf>
    <xf numFmtId="0" fontId="118" fillId="0" borderId="395" xfId="1" applyFont="1" applyBorder="1" applyAlignment="1">
      <alignment horizontal="center" vertical="top" textRotation="255"/>
    </xf>
    <xf numFmtId="0" fontId="118" fillId="0" borderId="394" xfId="1" applyFont="1" applyBorder="1" applyAlignment="1">
      <alignment horizontal="center" vertical="top" textRotation="255"/>
    </xf>
    <xf numFmtId="1" fontId="18" fillId="4" borderId="361" xfId="1" applyNumberFormat="1" applyFont="1" applyFill="1" applyBorder="1" applyAlignment="1" applyProtection="1">
      <alignment horizontal="center" vertical="center"/>
      <protection hidden="1"/>
    </xf>
    <xf numFmtId="1" fontId="18" fillId="4" borderId="368" xfId="1" applyNumberFormat="1" applyFont="1" applyFill="1" applyBorder="1" applyAlignment="1" applyProtection="1">
      <alignment horizontal="center" vertical="center"/>
      <protection hidden="1"/>
    </xf>
    <xf numFmtId="1" fontId="18" fillId="4" borderId="367" xfId="1" applyNumberFormat="1" applyFont="1" applyFill="1" applyBorder="1" applyAlignment="1" applyProtection="1">
      <alignment horizontal="center" vertical="center"/>
      <protection hidden="1"/>
    </xf>
    <xf numFmtId="0" fontId="132" fillId="4" borderId="361" xfId="6" applyFont="1" applyFill="1" applyBorder="1" applyAlignment="1">
      <alignment horizontal="center" vertical="center" wrapText="1"/>
    </xf>
    <xf numFmtId="0" fontId="132" fillId="4" borderId="368" xfId="6" applyFont="1" applyFill="1" applyBorder="1" applyAlignment="1">
      <alignment horizontal="center" vertical="center" wrapText="1"/>
    </xf>
    <xf numFmtId="0" fontId="132" fillId="4" borderId="367" xfId="6" applyFont="1" applyFill="1" applyBorder="1" applyAlignment="1">
      <alignment horizontal="center" vertical="center" wrapText="1"/>
    </xf>
    <xf numFmtId="186" fontId="9" fillId="4" borderId="341" xfId="6" applyNumberFormat="1" applyFont="1" applyFill="1" applyBorder="1" applyAlignment="1">
      <alignment horizontal="center" vertical="center"/>
    </xf>
    <xf numFmtId="171" fontId="138" fillId="21" borderId="341" xfId="1" applyNumberFormat="1" applyFont="1" applyFill="1" applyBorder="1" applyAlignment="1" applyProtection="1">
      <alignment horizontal="right" vertical="center" wrapText="1"/>
      <protection locked="0"/>
    </xf>
    <xf numFmtId="0" fontId="47" fillId="4" borderId="354" xfId="1" applyFont="1" applyFill="1" applyBorder="1" applyAlignment="1" applyProtection="1">
      <alignment horizontal="center" vertical="center" wrapText="1"/>
      <protection hidden="1"/>
    </xf>
    <xf numFmtId="0" fontId="47" fillId="4" borderId="341" xfId="1" applyFont="1" applyFill="1" applyBorder="1" applyAlignment="1" applyProtection="1">
      <alignment horizontal="center" vertical="center" wrapText="1"/>
      <protection hidden="1"/>
    </xf>
    <xf numFmtId="0" fontId="56" fillId="4" borderId="340" xfId="1" applyFont="1" applyFill="1" applyBorder="1" applyAlignment="1" applyProtection="1">
      <alignment horizontal="center" vertical="center" wrapText="1"/>
      <protection hidden="1"/>
    </xf>
    <xf numFmtId="0" fontId="130" fillId="4" borderId="345" xfId="1" applyFont="1" applyFill="1" applyBorder="1" applyAlignment="1" applyProtection="1">
      <alignment horizontal="center" wrapText="1"/>
      <protection hidden="1"/>
    </xf>
    <xf numFmtId="0" fontId="129" fillId="4" borderId="345" xfId="6" applyFont="1" applyFill="1" applyBorder="1" applyAlignment="1">
      <alignment horizontal="center" wrapText="1"/>
    </xf>
    <xf numFmtId="0" fontId="77" fillId="13" borderId="345" xfId="14" applyFont="1" applyFill="1" applyBorder="1" applyAlignment="1">
      <alignment horizontal="left" vertical="center" wrapText="1"/>
    </xf>
    <xf numFmtId="0" fontId="77" fillId="13" borderId="344" xfId="14" applyFont="1" applyFill="1" applyBorder="1" applyAlignment="1">
      <alignment horizontal="left" vertical="center" wrapText="1"/>
    </xf>
    <xf numFmtId="0" fontId="79" fillId="4" borderId="361" xfId="1" applyFont="1" applyFill="1" applyBorder="1" applyAlignment="1" applyProtection="1">
      <alignment horizontal="center"/>
      <protection hidden="1"/>
    </xf>
    <xf numFmtId="0" fontId="79" fillId="4" borderId="368" xfId="1" applyFont="1" applyFill="1" applyBorder="1" applyAlignment="1" applyProtection="1">
      <alignment horizontal="center"/>
      <protection hidden="1"/>
    </xf>
    <xf numFmtId="0" fontId="79" fillId="4" borderId="367" xfId="1" applyFont="1" applyFill="1" applyBorder="1" applyAlignment="1" applyProtection="1">
      <alignment horizontal="center"/>
      <protection hidden="1"/>
    </xf>
    <xf numFmtId="0" fontId="98" fillId="6" borderId="361" xfId="12" applyFont="1" applyFill="1" applyBorder="1" applyAlignment="1" applyProtection="1">
      <alignment horizontal="center" vertical="center" wrapText="1"/>
      <protection locked="0"/>
    </xf>
    <xf numFmtId="0" fontId="98" fillId="6" borderId="397" xfId="12" applyFont="1" applyFill="1" applyBorder="1" applyAlignment="1" applyProtection="1">
      <alignment horizontal="center" vertical="center" wrapText="1"/>
      <protection locked="0"/>
    </xf>
    <xf numFmtId="0" fontId="81" fillId="3" borderId="395" xfId="5" applyFont="1" applyFill="1" applyBorder="1" applyAlignment="1">
      <alignment horizontal="center" vertical="center" textRotation="180"/>
    </xf>
    <xf numFmtId="0" fontId="81" fillId="3" borderId="394" xfId="5" applyFont="1" applyFill="1" applyBorder="1" applyAlignment="1">
      <alignment horizontal="center" vertical="center" textRotation="180"/>
    </xf>
    <xf numFmtId="0" fontId="81" fillId="3" borderId="262" xfId="5" applyFont="1" applyFill="1" applyBorder="1" applyAlignment="1">
      <alignment horizontal="center" vertical="center" textRotation="180"/>
    </xf>
    <xf numFmtId="178" fontId="113" fillId="17" borderId="341" xfId="16" applyNumberFormat="1" applyFont="1" applyFill="1" applyBorder="1" applyAlignment="1">
      <alignment horizontal="center" vertical="center"/>
    </xf>
    <xf numFmtId="0" fontId="110" fillId="7" borderId="393" xfId="12" applyFont="1" applyFill="1" applyBorder="1" applyAlignment="1">
      <alignment horizontal="center" vertical="center" wrapText="1"/>
    </xf>
    <xf numFmtId="0" fontId="110" fillId="7" borderId="392" xfId="12" applyFont="1" applyFill="1" applyBorder="1" applyAlignment="1">
      <alignment horizontal="center" vertical="center" wrapText="1"/>
    </xf>
    <xf numFmtId="1" fontId="160" fillId="4" borderId="381" xfId="10" applyNumberFormat="1" applyFont="1" applyFill="1" applyBorder="1" applyAlignment="1">
      <alignment horizontal="center" vertical="center"/>
    </xf>
    <xf numFmtId="0" fontId="160" fillId="4" borderId="380" xfId="10" applyFont="1" applyFill="1" applyBorder="1" applyAlignment="1">
      <alignment horizontal="center" vertical="center"/>
    </xf>
    <xf numFmtId="0" fontId="36" fillId="4" borderId="381" xfId="10" applyFont="1" applyFill="1" applyBorder="1" applyAlignment="1">
      <alignment horizontal="left" vertical="center"/>
    </xf>
    <xf numFmtId="0" fontId="36" fillId="4" borderId="380" xfId="10" applyFont="1" applyFill="1" applyBorder="1" applyAlignment="1">
      <alignment horizontal="left" vertical="center"/>
    </xf>
    <xf numFmtId="0" fontId="36" fillId="4" borderId="387" xfId="10" applyFont="1" applyFill="1" applyBorder="1" applyAlignment="1">
      <alignment horizontal="left" vertical="center"/>
    </xf>
    <xf numFmtId="0" fontId="36" fillId="4" borderId="386" xfId="10" applyFont="1" applyFill="1" applyBorder="1" applyAlignment="1">
      <alignment horizontal="left" vertical="center"/>
    </xf>
    <xf numFmtId="0" fontId="33" fillId="21" borderId="380" xfId="10" applyFont="1" applyFill="1" applyBorder="1" applyAlignment="1" applyProtection="1">
      <alignment horizontal="right" vertical="center" wrapText="1"/>
      <protection locked="0"/>
    </xf>
    <xf numFmtId="0" fontId="33" fillId="21" borderId="386" xfId="10" applyFont="1" applyFill="1" applyBorder="1" applyAlignment="1" applyProtection="1">
      <alignment horizontal="right" vertical="center" wrapText="1"/>
      <protection locked="0"/>
    </xf>
    <xf numFmtId="174" fontId="89" fillId="28" borderId="380" xfId="10" applyNumberFormat="1" applyFont="1" applyFill="1" applyBorder="1" applyAlignment="1" applyProtection="1">
      <alignment horizontal="center" vertical="center"/>
      <protection locked="0"/>
    </xf>
    <xf numFmtId="174" fontId="89" fillId="28" borderId="386" xfId="10" applyNumberFormat="1" applyFont="1" applyFill="1" applyBorder="1" applyAlignment="1" applyProtection="1">
      <alignment horizontal="center" vertical="center"/>
      <protection locked="0"/>
    </xf>
    <xf numFmtId="0" fontId="33" fillId="21" borderId="379" xfId="10" applyFont="1" applyFill="1" applyBorder="1" applyAlignment="1" applyProtection="1">
      <alignment horizontal="left" vertical="center"/>
      <protection locked="0"/>
    </xf>
    <xf numFmtId="0" fontId="33" fillId="21" borderId="385" xfId="10" applyFont="1" applyFill="1" applyBorder="1" applyAlignment="1" applyProtection="1">
      <alignment horizontal="left" vertical="center"/>
      <protection locked="0"/>
    </xf>
    <xf numFmtId="1" fontId="33" fillId="4" borderId="375" xfId="5" applyNumberFormat="1" applyFont="1" applyFill="1" applyBorder="1" applyAlignment="1">
      <alignment horizontal="center" vertical="center"/>
    </xf>
    <xf numFmtId="1" fontId="33" fillId="4" borderId="387" xfId="5" applyNumberFormat="1" applyFont="1" applyFill="1" applyBorder="1" applyAlignment="1">
      <alignment horizontal="center" vertical="center"/>
    </xf>
    <xf numFmtId="0" fontId="46" fillId="4" borderId="386" xfId="13" applyFont="1" applyFill="1" applyBorder="1" applyAlignment="1">
      <alignment horizontal="center" vertical="center"/>
    </xf>
    <xf numFmtId="166" fontId="33" fillId="40" borderId="386" xfId="1" applyNumberFormat="1" applyFont="1" applyFill="1" applyBorder="1" applyAlignment="1">
      <alignment horizontal="center" vertical="center"/>
    </xf>
    <xf numFmtId="175" fontId="33" fillId="4" borderId="386" xfId="10" applyNumberFormat="1" applyFont="1" applyFill="1" applyBorder="1" applyAlignment="1" applyProtection="1">
      <alignment horizontal="center" vertical="center"/>
      <protection locked="0"/>
    </xf>
    <xf numFmtId="176" fontId="33" fillId="4" borderId="386" xfId="12" applyNumberFormat="1" applyFont="1" applyFill="1" applyBorder="1" applyAlignment="1">
      <alignment horizontal="center" vertical="center"/>
    </xf>
    <xf numFmtId="1" fontId="33" fillId="4" borderId="386" xfId="10" applyNumberFormat="1" applyFont="1" applyFill="1" applyBorder="1" applyAlignment="1" applyProtection="1">
      <alignment horizontal="left" vertical="center" wrapText="1"/>
      <protection locked="0"/>
    </xf>
    <xf numFmtId="1" fontId="33" fillId="4" borderId="385" xfId="10" applyNumberFormat="1" applyFont="1" applyFill="1" applyBorder="1" applyAlignment="1" applyProtection="1">
      <alignment horizontal="center" vertical="center"/>
      <protection locked="0"/>
    </xf>
    <xf numFmtId="166" fontId="9" fillId="40" borderId="373" xfId="1" applyNumberFormat="1" applyFont="1" applyFill="1" applyBorder="1" applyAlignment="1">
      <alignment horizontal="center" vertical="center"/>
    </xf>
    <xf numFmtId="174" fontId="111" fillId="28" borderId="380" xfId="10" applyNumberFormat="1" applyFont="1" applyFill="1" applyBorder="1" applyAlignment="1" applyProtection="1">
      <alignment horizontal="center" vertical="center"/>
      <protection locked="0"/>
    </xf>
    <xf numFmtId="174" fontId="111" fillId="28" borderId="386" xfId="10" applyNumberFormat="1" applyFont="1" applyFill="1" applyBorder="1" applyAlignment="1" applyProtection="1">
      <alignment horizontal="center" vertical="center"/>
      <protection locked="0"/>
    </xf>
    <xf numFmtId="0" fontId="64" fillId="28" borderId="379" xfId="10" applyFont="1" applyFill="1" applyBorder="1" applyAlignment="1" applyProtection="1">
      <alignment horizontal="left" vertical="center"/>
      <protection locked="0"/>
    </xf>
    <xf numFmtId="0" fontId="64" fillId="28" borderId="385" xfId="10" applyFont="1" applyFill="1" applyBorder="1" applyAlignment="1" applyProtection="1">
      <alignment horizontal="left" vertical="center"/>
      <protection locked="0"/>
    </xf>
    <xf numFmtId="0" fontId="9" fillId="13" borderId="241" xfId="10" applyFont="1" applyFill="1" applyBorder="1" applyAlignment="1" applyProtection="1">
      <alignment horizontal="center" vertical="center" wrapText="1"/>
      <protection locked="0"/>
    </xf>
    <xf numFmtId="0" fontId="9" fillId="13" borderId="389" xfId="10" applyFont="1" applyFill="1" applyBorder="1" applyAlignment="1" applyProtection="1">
      <alignment horizontal="center" vertical="center" wrapText="1"/>
      <protection locked="0"/>
    </xf>
    <xf numFmtId="0" fontId="9" fillId="13" borderId="388" xfId="10" applyFont="1" applyFill="1" applyBorder="1" applyAlignment="1" applyProtection="1">
      <alignment horizontal="center" vertical="center" wrapText="1"/>
      <protection locked="0"/>
    </xf>
    <xf numFmtId="174" fontId="33" fillId="40" borderId="386" xfId="1" applyNumberFormat="1" applyFont="1" applyFill="1" applyBorder="1" applyAlignment="1">
      <alignment horizontal="center" vertical="center"/>
    </xf>
    <xf numFmtId="175" fontId="18" fillId="4" borderId="386" xfId="10" applyNumberFormat="1" applyFont="1" applyFill="1" applyBorder="1" applyAlignment="1" applyProtection="1">
      <alignment horizontal="center" vertical="center"/>
      <protection locked="0"/>
    </xf>
    <xf numFmtId="176" fontId="18" fillId="4" borderId="386" xfId="12" applyNumberFormat="1" applyFont="1" applyFill="1" applyBorder="1" applyAlignment="1">
      <alignment horizontal="center" vertical="center"/>
    </xf>
    <xf numFmtId="174" fontId="9" fillId="40" borderId="373" xfId="1" applyNumberFormat="1" applyFont="1" applyFill="1" applyBorder="1" applyAlignment="1">
      <alignment horizontal="center" vertical="center"/>
    </xf>
    <xf numFmtId="0" fontId="735" fillId="0" borderId="215" xfId="1" applyFont="1" applyBorder="1" applyAlignment="1">
      <alignment horizontal="center" vertical="top" textRotation="255"/>
    </xf>
    <xf numFmtId="0" fontId="735" fillId="0" borderId="12" xfId="1" applyFont="1" applyBorder="1" applyAlignment="1">
      <alignment horizontal="center" vertical="top" textRotation="255"/>
    </xf>
    <xf numFmtId="0" fontId="735" fillId="0" borderId="15" xfId="1" applyFont="1" applyBorder="1" applyAlignment="1">
      <alignment horizontal="center" vertical="top" textRotation="255"/>
    </xf>
    <xf numFmtId="0" fontId="735" fillId="0" borderId="90" xfId="1" applyFont="1" applyBorder="1" applyAlignment="1">
      <alignment horizontal="center" vertical="top" textRotation="255"/>
    </xf>
    <xf numFmtId="0" fontId="18" fillId="9" borderId="216" xfId="1" applyFont="1" applyFill="1" applyBorder="1" applyAlignment="1">
      <alignment horizontal="center" vertical="center" wrapText="1"/>
    </xf>
    <xf numFmtId="0" fontId="18" fillId="9" borderId="215" xfId="1" applyFont="1" applyFill="1" applyBorder="1" applyAlignment="1">
      <alignment horizontal="center" vertical="center" wrapText="1"/>
    </xf>
    <xf numFmtId="0" fontId="21" fillId="0" borderId="403" xfId="1" applyFont="1" applyBorder="1" applyAlignment="1">
      <alignment horizontal="center" vertical="center" textRotation="180"/>
    </xf>
    <xf numFmtId="0" fontId="38" fillId="2" borderId="361" xfId="5" applyFont="1" applyFill="1" applyBorder="1" applyAlignment="1">
      <alignment horizontal="center" vertical="center"/>
    </xf>
    <xf numFmtId="0" fontId="38" fillId="2" borderId="368" xfId="5" applyFont="1" applyFill="1" applyBorder="1" applyAlignment="1">
      <alignment horizontal="center" vertical="center"/>
    </xf>
    <xf numFmtId="1" fontId="39" fillId="2" borderId="368" xfId="5" applyNumberFormat="1" applyFont="1" applyFill="1" applyBorder="1" applyAlignment="1">
      <alignment horizontal="center" vertical="center"/>
    </xf>
    <xf numFmtId="0" fontId="38" fillId="2" borderId="368" xfId="1" applyFont="1" applyFill="1" applyBorder="1" applyAlignment="1">
      <alignment horizontal="left" vertical="center"/>
    </xf>
    <xf numFmtId="0" fontId="40" fillId="2" borderId="368" xfId="5" applyFont="1" applyFill="1" applyBorder="1" applyAlignment="1">
      <alignment horizontal="right" vertical="center"/>
    </xf>
    <xf numFmtId="166" fontId="39" fillId="16" borderId="351" xfId="1" applyNumberFormat="1" applyFont="1" applyFill="1" applyBorder="1" applyAlignment="1">
      <alignment horizontal="center" vertical="center"/>
    </xf>
    <xf numFmtId="166" fontId="39" fillId="16" borderId="368" xfId="1" applyNumberFormat="1" applyFont="1" applyFill="1" applyBorder="1" applyAlignment="1">
      <alignment horizontal="center" vertical="center"/>
    </xf>
    <xf numFmtId="166" fontId="39" fillId="16" borderId="15" xfId="1" applyNumberFormat="1" applyFont="1" applyFill="1" applyBorder="1" applyAlignment="1">
      <alignment horizontal="center" vertical="center"/>
    </xf>
    <xf numFmtId="0" fontId="48" fillId="15" borderId="345" xfId="1" applyFont="1" applyFill="1" applyBorder="1" applyAlignment="1" applyProtection="1">
      <alignment horizontal="center" vertical="center" wrapText="1"/>
      <protection hidden="1"/>
    </xf>
    <xf numFmtId="0" fontId="48" fillId="15" borderId="341" xfId="1" applyFont="1" applyFill="1" applyBorder="1" applyAlignment="1" applyProtection="1">
      <alignment horizontal="center" vertical="center" wrapText="1"/>
      <protection hidden="1"/>
    </xf>
    <xf numFmtId="0" fontId="33" fillId="22" borderId="15" xfId="1" applyFont="1" applyFill="1" applyBorder="1" applyAlignment="1" applyProtection="1">
      <alignment horizontal="center" vertical="center" wrapText="1"/>
      <protection hidden="1"/>
    </xf>
    <xf numFmtId="0" fontId="50" fillId="4" borderId="15" xfId="4" applyFont="1" applyFill="1" applyBorder="1" applyAlignment="1">
      <alignment horizontal="left" vertical="center"/>
    </xf>
    <xf numFmtId="0" fontId="76" fillId="13" borderId="15" xfId="3" applyFont="1" applyFill="1" applyBorder="1" applyAlignment="1">
      <alignment horizontal="center" vertical="center" wrapText="1"/>
    </xf>
    <xf numFmtId="0" fontId="40" fillId="2" borderId="216" xfId="1" applyFont="1" applyFill="1" applyBorder="1" applyAlignment="1">
      <alignment horizontal="center" vertical="center" wrapText="1"/>
    </xf>
    <xf numFmtId="0" fontId="40" fillId="2" borderId="215" xfId="1" applyFont="1" applyFill="1" applyBorder="1" applyAlignment="1">
      <alignment horizontal="center" vertical="center" wrapText="1"/>
    </xf>
    <xf numFmtId="0" fontId="40" fillId="2" borderId="15" xfId="1" applyFont="1" applyFill="1" applyBorder="1" applyAlignment="1">
      <alignment horizontal="center" vertical="center" wrapText="1"/>
    </xf>
    <xf numFmtId="0" fontId="1" fillId="13" borderId="15" xfId="2" applyFill="1" applyBorder="1" applyAlignment="1">
      <alignment horizontal="center" wrapText="1"/>
    </xf>
    <xf numFmtId="0" fontId="81" fillId="19" borderId="405" xfId="5" applyFont="1" applyFill="1" applyBorder="1" applyAlignment="1">
      <alignment horizontal="center" vertical="center" textRotation="180"/>
    </xf>
    <xf numFmtId="0" fontId="81" fillId="19" borderId="404" xfId="5" applyFont="1" applyFill="1" applyBorder="1" applyAlignment="1">
      <alignment horizontal="center" vertical="center" textRotation="180"/>
    </xf>
    <xf numFmtId="0" fontId="34" fillId="13" borderId="15" xfId="1" applyFont="1" applyFill="1" applyBorder="1" applyAlignment="1">
      <alignment horizontal="center" vertical="center" wrapText="1"/>
    </xf>
    <xf numFmtId="0" fontId="36" fillId="4" borderId="381" xfId="10" applyFont="1" applyFill="1" applyBorder="1" applyAlignment="1">
      <alignment horizontal="center" vertical="center"/>
    </xf>
    <xf numFmtId="0" fontId="36" fillId="4" borderId="380" xfId="10" applyFont="1" applyFill="1" applyBorder="1" applyAlignment="1">
      <alignment horizontal="center" vertical="center"/>
    </xf>
    <xf numFmtId="0" fontId="36" fillId="4" borderId="387" xfId="10" applyFont="1" applyFill="1" applyBorder="1" applyAlignment="1">
      <alignment horizontal="center" vertical="center"/>
    </xf>
    <xf numFmtId="0" fontId="36" fillId="4" borderId="386" xfId="10" applyFont="1" applyFill="1" applyBorder="1" applyAlignment="1">
      <alignment horizontal="center" vertical="center"/>
    </xf>
    <xf numFmtId="0" fontId="33" fillId="21" borderId="380" xfId="10" applyFont="1" applyFill="1" applyBorder="1" applyAlignment="1" applyProtection="1">
      <alignment horizontal="center" vertical="center"/>
      <protection locked="0"/>
    </xf>
    <xf numFmtId="0" fontId="33" fillId="21" borderId="386" xfId="10" applyFont="1" applyFill="1" applyBorder="1" applyAlignment="1" applyProtection="1">
      <alignment horizontal="center" vertical="center"/>
      <protection locked="0"/>
    </xf>
    <xf numFmtId="0" fontId="46" fillId="4" borderId="386" xfId="4" applyFont="1" applyFill="1" applyBorder="1" applyAlignment="1">
      <alignment horizontal="center" vertical="center"/>
    </xf>
    <xf numFmtId="176" fontId="33" fillId="4" borderId="386" xfId="2" applyNumberFormat="1" applyFont="1" applyFill="1" applyBorder="1" applyAlignment="1">
      <alignment horizontal="center" vertical="center"/>
    </xf>
    <xf numFmtId="0" fontId="122" fillId="0" borderId="395" xfId="1" applyFont="1" applyBorder="1" applyAlignment="1">
      <alignment horizontal="center" vertical="top" textRotation="255"/>
    </xf>
    <xf numFmtId="0" fontId="122" fillId="0" borderId="394" xfId="1" applyFont="1" applyBorder="1" applyAlignment="1">
      <alignment horizontal="center" vertical="top" textRotation="255"/>
    </xf>
    <xf numFmtId="0" fontId="59" fillId="2" borderId="216" xfId="1" applyFont="1" applyFill="1" applyBorder="1" applyAlignment="1">
      <alignment horizontal="center" vertical="center" wrapText="1"/>
    </xf>
    <xf numFmtId="0" fontId="59" fillId="2" borderId="215" xfId="1" applyFont="1" applyFill="1" applyBorder="1" applyAlignment="1">
      <alignment horizontal="center" vertical="center" wrapText="1"/>
    </xf>
    <xf numFmtId="2" fontId="33" fillId="64" borderId="216" xfId="1" applyNumberFormat="1" applyFont="1" applyFill="1" applyBorder="1" applyAlignment="1">
      <alignment horizontal="center" vertical="center" wrapText="1"/>
    </xf>
    <xf numFmtId="0" fontId="33" fillId="64" borderId="216" xfId="1" applyFont="1" applyFill="1" applyBorder="1" applyAlignment="1">
      <alignment horizontal="center" vertical="center" wrapText="1"/>
    </xf>
    <xf numFmtId="0" fontId="18" fillId="4" borderId="361" xfId="1" applyFont="1" applyFill="1" applyBorder="1" applyAlignment="1" applyProtection="1">
      <alignment horizontal="center" wrapText="1"/>
      <protection hidden="1"/>
    </xf>
    <xf numFmtId="0" fontId="18" fillId="4" borderId="351" xfId="1" applyFont="1" applyFill="1" applyBorder="1" applyAlignment="1" applyProtection="1">
      <alignment horizontal="center" wrapText="1"/>
      <protection hidden="1"/>
    </xf>
    <xf numFmtId="0" fontId="18" fillId="0" borderId="350" xfId="1" applyFont="1" applyBorder="1" applyAlignment="1" applyProtection="1">
      <alignment horizontal="center" vertical="center"/>
      <protection hidden="1"/>
    </xf>
    <xf numFmtId="0" fontId="18" fillId="0" borderId="351" xfId="1" applyFont="1" applyBorder="1" applyAlignment="1" applyProtection="1">
      <alignment horizontal="center" vertical="center"/>
      <protection hidden="1"/>
    </xf>
    <xf numFmtId="0" fontId="77" fillId="13" borderId="345" xfId="3" applyFont="1" applyFill="1" applyBorder="1" applyAlignment="1">
      <alignment horizontal="left" vertical="center" wrapText="1"/>
    </xf>
    <xf numFmtId="0" fontId="77" fillId="13" borderId="344" xfId="3" applyFont="1" applyFill="1" applyBorder="1" applyAlignment="1">
      <alignment horizontal="left" vertical="center" wrapText="1"/>
    </xf>
    <xf numFmtId="0" fontId="18" fillId="9" borderId="216" xfId="1" applyFont="1" applyFill="1" applyBorder="1" applyAlignment="1">
      <alignment horizontal="center" vertical="center"/>
    </xf>
    <xf numFmtId="0" fontId="18" fillId="9" borderId="215" xfId="1" applyFont="1" applyFill="1" applyBorder="1" applyAlignment="1">
      <alignment horizontal="center" vertical="center"/>
    </xf>
    <xf numFmtId="0" fontId="79" fillId="4" borderId="88" xfId="1" applyFont="1" applyFill="1" applyBorder="1" applyAlignment="1" applyProtection="1">
      <alignment horizontal="center"/>
      <protection hidden="1"/>
    </xf>
    <xf numFmtId="1" fontId="81" fillId="3" borderId="395" xfId="5" applyNumberFormat="1" applyFont="1" applyFill="1" applyBorder="1" applyAlignment="1">
      <alignment horizontal="center" vertical="center" textRotation="180"/>
    </xf>
    <xf numFmtId="1" fontId="81" fillId="3" borderId="394" xfId="5" applyNumberFormat="1" applyFont="1" applyFill="1" applyBorder="1" applyAlignment="1">
      <alignment horizontal="center" vertical="center" textRotation="180"/>
    </xf>
    <xf numFmtId="0" fontId="9" fillId="4" borderId="415" xfId="1" applyFont="1" applyFill="1" applyBorder="1" applyAlignment="1" applyProtection="1">
      <alignment horizontal="center" vertical="center" wrapText="1"/>
      <protection hidden="1"/>
    </xf>
    <xf numFmtId="0" fontId="9" fillId="4" borderId="414" xfId="1" applyFont="1" applyFill="1" applyBorder="1" applyAlignment="1" applyProtection="1">
      <alignment horizontal="center" vertical="center" wrapText="1"/>
      <protection hidden="1"/>
    </xf>
    <xf numFmtId="178" fontId="113" fillId="17" borderId="341" xfId="12" applyNumberFormat="1" applyFont="1" applyFill="1" applyBorder="1" applyAlignment="1">
      <alignment horizontal="center" vertical="center"/>
    </xf>
    <xf numFmtId="0" fontId="36" fillId="4" borderId="411" xfId="10" applyFont="1" applyFill="1" applyBorder="1" applyAlignment="1">
      <alignment horizontal="left" vertical="center"/>
    </xf>
    <xf numFmtId="0" fontId="36" fillId="4" borderId="410" xfId="10" applyFont="1" applyFill="1" applyBorder="1" applyAlignment="1">
      <alignment horizontal="left" vertical="center"/>
    </xf>
    <xf numFmtId="0" fontId="33" fillId="21" borderId="410" xfId="10" applyFont="1" applyFill="1" applyBorder="1" applyAlignment="1" applyProtection="1">
      <alignment horizontal="right" vertical="center" wrapText="1"/>
      <protection locked="0"/>
    </xf>
    <xf numFmtId="174" fontId="89" fillId="28" borderId="410" xfId="10" applyNumberFormat="1" applyFont="1" applyFill="1" applyBorder="1" applyAlignment="1" applyProtection="1">
      <alignment horizontal="center" vertical="center"/>
      <protection locked="0"/>
    </xf>
    <xf numFmtId="0" fontId="33" fillId="21" borderId="409" xfId="10" applyFont="1" applyFill="1" applyBorder="1" applyAlignment="1" applyProtection="1">
      <alignment horizontal="left" vertical="center"/>
      <protection locked="0"/>
    </xf>
    <xf numFmtId="1" fontId="33" fillId="4" borderId="407" xfId="5" applyNumberFormat="1" applyFont="1" applyFill="1" applyBorder="1" applyAlignment="1">
      <alignment horizontal="center" vertical="center"/>
    </xf>
    <xf numFmtId="1" fontId="33" fillId="4" borderId="411" xfId="5" applyNumberFormat="1" applyFont="1" applyFill="1" applyBorder="1" applyAlignment="1">
      <alignment horizontal="center" vertical="center"/>
    </xf>
    <xf numFmtId="0" fontId="46" fillId="4" borderId="410" xfId="13" applyFont="1" applyFill="1" applyBorder="1" applyAlignment="1">
      <alignment horizontal="center" vertical="center"/>
    </xf>
    <xf numFmtId="166" fontId="33" fillId="40" borderId="410" xfId="1" applyNumberFormat="1" applyFont="1" applyFill="1" applyBorder="1" applyAlignment="1">
      <alignment horizontal="center" vertical="center"/>
    </xf>
    <xf numFmtId="175" fontId="33" fillId="4" borderId="410" xfId="10" applyNumberFormat="1" applyFont="1" applyFill="1" applyBorder="1" applyAlignment="1" applyProtection="1">
      <alignment horizontal="center" vertical="center"/>
      <protection locked="0"/>
    </xf>
    <xf numFmtId="176" fontId="33" fillId="4" borderId="410" xfId="12" applyNumberFormat="1" applyFont="1" applyFill="1" applyBorder="1" applyAlignment="1">
      <alignment horizontal="center" vertical="center"/>
    </xf>
    <xf numFmtId="1" fontId="33" fillId="4" borderId="410" xfId="10" applyNumberFormat="1" applyFont="1" applyFill="1" applyBorder="1" applyAlignment="1" applyProtection="1">
      <alignment horizontal="left" vertical="center" wrapText="1"/>
      <protection locked="0"/>
    </xf>
    <xf numFmtId="1" fontId="33" fillId="4" borderId="409" xfId="10" applyNumberFormat="1" applyFont="1" applyFill="1" applyBorder="1" applyAlignment="1" applyProtection="1">
      <alignment horizontal="center" vertical="center"/>
      <protection locked="0"/>
    </xf>
    <xf numFmtId="174" fontId="111" fillId="28" borderId="410" xfId="10" applyNumberFormat="1" applyFont="1" applyFill="1" applyBorder="1" applyAlignment="1" applyProtection="1">
      <alignment horizontal="center" vertical="center"/>
      <protection locked="0"/>
    </xf>
    <xf numFmtId="0" fontId="64" fillId="28" borderId="409" xfId="10" applyFont="1" applyFill="1" applyBorder="1" applyAlignment="1" applyProtection="1">
      <alignment horizontal="left" vertical="center"/>
      <protection locked="0"/>
    </xf>
    <xf numFmtId="174" fontId="33" fillId="40" borderId="410" xfId="1" applyNumberFormat="1" applyFont="1" applyFill="1" applyBorder="1" applyAlignment="1">
      <alignment horizontal="center" vertical="center"/>
    </xf>
    <xf numFmtId="0" fontId="33" fillId="0" borderId="187" xfId="28" applyFont="1" applyBorder="1" applyAlignment="1">
      <alignment horizontal="center" vertical="center" wrapText="1"/>
    </xf>
    <xf numFmtId="0" fontId="33" fillId="0" borderId="183" xfId="28" applyFont="1" applyBorder="1" applyAlignment="1">
      <alignment horizontal="center" vertical="center" wrapText="1"/>
    </xf>
    <xf numFmtId="0" fontId="33" fillId="0" borderId="180" xfId="28" applyFont="1" applyBorder="1" applyAlignment="1">
      <alignment horizontal="center" vertical="center" wrapText="1"/>
    </xf>
    <xf numFmtId="0" fontId="33" fillId="39" borderId="48" xfId="28" applyFont="1" applyFill="1" applyBorder="1" applyAlignment="1">
      <alignment horizontal="center" vertical="center" wrapText="1"/>
    </xf>
    <xf numFmtId="0" fontId="33" fillId="39" borderId="13" xfId="28" applyFont="1" applyFill="1" applyBorder="1" applyAlignment="1">
      <alignment horizontal="center" vertical="center" wrapText="1"/>
    </xf>
    <xf numFmtId="0" fontId="33" fillId="39" borderId="85" xfId="28" applyFont="1" applyFill="1" applyBorder="1" applyAlignment="1">
      <alignment horizontal="center" vertical="center" wrapText="1"/>
    </xf>
    <xf numFmtId="0" fontId="2" fillId="98" borderId="140" xfId="21" applyFont="1" applyFill="1" applyBorder="1" applyAlignment="1">
      <alignment horizontal="center" vertical="center" wrapText="1"/>
    </xf>
    <xf numFmtId="0" fontId="2" fillId="98" borderId="141" xfId="21" applyFont="1" applyFill="1" applyBorder="1" applyAlignment="1">
      <alignment horizontal="center" vertical="center" wrapText="1"/>
    </xf>
    <xf numFmtId="0" fontId="2" fillId="98" borderId="0" xfId="21" applyFont="1" applyFill="1" applyAlignment="1">
      <alignment horizontal="center" vertical="center" wrapText="1"/>
    </xf>
    <xf numFmtId="0" fontId="2" fillId="98" borderId="10" xfId="21" applyFont="1" applyFill="1" applyBorder="1" applyAlignment="1">
      <alignment horizontal="center" vertical="center" wrapText="1"/>
    </xf>
    <xf numFmtId="0" fontId="2" fillId="98" borderId="86" xfId="21" applyFont="1" applyFill="1" applyBorder="1" applyAlignment="1">
      <alignment horizontal="center" vertical="center" wrapText="1"/>
    </xf>
    <xf numFmtId="0" fontId="2" fillId="98" borderId="188" xfId="21" applyFont="1" applyFill="1" applyBorder="1" applyAlignment="1">
      <alignment horizontal="center" vertical="center" wrapText="1"/>
    </xf>
    <xf numFmtId="0" fontId="370" fillId="0" borderId="140" xfId="21" applyFont="1" applyBorder="1" applyAlignment="1">
      <alignment horizontal="center" vertical="center" wrapText="1"/>
    </xf>
    <xf numFmtId="0" fontId="370" fillId="0" borderId="141" xfId="21" applyFont="1" applyBorder="1" applyAlignment="1">
      <alignment horizontal="center" vertical="center" wrapText="1"/>
    </xf>
    <xf numFmtId="0" fontId="370" fillId="0" borderId="0" xfId="21" applyFont="1" applyAlignment="1">
      <alignment horizontal="center" vertical="center" wrapText="1"/>
    </xf>
    <xf numFmtId="0" fontId="370" fillId="0" borderId="10" xfId="21" applyFont="1" applyBorder="1" applyAlignment="1">
      <alignment horizontal="center" vertical="center" wrapText="1"/>
    </xf>
    <xf numFmtId="0" fontId="370" fillId="0" borderId="86" xfId="21" applyFont="1" applyBorder="1" applyAlignment="1">
      <alignment horizontal="center" vertical="center" wrapText="1"/>
    </xf>
    <xf numFmtId="0" fontId="370" fillId="0" borderId="188" xfId="21" applyFont="1" applyBorder="1" applyAlignment="1">
      <alignment horizontal="center" vertical="center" wrapText="1"/>
    </xf>
    <xf numFmtId="0" fontId="9" fillId="97" borderId="140" xfId="21" applyFont="1" applyFill="1" applyBorder="1" applyAlignment="1">
      <alignment horizontal="center" vertical="center" wrapText="1"/>
    </xf>
    <xf numFmtId="0" fontId="9" fillId="97" borderId="141" xfId="21" applyFont="1" applyFill="1" applyBorder="1" applyAlignment="1">
      <alignment horizontal="center" vertical="center" wrapText="1"/>
    </xf>
    <xf numFmtId="0" fontId="9" fillId="97" borderId="0" xfId="21" applyFont="1" applyFill="1" applyAlignment="1">
      <alignment horizontal="center" vertical="center" wrapText="1"/>
    </xf>
    <xf numFmtId="0" fontId="9" fillId="97" borderId="10" xfId="21" applyFont="1" applyFill="1" applyBorder="1" applyAlignment="1">
      <alignment horizontal="center" vertical="center" wrapText="1"/>
    </xf>
    <xf numFmtId="0" fontId="9" fillId="97" borderId="86" xfId="21" applyFont="1" applyFill="1" applyBorder="1" applyAlignment="1">
      <alignment horizontal="center" vertical="center" wrapText="1"/>
    </xf>
    <xf numFmtId="0" fontId="9" fillId="97" borderId="188" xfId="21" applyFont="1" applyFill="1" applyBorder="1" applyAlignment="1">
      <alignment horizontal="center" vertical="center" wrapText="1"/>
    </xf>
    <xf numFmtId="0" fontId="9" fillId="3" borderId="140" xfId="28" applyFont="1" applyFill="1" applyBorder="1" applyAlignment="1">
      <alignment horizontal="center" vertical="center" wrapText="1"/>
    </xf>
    <xf numFmtId="0" fontId="9" fillId="3" borderId="141" xfId="28" applyFont="1" applyFill="1" applyBorder="1" applyAlignment="1">
      <alignment horizontal="center" vertical="center" wrapText="1"/>
    </xf>
    <xf numFmtId="0" fontId="9" fillId="3" borderId="0" xfId="28" applyFont="1" applyFill="1" applyAlignment="1">
      <alignment horizontal="center" vertical="center" wrapText="1"/>
    </xf>
    <xf numFmtId="0" fontId="9" fillId="3" borderId="10" xfId="28" applyFont="1" applyFill="1" applyBorder="1" applyAlignment="1">
      <alignment horizontal="center" vertical="center" wrapText="1"/>
    </xf>
    <xf numFmtId="0" fontId="9" fillId="3" borderId="86" xfId="28" applyFont="1" applyFill="1" applyBorder="1" applyAlignment="1">
      <alignment horizontal="center" vertical="center" wrapText="1"/>
    </xf>
    <xf numFmtId="0" fontId="9" fillId="3" borderId="188" xfId="28" applyFont="1" applyFill="1" applyBorder="1" applyAlignment="1">
      <alignment horizontal="center" vertical="center" wrapText="1"/>
    </xf>
    <xf numFmtId="0" fontId="41" fillId="3" borderId="140" xfId="28" applyFont="1" applyFill="1" applyBorder="1" applyAlignment="1">
      <alignment horizontal="center" vertical="center" wrapText="1"/>
    </xf>
    <xf numFmtId="0" fontId="41" fillId="3" borderId="141" xfId="28" applyFont="1" applyFill="1" applyBorder="1" applyAlignment="1">
      <alignment horizontal="center" vertical="center" wrapText="1"/>
    </xf>
    <xf numFmtId="0" fontId="41" fillId="3" borderId="0" xfId="28" applyFont="1" applyFill="1" applyAlignment="1">
      <alignment horizontal="center" vertical="center" wrapText="1"/>
    </xf>
    <xf numFmtId="0" fontId="41" fillId="3" borderId="10" xfId="28" applyFont="1" applyFill="1" applyBorder="1" applyAlignment="1">
      <alignment horizontal="center" vertical="center" wrapText="1"/>
    </xf>
    <xf numFmtId="0" fontId="41" fillId="3" borderId="86" xfId="28" applyFont="1" applyFill="1" applyBorder="1" applyAlignment="1">
      <alignment horizontal="center" vertical="center" wrapText="1"/>
    </xf>
    <xf numFmtId="0" fontId="41" fillId="3" borderId="188" xfId="28" applyFont="1" applyFill="1" applyBorder="1" applyAlignment="1">
      <alignment horizontal="center" vertical="center" wrapText="1"/>
    </xf>
    <xf numFmtId="0" fontId="373" fillId="0" borderId="140" xfId="21" applyFont="1" applyBorder="1" applyAlignment="1">
      <alignment horizontal="center" vertical="center" wrapText="1"/>
    </xf>
    <xf numFmtId="0" fontId="373" fillId="0" borderId="141" xfId="21" applyFont="1" applyBorder="1" applyAlignment="1">
      <alignment horizontal="center" vertical="center" wrapText="1"/>
    </xf>
    <xf numFmtId="0" fontId="373" fillId="0" borderId="0" xfId="21" applyFont="1" applyAlignment="1">
      <alignment horizontal="center" vertical="center" wrapText="1"/>
    </xf>
    <xf numFmtId="0" fontId="373" fillId="0" borderId="10" xfId="21" applyFont="1" applyBorder="1" applyAlignment="1">
      <alignment horizontal="center" vertical="center" wrapText="1"/>
    </xf>
    <xf numFmtId="0" fontId="373" fillId="0" borderId="86" xfId="21" applyFont="1" applyBorder="1" applyAlignment="1">
      <alignment horizontal="center" vertical="center" wrapText="1"/>
    </xf>
    <xf numFmtId="0" fontId="373" fillId="0" borderId="188" xfId="21" applyFont="1" applyBorder="1" applyAlignment="1">
      <alignment horizontal="center" vertical="center" wrapText="1"/>
    </xf>
    <xf numFmtId="0" fontId="374" fillId="99" borderId="140" xfId="28" applyFont="1" applyFill="1" applyBorder="1" applyAlignment="1">
      <alignment horizontal="center" vertical="center" wrapText="1"/>
    </xf>
    <xf numFmtId="0" fontId="374" fillId="99" borderId="141" xfId="28" applyFont="1" applyFill="1" applyBorder="1" applyAlignment="1">
      <alignment horizontal="center" vertical="center" wrapText="1"/>
    </xf>
    <xf numFmtId="0" fontId="374" fillId="99" borderId="0" xfId="28" applyFont="1" applyFill="1" applyAlignment="1">
      <alignment horizontal="center" vertical="center" wrapText="1"/>
    </xf>
    <xf numFmtId="0" fontId="374" fillId="99" borderId="10" xfId="28" applyFont="1" applyFill="1" applyBorder="1" applyAlignment="1">
      <alignment horizontal="center" vertical="center" wrapText="1"/>
    </xf>
    <xf numFmtId="0" fontId="374" fillId="99" borderId="86" xfId="28" applyFont="1" applyFill="1" applyBorder="1" applyAlignment="1">
      <alignment horizontal="center" vertical="center" wrapText="1"/>
    </xf>
    <xf numFmtId="0" fontId="374" fillId="99" borderId="188" xfId="28" applyFont="1" applyFill="1" applyBorder="1" applyAlignment="1">
      <alignment horizontal="center" vertical="center" wrapText="1"/>
    </xf>
    <xf numFmtId="0" fontId="375" fillId="99" borderId="140" xfId="21" applyFont="1" applyFill="1" applyBorder="1" applyAlignment="1">
      <alignment horizontal="center" vertical="center" wrapText="1"/>
    </xf>
    <xf numFmtId="0" fontId="375" fillId="99" borderId="141" xfId="21" applyFont="1" applyFill="1" applyBorder="1" applyAlignment="1">
      <alignment horizontal="center" vertical="center" wrapText="1"/>
    </xf>
    <xf numFmtId="0" fontId="375" fillId="99" borderId="0" xfId="21" applyFont="1" applyFill="1" applyAlignment="1">
      <alignment horizontal="center" vertical="center" wrapText="1"/>
    </xf>
    <xf numFmtId="0" fontId="375" fillId="99" borderId="10" xfId="21" applyFont="1" applyFill="1" applyBorder="1" applyAlignment="1">
      <alignment horizontal="center" vertical="center" wrapText="1"/>
    </xf>
    <xf numFmtId="0" fontId="375" fillId="99" borderId="86" xfId="21" applyFont="1" applyFill="1" applyBorder="1" applyAlignment="1">
      <alignment horizontal="center" vertical="center" wrapText="1"/>
    </xf>
    <xf numFmtId="0" fontId="375" fillId="99" borderId="188" xfId="21" applyFont="1" applyFill="1" applyBorder="1" applyAlignment="1">
      <alignment horizontal="center" vertical="center" wrapText="1"/>
    </xf>
    <xf numFmtId="0" fontId="111" fillId="51" borderId="8" xfId="1" applyFont="1" applyFill="1" applyBorder="1" applyAlignment="1">
      <alignment horizontal="center" vertical="center" wrapText="1"/>
    </xf>
    <xf numFmtId="0" fontId="111" fillId="51" borderId="66" xfId="1" applyFont="1" applyFill="1" applyBorder="1" applyAlignment="1">
      <alignment horizontal="center" vertical="center" wrapText="1"/>
    </xf>
    <xf numFmtId="0" fontId="111" fillId="51" borderId="191" xfId="1" applyFont="1" applyFill="1" applyBorder="1" applyAlignment="1">
      <alignment horizontal="center" vertical="center" wrapText="1"/>
    </xf>
    <xf numFmtId="0" fontId="111" fillId="51" borderId="13" xfId="1" applyFont="1" applyFill="1" applyBorder="1" applyAlignment="1">
      <alignment horizontal="center" vertical="center" wrapText="1"/>
    </xf>
    <xf numFmtId="0" fontId="111" fillId="51" borderId="0" xfId="1" applyFont="1" applyFill="1" applyAlignment="1">
      <alignment horizontal="center" vertical="center" wrapText="1"/>
    </xf>
    <xf numFmtId="0" fontId="111" fillId="51" borderId="10" xfId="1" applyFont="1" applyFill="1" applyBorder="1" applyAlignment="1">
      <alignment horizontal="center" vertical="center" wrapText="1"/>
    </xf>
    <xf numFmtId="0" fontId="111" fillId="51" borderId="91" xfId="1" applyFont="1" applyFill="1" applyBorder="1" applyAlignment="1">
      <alignment horizontal="center" vertical="center" wrapText="1"/>
    </xf>
    <xf numFmtId="0" fontId="111" fillId="51" borderId="189" xfId="1" applyFont="1" applyFill="1" applyBorder="1" applyAlignment="1">
      <alignment horizontal="center" vertical="center" wrapText="1"/>
    </xf>
    <xf numFmtId="0" fontId="111" fillId="51" borderId="190" xfId="1" applyFont="1" applyFill="1" applyBorder="1" applyAlignment="1">
      <alignment horizontal="center" vertical="center" wrapText="1"/>
    </xf>
    <xf numFmtId="0" fontId="21" fillId="0" borderId="134" xfId="1" applyFont="1" applyBorder="1" applyAlignment="1">
      <alignment horizontal="center" vertical="center" wrapText="1"/>
    </xf>
    <xf numFmtId="0" fontId="21" fillId="0" borderId="66" xfId="1" applyFont="1" applyBorder="1" applyAlignment="1">
      <alignment horizontal="center" vertical="center" wrapText="1"/>
    </xf>
    <xf numFmtId="0" fontId="21" fillId="0" borderId="191" xfId="1" applyFont="1" applyBorder="1" applyAlignment="1">
      <alignment horizontal="center" vertical="center" wrapText="1"/>
    </xf>
    <xf numFmtId="0" fontId="21" fillId="0" borderId="16" xfId="1" applyFont="1" applyBorder="1" applyAlignment="1">
      <alignment horizontal="center" vertical="center" wrapText="1"/>
    </xf>
    <xf numFmtId="0" fontId="21" fillId="0" borderId="0" xfId="1" applyFont="1" applyAlignment="1">
      <alignment horizontal="center" vertical="center" wrapText="1"/>
    </xf>
    <xf numFmtId="0" fontId="21" fillId="0" borderId="10" xfId="1" applyFont="1" applyBorder="1" applyAlignment="1">
      <alignment horizontal="center" vertical="center" wrapText="1"/>
    </xf>
    <xf numFmtId="0" fontId="18" fillId="11" borderId="134" xfId="1" applyFont="1" applyFill="1" applyBorder="1" applyAlignment="1">
      <alignment horizontal="center" vertical="center"/>
    </xf>
    <xf numFmtId="0" fontId="18" fillId="11" borderId="66" xfId="1" applyFont="1" applyFill="1" applyBorder="1" applyAlignment="1">
      <alignment horizontal="center" vertical="center"/>
    </xf>
    <xf numFmtId="0" fontId="18" fillId="11" borderId="67" xfId="1" applyFont="1" applyFill="1" applyBorder="1" applyAlignment="1">
      <alignment horizontal="center" vertical="center"/>
    </xf>
    <xf numFmtId="0" fontId="377" fillId="4" borderId="16" xfId="1" applyFont="1" applyFill="1" applyBorder="1" applyAlignment="1">
      <alignment horizontal="center" vertical="center" wrapText="1"/>
    </xf>
    <xf numFmtId="0" fontId="377" fillId="4" borderId="0" xfId="1" applyFont="1" applyFill="1" applyAlignment="1">
      <alignment horizontal="center" vertical="center" wrapText="1"/>
    </xf>
    <xf numFmtId="0" fontId="377" fillId="4" borderId="15" xfId="1" applyFont="1" applyFill="1" applyBorder="1" applyAlignment="1">
      <alignment horizontal="center" vertical="center" wrapText="1"/>
    </xf>
    <xf numFmtId="0" fontId="17" fillId="0" borderId="16" xfId="1" applyFont="1" applyBorder="1" applyAlignment="1">
      <alignment horizontal="left" vertical="center" wrapText="1"/>
    </xf>
    <xf numFmtId="0" fontId="17" fillId="0" borderId="0" xfId="1" applyFont="1" applyAlignment="1">
      <alignment horizontal="left" vertical="center" wrapText="1"/>
    </xf>
    <xf numFmtId="0" fontId="17" fillId="0" borderId="15" xfId="1" applyFont="1" applyBorder="1" applyAlignment="1">
      <alignment horizontal="left" vertical="center" wrapText="1"/>
    </xf>
    <xf numFmtId="0" fontId="33" fillId="0" borderId="16" xfId="1" applyFont="1" applyBorder="1" applyAlignment="1">
      <alignment horizontal="center" vertical="center" wrapText="1"/>
    </xf>
    <xf numFmtId="0" fontId="33" fillId="0" borderId="0" xfId="1" applyFont="1" applyAlignment="1">
      <alignment horizontal="center" vertical="center" wrapText="1"/>
    </xf>
    <xf numFmtId="0" fontId="33" fillId="0" borderId="10" xfId="1" applyFont="1" applyBorder="1" applyAlignment="1">
      <alignment horizontal="center" vertical="center" wrapText="1"/>
    </xf>
    <xf numFmtId="0" fontId="33" fillId="0" borderId="39" xfId="1" applyFont="1" applyBorder="1" applyAlignment="1">
      <alignment horizontal="center" vertical="center" wrapText="1"/>
    </xf>
    <xf numFmtId="0" fontId="33" fillId="0" borderId="189" xfId="1" applyFont="1" applyBorder="1" applyAlignment="1">
      <alignment horizontal="center" vertical="center" wrapText="1"/>
    </xf>
    <xf numFmtId="0" fontId="33" fillId="0" borderId="190" xfId="1" applyFont="1" applyBorder="1" applyAlignment="1">
      <alignment horizontal="center" vertical="center" wrapText="1"/>
    </xf>
    <xf numFmtId="0" fontId="17" fillId="0" borderId="39" xfId="1" applyFont="1" applyBorder="1" applyAlignment="1">
      <alignment horizontal="left" vertical="center" wrapText="1"/>
    </xf>
    <xf numFmtId="0" fontId="17" fillId="0" borderId="189" xfId="1" applyFont="1" applyBorder="1" applyAlignment="1">
      <alignment horizontal="left" vertical="center" wrapText="1"/>
    </xf>
    <xf numFmtId="0" fontId="17" fillId="0" borderId="41" xfId="1" applyFont="1" applyBorder="1" applyAlignment="1">
      <alignment horizontal="left" vertical="center" wrapText="1"/>
    </xf>
    <xf numFmtId="0" fontId="9" fillId="100" borderId="140" xfId="21" applyFont="1" applyFill="1" applyBorder="1" applyAlignment="1">
      <alignment horizontal="center" vertical="center" wrapText="1"/>
    </xf>
    <xf numFmtId="0" fontId="9" fillId="100" borderId="141" xfId="21" applyFont="1" applyFill="1" applyBorder="1" applyAlignment="1">
      <alignment horizontal="center" vertical="center" wrapText="1"/>
    </xf>
    <xf numFmtId="0" fontId="9" fillId="100" borderId="0" xfId="21" applyFont="1" applyFill="1" applyAlignment="1">
      <alignment horizontal="center" vertical="center" wrapText="1"/>
    </xf>
    <xf numFmtId="0" fontId="9" fillId="100" borderId="10" xfId="21" applyFont="1" applyFill="1" applyBorder="1" applyAlignment="1">
      <alignment horizontal="center" vertical="center" wrapText="1"/>
    </xf>
    <xf numFmtId="0" fontId="9" fillId="100" borderId="86" xfId="21" applyFont="1" applyFill="1" applyBorder="1" applyAlignment="1">
      <alignment horizontal="center" vertical="center" wrapText="1"/>
    </xf>
    <xf numFmtId="0" fontId="9" fillId="100" borderId="188" xfId="21" applyFont="1" applyFill="1" applyBorder="1" applyAlignment="1">
      <alignment horizontal="center" vertical="center" wrapText="1"/>
    </xf>
    <xf numFmtId="0" fontId="337" fillId="0" borderId="100" xfId="1" applyFont="1" applyBorder="1" applyAlignment="1">
      <alignment horizontal="center" vertical="top" textRotation="255"/>
    </xf>
    <xf numFmtId="0" fontId="337" fillId="0" borderId="95" xfId="1" applyFont="1" applyBorder="1" applyAlignment="1">
      <alignment horizontal="center" vertical="top" textRotation="255"/>
    </xf>
    <xf numFmtId="0" fontId="337" fillId="0" borderId="107" xfId="1" applyFont="1" applyBorder="1" applyAlignment="1">
      <alignment horizontal="center" vertical="top" textRotation="255"/>
    </xf>
    <xf numFmtId="0" fontId="81" fillId="0" borderId="100" xfId="1" applyFont="1" applyBorder="1" applyAlignment="1">
      <alignment horizontal="center" vertical="top" textRotation="255"/>
    </xf>
    <xf numFmtId="0" fontId="81" fillId="0" borderId="95" xfId="1" applyFont="1" applyBorder="1" applyAlignment="1">
      <alignment horizontal="center" vertical="top" textRotation="255"/>
    </xf>
    <xf numFmtId="0" fontId="81" fillId="0" borderId="107" xfId="1" applyFont="1" applyBorder="1" applyAlignment="1">
      <alignment horizontal="center" vertical="top" textRotation="255"/>
    </xf>
    <xf numFmtId="2" fontId="33" fillId="81" borderId="5" xfId="1" applyNumberFormat="1" applyFont="1" applyFill="1" applyBorder="1" applyAlignment="1" applyProtection="1">
      <alignment horizontal="center" vertical="center"/>
      <protection locked="0"/>
    </xf>
    <xf numFmtId="2" fontId="33" fillId="94" borderId="5" xfId="1" applyNumberFormat="1" applyFont="1" applyFill="1" applyBorder="1" applyAlignment="1" applyProtection="1">
      <alignment horizontal="center" vertical="center"/>
      <protection locked="0"/>
    </xf>
    <xf numFmtId="2" fontId="33" fillId="93" borderId="5" xfId="1" applyNumberFormat="1" applyFont="1" applyFill="1" applyBorder="1" applyAlignment="1" applyProtection="1">
      <alignment horizontal="center" vertical="center"/>
      <protection locked="0"/>
    </xf>
    <xf numFmtId="2" fontId="33" fillId="91" borderId="5" xfId="1" applyNumberFormat="1" applyFont="1" applyFill="1" applyBorder="1" applyAlignment="1" applyProtection="1">
      <alignment horizontal="center" vertical="center"/>
      <protection locked="0"/>
    </xf>
    <xf numFmtId="2" fontId="33" fillId="86" borderId="5" xfId="1" applyNumberFormat="1" applyFont="1" applyFill="1" applyBorder="1" applyAlignment="1" applyProtection="1">
      <alignment horizontal="center" vertical="center"/>
      <protection locked="0"/>
    </xf>
    <xf numFmtId="2" fontId="9" fillId="89" borderId="5" xfId="1" applyNumberFormat="1" applyFont="1" applyFill="1" applyBorder="1" applyAlignment="1" applyProtection="1">
      <alignment horizontal="center" vertical="center"/>
      <protection locked="0"/>
    </xf>
    <xf numFmtId="2" fontId="40" fillId="87" borderId="5" xfId="1" applyNumberFormat="1" applyFont="1" applyFill="1" applyBorder="1" applyAlignment="1" applyProtection="1">
      <alignment horizontal="center" vertical="center"/>
      <protection locked="0"/>
    </xf>
    <xf numFmtId="2" fontId="40" fillId="85" borderId="5" xfId="1" applyNumberFormat="1" applyFont="1" applyFill="1" applyBorder="1" applyAlignment="1" applyProtection="1">
      <alignment horizontal="center" vertical="center"/>
      <protection locked="0"/>
    </xf>
    <xf numFmtId="2" fontId="40" fillId="92" borderId="5" xfId="1" applyNumberFormat="1" applyFont="1" applyFill="1" applyBorder="1" applyAlignment="1" applyProtection="1">
      <alignment horizontal="center" vertical="center"/>
      <protection locked="0"/>
    </xf>
    <xf numFmtId="2" fontId="33" fillId="90" borderId="5" xfId="1" applyNumberFormat="1" applyFont="1" applyFill="1" applyBorder="1" applyAlignment="1" applyProtection="1">
      <alignment horizontal="center" vertical="center"/>
      <protection locked="0"/>
    </xf>
    <xf numFmtId="2" fontId="40" fillId="88" borderId="5" xfId="1" applyNumberFormat="1" applyFont="1" applyFill="1" applyBorder="1" applyAlignment="1" applyProtection="1">
      <alignment horizontal="center" vertical="center"/>
      <protection locked="0"/>
    </xf>
    <xf numFmtId="2" fontId="40" fillId="83" borderId="5" xfId="1" applyNumberFormat="1" applyFont="1" applyFill="1" applyBorder="1" applyAlignment="1" applyProtection="1">
      <alignment horizontal="center" vertical="center"/>
      <protection locked="0"/>
    </xf>
    <xf numFmtId="2" fontId="41" fillId="81" borderId="5" xfId="1" applyNumberFormat="1" applyFont="1" applyFill="1" applyBorder="1" applyAlignment="1" applyProtection="1">
      <alignment horizontal="center" vertical="center"/>
      <protection locked="0"/>
    </xf>
    <xf numFmtId="2" fontId="9" fillId="81" borderId="5" xfId="1" applyNumberFormat="1" applyFont="1" applyFill="1" applyBorder="1" applyAlignment="1" applyProtection="1">
      <alignment horizontal="center" vertical="center"/>
      <protection locked="0"/>
    </xf>
    <xf numFmtId="2" fontId="33" fillId="84" borderId="5" xfId="1" applyNumberFormat="1" applyFont="1" applyFill="1" applyBorder="1" applyAlignment="1" applyProtection="1">
      <alignment horizontal="center" vertical="center"/>
      <protection locked="0"/>
    </xf>
    <xf numFmtId="2" fontId="33" fillId="82" borderId="5" xfId="1" applyNumberFormat="1" applyFont="1" applyFill="1" applyBorder="1" applyAlignment="1" applyProtection="1">
      <alignment horizontal="center" vertical="center"/>
      <protection locked="0"/>
    </xf>
    <xf numFmtId="2" fontId="33" fillId="81" borderId="0" xfId="1" applyNumberFormat="1" applyFont="1" applyFill="1" applyAlignment="1" applyProtection="1">
      <alignment horizontal="center" vertical="center"/>
      <protection locked="0"/>
    </xf>
    <xf numFmtId="0" fontId="346" fillId="0" borderId="100" xfId="1" applyFont="1" applyBorder="1" applyAlignment="1">
      <alignment horizontal="center" vertical="top" textRotation="255"/>
    </xf>
    <xf numFmtId="0" fontId="346" fillId="0" borderId="95" xfId="1" applyFont="1" applyBorder="1" applyAlignment="1">
      <alignment horizontal="center" vertical="top" textRotation="255"/>
    </xf>
    <xf numFmtId="0" fontId="346" fillId="0" borderId="107" xfId="1" applyFont="1" applyBorder="1" applyAlignment="1">
      <alignment horizontal="center" vertical="top" textRotation="255"/>
    </xf>
    <xf numFmtId="0" fontId="345" fillId="51" borderId="100" xfId="1" applyFont="1" applyFill="1" applyBorder="1" applyAlignment="1">
      <alignment horizontal="center" vertical="top" textRotation="255"/>
    </xf>
    <xf numFmtId="0" fontId="345" fillId="51" borderId="95" xfId="1" applyFont="1" applyFill="1" applyBorder="1" applyAlignment="1">
      <alignment horizontal="center" vertical="top" textRotation="255"/>
    </xf>
    <xf numFmtId="0" fontId="345" fillId="51" borderId="107" xfId="1" applyFont="1" applyFill="1" applyBorder="1" applyAlignment="1">
      <alignment horizontal="center" vertical="top" textRotation="255"/>
    </xf>
    <xf numFmtId="0" fontId="343" fillId="0" borderId="100" xfId="1" applyFont="1" applyBorder="1" applyAlignment="1">
      <alignment horizontal="center" vertical="top" textRotation="255"/>
    </xf>
    <xf numFmtId="0" fontId="343" fillId="0" borderId="95" xfId="1" applyFont="1" applyBorder="1" applyAlignment="1">
      <alignment horizontal="center" vertical="top" textRotation="255"/>
    </xf>
    <xf numFmtId="0" fontId="343" fillId="0" borderId="111" xfId="1" applyFont="1" applyBorder="1" applyAlignment="1">
      <alignment horizontal="center" vertical="top" textRotation="255"/>
    </xf>
    <xf numFmtId="0" fontId="344" fillId="0" borderId="100" xfId="1" applyFont="1" applyBorder="1" applyAlignment="1">
      <alignment horizontal="center" vertical="top" textRotation="255"/>
    </xf>
    <xf numFmtId="0" fontId="344" fillId="0" borderId="95" xfId="1" applyFont="1" applyBorder="1" applyAlignment="1">
      <alignment horizontal="center" vertical="top" textRotation="255"/>
    </xf>
    <xf numFmtId="0" fontId="344" fillId="0" borderId="107" xfId="1" applyFont="1" applyBorder="1" applyAlignment="1">
      <alignment horizontal="center" vertical="top" textRotation="255"/>
    </xf>
    <xf numFmtId="0" fontId="348" fillId="0" borderId="100" xfId="1" applyFont="1" applyBorder="1" applyAlignment="1">
      <alignment horizontal="center" vertical="top" textRotation="255"/>
    </xf>
    <xf numFmtId="0" fontId="348" fillId="0" borderId="95" xfId="1" applyFont="1" applyBorder="1" applyAlignment="1">
      <alignment horizontal="center" vertical="top" textRotation="255"/>
    </xf>
    <xf numFmtId="0" fontId="348" fillId="0" borderId="111" xfId="1" applyFont="1" applyBorder="1" applyAlignment="1">
      <alignment horizontal="center" vertical="top" textRotation="255"/>
    </xf>
    <xf numFmtId="0" fontId="349" fillId="0" borderId="100" xfId="1" applyFont="1" applyBorder="1" applyAlignment="1">
      <alignment horizontal="center" vertical="top" textRotation="255"/>
    </xf>
    <xf numFmtId="0" fontId="349" fillId="0" borderId="95" xfId="1" applyFont="1" applyBorder="1" applyAlignment="1">
      <alignment horizontal="center" vertical="top" textRotation="255"/>
    </xf>
    <xf numFmtId="0" fontId="349" fillId="0" borderId="107" xfId="1" applyFont="1" applyBorder="1" applyAlignment="1">
      <alignment horizontal="center" vertical="top" textRotation="255"/>
    </xf>
    <xf numFmtId="0" fontId="350" fillId="0" borderId="100" xfId="1" applyFont="1" applyBorder="1" applyAlignment="1">
      <alignment horizontal="center" vertical="top" textRotation="255"/>
    </xf>
    <xf numFmtId="0" fontId="350" fillId="0" borderId="95" xfId="1" applyFont="1" applyBorder="1" applyAlignment="1">
      <alignment horizontal="center" vertical="top" textRotation="255"/>
    </xf>
    <xf numFmtId="0" fontId="350" fillId="0" borderId="107" xfId="1" applyFont="1" applyBorder="1" applyAlignment="1">
      <alignment horizontal="center" vertical="top" textRotation="255"/>
    </xf>
    <xf numFmtId="0" fontId="149" fillId="0" borderId="100" xfId="1" applyFont="1" applyBorder="1" applyAlignment="1">
      <alignment horizontal="center" vertical="top" textRotation="255"/>
    </xf>
    <xf numFmtId="0" fontId="149" fillId="0" borderId="95" xfId="1" applyFont="1" applyBorder="1" applyAlignment="1">
      <alignment horizontal="center" vertical="top" textRotation="255"/>
    </xf>
    <xf numFmtId="0" fontId="149" fillId="0" borderId="107" xfId="1" applyFont="1" applyBorder="1" applyAlignment="1">
      <alignment horizontal="center" vertical="top" textRotation="255"/>
    </xf>
    <xf numFmtId="0" fontId="347" fillId="0" borderId="100" xfId="1" applyFont="1" applyBorder="1" applyAlignment="1">
      <alignment horizontal="center" vertical="top" textRotation="255"/>
    </xf>
    <xf numFmtId="0" fontId="347" fillId="0" borderId="95" xfId="1" applyFont="1" applyBorder="1" applyAlignment="1">
      <alignment horizontal="center" vertical="top" textRotation="255"/>
    </xf>
    <xf numFmtId="0" fontId="347" fillId="0" borderId="107" xfId="1" applyFont="1" applyBorder="1" applyAlignment="1">
      <alignment horizontal="center" vertical="top" textRotation="255"/>
    </xf>
    <xf numFmtId="0" fontId="341" fillId="0" borderId="100" xfId="1" applyFont="1" applyBorder="1" applyAlignment="1">
      <alignment horizontal="center" vertical="top" textRotation="255"/>
    </xf>
    <xf numFmtId="0" fontId="341" fillId="0" borderId="95" xfId="1" applyFont="1" applyBorder="1" applyAlignment="1">
      <alignment horizontal="center" vertical="top" textRotation="255"/>
    </xf>
    <xf numFmtId="0" fontId="341" fillId="0" borderId="107" xfId="1" applyFont="1" applyBorder="1" applyAlignment="1">
      <alignment horizontal="center" vertical="top" textRotation="255"/>
    </xf>
    <xf numFmtId="0" fontId="342" fillId="0" borderId="100" xfId="1" applyFont="1" applyBorder="1" applyAlignment="1">
      <alignment horizontal="center" vertical="top" textRotation="255"/>
    </xf>
    <xf numFmtId="0" fontId="342" fillId="0" borderId="95" xfId="1" applyFont="1" applyBorder="1" applyAlignment="1">
      <alignment horizontal="center" vertical="top" textRotation="255"/>
    </xf>
    <xf numFmtId="0" fontId="342" fillId="0" borderId="107" xfId="1" applyFont="1" applyBorder="1" applyAlignment="1">
      <alignment horizontal="center" vertical="top" textRotation="255"/>
    </xf>
    <xf numFmtId="0" fontId="340" fillId="0" borderId="100" xfId="1" applyFont="1" applyBorder="1" applyAlignment="1">
      <alignment horizontal="center" vertical="top" textRotation="255"/>
    </xf>
    <xf numFmtId="0" fontId="340" fillId="0" borderId="95" xfId="1" applyFont="1" applyBorder="1" applyAlignment="1">
      <alignment horizontal="center" vertical="top" textRotation="255"/>
    </xf>
    <xf numFmtId="0" fontId="340" fillId="0" borderId="107" xfId="1" applyFont="1" applyBorder="1" applyAlignment="1">
      <alignment horizontal="center" vertical="top" textRotation="255"/>
    </xf>
    <xf numFmtId="0" fontId="336" fillId="0" borderId="100" xfId="1" applyFont="1" applyBorder="1" applyAlignment="1">
      <alignment horizontal="center" vertical="top" textRotation="255"/>
    </xf>
    <xf numFmtId="0" fontId="336" fillId="0" borderId="95" xfId="1" applyFont="1" applyBorder="1" applyAlignment="1">
      <alignment horizontal="center" vertical="top" textRotation="255"/>
    </xf>
    <xf numFmtId="0" fontId="336" fillId="0" borderId="107" xfId="1" applyFont="1" applyBorder="1" applyAlignment="1">
      <alignment horizontal="center" vertical="top" textRotation="255"/>
    </xf>
    <xf numFmtId="0" fontId="194" fillId="0" borderId="100" xfId="1" applyFont="1" applyBorder="1" applyAlignment="1">
      <alignment horizontal="center" vertical="top" textRotation="255"/>
    </xf>
    <xf numFmtId="0" fontId="194" fillId="0" borderId="95" xfId="1" applyFont="1" applyBorder="1" applyAlignment="1">
      <alignment horizontal="center" vertical="top" textRotation="255"/>
    </xf>
    <xf numFmtId="0" fontId="194" fillId="0" borderId="107" xfId="1" applyFont="1" applyBorder="1" applyAlignment="1">
      <alignment horizontal="center" vertical="top" textRotation="255"/>
    </xf>
    <xf numFmtId="0" fontId="339" fillId="0" borderId="100" xfId="1" applyFont="1" applyBorder="1" applyAlignment="1">
      <alignment horizontal="center" vertical="top" textRotation="255"/>
    </xf>
    <xf numFmtId="0" fontId="339" fillId="0" borderId="95" xfId="1" applyFont="1" applyBorder="1" applyAlignment="1">
      <alignment horizontal="center" vertical="top" textRotation="255"/>
    </xf>
    <xf numFmtId="0" fontId="339" fillId="0" borderId="107" xfId="1" applyFont="1" applyBorder="1" applyAlignment="1">
      <alignment horizontal="center" vertical="top" textRotation="255"/>
    </xf>
    <xf numFmtId="0" fontId="338" fillId="0" borderId="100" xfId="1" applyFont="1" applyBorder="1" applyAlignment="1">
      <alignment horizontal="center" vertical="top" textRotation="255"/>
    </xf>
    <xf numFmtId="0" fontId="338" fillId="0" borderId="95" xfId="1" applyFont="1" applyBorder="1" applyAlignment="1">
      <alignment horizontal="center" vertical="top" textRotation="255"/>
    </xf>
    <xf numFmtId="0" fontId="338" fillId="0" borderId="107" xfId="1" applyFont="1" applyBorder="1" applyAlignment="1">
      <alignment horizontal="center" vertical="top" textRotation="255"/>
    </xf>
    <xf numFmtId="164" fontId="38" fillId="65" borderId="0" xfId="1" applyNumberFormat="1" applyFont="1" applyFill="1" applyAlignment="1" applyProtection="1">
      <alignment horizontal="center" vertical="center" wrapText="1"/>
      <protection hidden="1"/>
    </xf>
    <xf numFmtId="0" fontId="38" fillId="65" borderId="0" xfId="1" applyFont="1" applyFill="1" applyAlignment="1" applyProtection="1">
      <alignment horizontal="center" vertical="center" wrapText="1"/>
      <protection hidden="1"/>
    </xf>
    <xf numFmtId="191" fontId="34" fillId="15" borderId="0" xfId="1" applyNumberFormat="1" applyFont="1" applyFill="1" applyAlignment="1">
      <alignment horizontal="center" vertical="center" wrapText="1"/>
    </xf>
    <xf numFmtId="0" fontId="159" fillId="15" borderId="0" xfId="5" applyFont="1" applyFill="1" applyAlignment="1">
      <alignment horizontal="center" vertical="center" wrapText="1"/>
    </xf>
    <xf numFmtId="0" fontId="182" fillId="19" borderId="207" xfId="1" applyFont="1" applyFill="1" applyBorder="1" applyAlignment="1">
      <alignment horizontal="center" vertical="center"/>
    </xf>
    <xf numFmtId="0" fontId="182" fillId="19" borderId="0" xfId="1" applyFont="1" applyFill="1" applyAlignment="1">
      <alignment horizontal="center" vertical="center"/>
    </xf>
    <xf numFmtId="0" fontId="182" fillId="19" borderId="219" xfId="1" applyFont="1" applyFill="1" applyBorder="1" applyAlignment="1">
      <alignment horizontal="center" vertical="center"/>
    </xf>
    <xf numFmtId="0" fontId="382" fillId="4" borderId="0" xfId="1" applyFont="1" applyFill="1" applyAlignment="1">
      <alignment horizontal="center" vertical="center"/>
    </xf>
    <xf numFmtId="165" fontId="21" fillId="32" borderId="0" xfId="1" applyNumberFormat="1" applyFont="1" applyFill="1" applyAlignment="1">
      <alignment horizontal="center" vertical="center"/>
    </xf>
    <xf numFmtId="0" fontId="33" fillId="38" borderId="0" xfId="1" applyFont="1" applyFill="1" applyAlignment="1">
      <alignment horizontal="left" vertical="center" wrapText="1"/>
    </xf>
    <xf numFmtId="169" fontId="41" fillId="27" borderId="0" xfId="1" applyNumberFormat="1" applyFont="1" applyFill="1" applyAlignment="1">
      <alignment horizontal="center" vertical="center" wrapText="1"/>
    </xf>
    <xf numFmtId="0" fontId="18" fillId="74" borderId="0" xfId="1" applyFont="1" applyFill="1" applyAlignment="1" applyProtection="1">
      <alignment horizontal="center" wrapText="1"/>
      <protection hidden="1"/>
    </xf>
    <xf numFmtId="0" fontId="182" fillId="75" borderId="0" xfId="1" applyFont="1" applyFill="1" applyAlignment="1">
      <alignment horizontal="center" vertical="center"/>
    </xf>
    <xf numFmtId="169" fontId="33" fillId="38" borderId="0" xfId="1" applyNumberFormat="1" applyFont="1" applyFill="1" applyAlignment="1">
      <alignment horizontal="center" vertical="center"/>
    </xf>
    <xf numFmtId="0" fontId="36" fillId="107" borderId="49" xfId="3" applyFont="1" applyFill="1" applyBorder="1" applyAlignment="1">
      <alignment horizontal="center" vertical="center"/>
    </xf>
    <xf numFmtId="0" fontId="36" fillId="107" borderId="0" xfId="3" applyFont="1" applyFill="1" applyAlignment="1">
      <alignment horizontal="center" vertical="center"/>
    </xf>
    <xf numFmtId="0" fontId="194" fillId="0" borderId="8" xfId="1" applyFont="1" applyBorder="1" applyAlignment="1">
      <alignment horizontal="left" vertical="center"/>
    </xf>
    <xf numFmtId="0" fontId="194" fillId="0" borderId="216" xfId="1" applyFont="1" applyBorder="1" applyAlignment="1">
      <alignment horizontal="left" vertical="center"/>
    </xf>
    <xf numFmtId="0" fontId="194" fillId="0" borderId="13" xfId="1" applyFont="1" applyBorder="1" applyAlignment="1">
      <alignment horizontal="left" vertical="center"/>
    </xf>
    <xf numFmtId="0" fontId="194" fillId="0" borderId="0" xfId="1" applyFont="1" applyAlignment="1">
      <alignment horizontal="left" vertical="center"/>
    </xf>
    <xf numFmtId="0" fontId="81" fillId="6" borderId="216" xfId="3" applyFont="1" applyFill="1" applyBorder="1" applyAlignment="1">
      <alignment horizontal="right" vertical="center"/>
    </xf>
    <xf numFmtId="0" fontId="81" fillId="6" borderId="0" xfId="3" applyFont="1" applyFill="1" applyAlignment="1">
      <alignment horizontal="right" vertical="center"/>
    </xf>
    <xf numFmtId="0" fontId="81" fillId="4" borderId="215" xfId="5" applyFont="1" applyFill="1" applyBorder="1" applyAlignment="1">
      <alignment horizontal="center" vertical="center"/>
    </xf>
    <xf numFmtId="0" fontId="81" fillId="4" borderId="12" xfId="5" applyFont="1" applyFill="1" applyBorder="1" applyAlignment="1">
      <alignment horizontal="center" vertical="center"/>
    </xf>
    <xf numFmtId="0" fontId="13" fillId="5" borderId="2" xfId="1" applyFont="1" applyFill="1" applyBorder="1" applyAlignment="1" applyProtection="1">
      <alignment horizontal="center" vertical="center" wrapText="1"/>
      <protection hidden="1"/>
    </xf>
    <xf numFmtId="0" fontId="81" fillId="0" borderId="215" xfId="1" applyFont="1" applyBorder="1" applyAlignment="1">
      <alignment horizontal="center" vertical="top" textRotation="255"/>
    </xf>
    <xf numFmtId="0" fontId="81" fillId="0" borderId="15" xfId="1" applyFont="1" applyBorder="1" applyAlignment="1">
      <alignment horizontal="center" vertical="top" textRotation="255"/>
    </xf>
    <xf numFmtId="0" fontId="25" fillId="6" borderId="16" xfId="1" applyFont="1" applyFill="1" applyBorder="1" applyAlignment="1">
      <alignment horizontal="center" vertical="center"/>
    </xf>
    <xf numFmtId="0" fontId="25" fillId="6" borderId="10" xfId="1" applyFont="1" applyFill="1" applyBorder="1" applyAlignment="1">
      <alignment horizontal="center" vertical="center"/>
    </xf>
    <xf numFmtId="0" fontId="25" fillId="6" borderId="39" xfId="1" applyFont="1" applyFill="1" applyBorder="1" applyAlignment="1">
      <alignment horizontal="center" vertical="center"/>
    </xf>
    <xf numFmtId="0" fontId="25" fillId="6" borderId="190" xfId="1" applyFont="1" applyFill="1" applyBorder="1" applyAlignment="1">
      <alignment horizontal="center" vertical="center"/>
    </xf>
    <xf numFmtId="0" fontId="403" fillId="24" borderId="13" xfId="27" applyFont="1" applyFill="1" applyBorder="1" applyAlignment="1">
      <alignment horizontal="center" vertical="center"/>
    </xf>
    <xf numFmtId="0" fontId="403" fillId="24" borderId="0" xfId="27" applyFont="1" applyFill="1" applyAlignment="1">
      <alignment horizontal="center" vertical="center"/>
    </xf>
    <xf numFmtId="0" fontId="403" fillId="24" borderId="12" xfId="27" applyFont="1" applyFill="1" applyBorder="1" applyAlignment="1">
      <alignment horizontal="center" vertical="center"/>
    </xf>
    <xf numFmtId="0" fontId="403" fillId="24" borderId="91" xfId="27" applyFont="1" applyFill="1" applyBorder="1" applyAlignment="1">
      <alignment horizontal="center" vertical="center"/>
    </xf>
    <xf numFmtId="0" fontId="403" fillId="24" borderId="189" xfId="27" applyFont="1" applyFill="1" applyBorder="1" applyAlignment="1">
      <alignment horizontal="center" vertical="center"/>
    </xf>
    <xf numFmtId="0" fontId="403" fillId="24" borderId="41" xfId="27" applyFont="1" applyFill="1" applyBorder="1" applyAlignment="1">
      <alignment horizontal="center" vertical="center"/>
    </xf>
    <xf numFmtId="0" fontId="21" fillId="0" borderId="2" xfId="1" applyFont="1" applyBorder="1" applyAlignment="1">
      <alignment horizontal="center" vertical="center" textRotation="180"/>
    </xf>
    <xf numFmtId="0" fontId="21" fillId="0" borderId="206" xfId="1" applyFont="1" applyBorder="1" applyAlignment="1">
      <alignment horizontal="center" vertical="center" textRotation="180"/>
    </xf>
    <xf numFmtId="0" fontId="24" fillId="10" borderId="16" xfId="5" applyFont="1" applyFill="1" applyBorder="1" applyAlignment="1">
      <alignment horizontal="center" vertical="center" wrapText="1"/>
    </xf>
    <xf numFmtId="0" fontId="24" fillId="10" borderId="0" xfId="5" applyFont="1" applyFill="1" applyAlignment="1">
      <alignment horizontal="center" vertical="center" wrapText="1"/>
    </xf>
    <xf numFmtId="0" fontId="24" fillId="10" borderId="10" xfId="5" applyFont="1" applyFill="1" applyBorder="1" applyAlignment="1">
      <alignment horizontal="center" vertical="center" wrapText="1"/>
    </xf>
    <xf numFmtId="0" fontId="16" fillId="0" borderId="0" xfId="1" applyFont="1" applyAlignment="1">
      <alignment horizontal="left" vertical="center"/>
    </xf>
    <xf numFmtId="0" fontId="36" fillId="15" borderId="16" xfId="1" applyFont="1" applyFill="1" applyBorder="1" applyAlignment="1" applyProtection="1">
      <alignment horizontal="center" vertical="center"/>
      <protection hidden="1"/>
    </xf>
    <xf numFmtId="0" fontId="36" fillId="15" borderId="0" xfId="1" applyFont="1" applyFill="1" applyAlignment="1" applyProtection="1">
      <alignment horizontal="center" vertical="center"/>
      <protection hidden="1"/>
    </xf>
    <xf numFmtId="0" fontId="36" fillId="15" borderId="196" xfId="1" applyFont="1" applyFill="1" applyBorder="1" applyAlignment="1" applyProtection="1">
      <alignment horizontal="center" vertical="center"/>
      <protection hidden="1"/>
    </xf>
    <xf numFmtId="2" fontId="163" fillId="2" borderId="198" xfId="4" applyNumberFormat="1" applyFont="1" applyFill="1" applyBorder="1" applyAlignment="1">
      <alignment horizontal="center" vertical="center"/>
    </xf>
    <xf numFmtId="2" fontId="163" fillId="2" borderId="197" xfId="4" applyNumberFormat="1" applyFont="1" applyFill="1" applyBorder="1" applyAlignment="1">
      <alignment horizontal="center" vertical="center"/>
    </xf>
    <xf numFmtId="2" fontId="163" fillId="2" borderId="195" xfId="4" applyNumberFormat="1" applyFont="1" applyFill="1" applyBorder="1" applyAlignment="1">
      <alignment horizontal="center" vertical="center"/>
    </xf>
    <xf numFmtId="2" fontId="163" fillId="2" borderId="194" xfId="4" applyNumberFormat="1" applyFont="1" applyFill="1" applyBorder="1" applyAlignment="1">
      <alignment horizontal="center" vertical="center"/>
    </xf>
    <xf numFmtId="1" fontId="36" fillId="15" borderId="193" xfId="4" applyNumberFormat="1" applyFont="1" applyFill="1" applyBorder="1" applyAlignment="1">
      <alignment horizontal="left" vertical="center" wrapText="1"/>
    </xf>
    <xf numFmtId="1" fontId="36" fillId="15" borderId="0" xfId="4" applyNumberFormat="1" applyFont="1" applyFill="1" applyAlignment="1">
      <alignment horizontal="left" vertical="center" wrapText="1"/>
    </xf>
    <xf numFmtId="0" fontId="397" fillId="3" borderId="12" xfId="1" applyFont="1" applyFill="1" applyBorder="1" applyAlignment="1">
      <alignment horizontal="center" vertical="center" wrapText="1"/>
    </xf>
    <xf numFmtId="0" fontId="397" fillId="3" borderId="15" xfId="1" applyFont="1" applyFill="1" applyBorder="1" applyAlignment="1">
      <alignment horizontal="center" vertical="center" wrapText="1"/>
    </xf>
    <xf numFmtId="0" fontId="33" fillId="22" borderId="0" xfId="1" applyFont="1" applyFill="1" applyAlignment="1" applyProtection="1">
      <alignment horizontal="center" vertical="center" wrapText="1"/>
      <protection hidden="1"/>
    </xf>
    <xf numFmtId="0" fontId="33" fillId="22" borderId="23" xfId="1" applyFont="1" applyFill="1" applyBorder="1" applyAlignment="1" applyProtection="1">
      <alignment horizontal="center" vertical="center" wrapText="1"/>
      <protection hidden="1"/>
    </xf>
    <xf numFmtId="0" fontId="48" fillId="15" borderId="128" xfId="1" applyFont="1" applyFill="1" applyBorder="1" applyAlignment="1" applyProtection="1">
      <alignment horizontal="center" vertical="center" wrapText="1"/>
      <protection hidden="1"/>
    </xf>
    <xf numFmtId="0" fontId="48" fillId="15" borderId="10" xfId="1" applyFont="1" applyFill="1" applyBorder="1" applyAlignment="1" applyProtection="1">
      <alignment horizontal="center" vertical="center" wrapText="1"/>
      <protection hidden="1"/>
    </xf>
    <xf numFmtId="0" fontId="48" fillId="15" borderId="209" xfId="1" applyFont="1" applyFill="1" applyBorder="1" applyAlignment="1" applyProtection="1">
      <alignment horizontal="center" vertical="center" wrapText="1"/>
      <protection hidden="1"/>
    </xf>
    <xf numFmtId="0" fontId="33" fillId="22" borderId="14" xfId="1" applyFont="1" applyFill="1" applyBorder="1" applyAlignment="1" applyProtection="1">
      <alignment horizontal="center" vertical="center"/>
      <protection hidden="1"/>
    </xf>
    <xf numFmtId="178" fontId="21" fillId="15" borderId="19" xfId="1" applyNumberFormat="1" applyFont="1" applyFill="1" applyBorder="1" applyAlignment="1">
      <alignment horizontal="center" vertical="center"/>
    </xf>
    <xf numFmtId="178" fontId="21" fillId="15" borderId="34" xfId="1" applyNumberFormat="1" applyFont="1" applyFill="1" applyBorder="1" applyAlignment="1">
      <alignment horizontal="center" vertical="center"/>
    </xf>
    <xf numFmtId="2" fontId="21" fillId="81" borderId="0" xfId="1" applyNumberFormat="1" applyFont="1" applyFill="1" applyAlignment="1" applyProtection="1">
      <alignment horizontal="center" vertical="center"/>
      <protection locked="0"/>
    </xf>
    <xf numFmtId="2" fontId="21" fillId="81" borderId="12" xfId="1" applyNumberFormat="1" applyFont="1" applyFill="1" applyBorder="1" applyAlignment="1" applyProtection="1">
      <alignment horizontal="center" vertical="center"/>
      <protection locked="0"/>
    </xf>
    <xf numFmtId="0" fontId="9" fillId="3" borderId="213" xfId="1" applyFont="1" applyFill="1" applyBorder="1" applyAlignment="1">
      <alignment horizontal="center" vertical="center"/>
    </xf>
    <xf numFmtId="0" fontId="9" fillId="3" borderId="212" xfId="1" applyFont="1" applyFill="1" applyBorder="1" applyAlignment="1">
      <alignment horizontal="center" vertical="center"/>
    </xf>
    <xf numFmtId="0" fontId="9" fillId="3" borderId="211" xfId="1" applyFont="1" applyFill="1" applyBorder="1" applyAlignment="1">
      <alignment horizontal="center" vertical="center"/>
    </xf>
    <xf numFmtId="0" fontId="18" fillId="15" borderId="140" xfId="5" applyFont="1" applyFill="1" applyBorder="1" applyAlignment="1">
      <alignment horizontal="right" vertical="center"/>
    </xf>
    <xf numFmtId="0" fontId="18" fillId="15" borderId="21" xfId="5" applyFont="1" applyFill="1" applyBorder="1" applyAlignment="1">
      <alignment horizontal="right" vertical="center"/>
    </xf>
    <xf numFmtId="0" fontId="21" fillId="15" borderId="0" xfId="1" applyFont="1" applyFill="1" applyAlignment="1">
      <alignment horizontal="left" vertical="center"/>
    </xf>
    <xf numFmtId="2" fontId="385" fillId="17" borderId="16" xfId="4" applyNumberFormat="1" applyFont="1" applyFill="1" applyBorder="1" applyAlignment="1">
      <alignment horizontal="center" vertical="center"/>
    </xf>
    <xf numFmtId="1" fontId="146" fillId="39" borderId="0" xfId="4" applyNumberFormat="1" applyFont="1" applyFill="1" applyAlignment="1">
      <alignment horizontal="left" vertical="center" wrapText="1"/>
    </xf>
    <xf numFmtId="0" fontId="19" fillId="6" borderId="0" xfId="3" applyFont="1" applyFill="1" applyAlignment="1">
      <alignment horizontal="right" vertical="center"/>
    </xf>
    <xf numFmtId="0" fontId="18" fillId="15" borderId="48" xfId="5" applyFont="1" applyFill="1" applyBorder="1" applyAlignment="1">
      <alignment horizontal="right" vertical="center"/>
    </xf>
    <xf numFmtId="0" fontId="18" fillId="15" borderId="33" xfId="5" applyFont="1" applyFill="1" applyBorder="1" applyAlignment="1">
      <alignment horizontal="right" vertical="center"/>
    </xf>
    <xf numFmtId="178" fontId="401" fillId="17" borderId="140" xfId="1" applyNumberFormat="1" applyFont="1" applyFill="1" applyBorder="1" applyAlignment="1">
      <alignment horizontal="center" vertical="center"/>
    </xf>
    <xf numFmtId="178" fontId="401" fillId="17" borderId="21" xfId="1" applyNumberFormat="1" applyFont="1" applyFill="1" applyBorder="1" applyAlignment="1">
      <alignment horizontal="center" vertical="center"/>
    </xf>
    <xf numFmtId="178" fontId="400" fillId="17" borderId="140" xfId="1" applyNumberFormat="1" applyFont="1" applyFill="1" applyBorder="1" applyAlignment="1">
      <alignment horizontal="center" vertical="center"/>
    </xf>
    <xf numFmtId="178" fontId="400" fillId="17" borderId="21" xfId="1" applyNumberFormat="1" applyFont="1" applyFill="1" applyBorder="1" applyAlignment="1">
      <alignment horizontal="center" vertical="center"/>
    </xf>
    <xf numFmtId="0" fontId="18" fillId="15" borderId="140" xfId="5" applyFont="1" applyFill="1" applyBorder="1" applyAlignment="1">
      <alignment horizontal="center" vertical="center"/>
    </xf>
    <xf numFmtId="0" fontId="18" fillId="15" borderId="21" xfId="5" applyFont="1" applyFill="1" applyBorder="1" applyAlignment="1">
      <alignment horizontal="center" vertical="center"/>
    </xf>
    <xf numFmtId="0" fontId="182" fillId="105" borderId="0" xfId="1" applyFont="1" applyFill="1" applyAlignment="1">
      <alignment horizontal="center" vertical="center"/>
    </xf>
    <xf numFmtId="0" fontId="182" fillId="105" borderId="210" xfId="1" applyFont="1" applyFill="1" applyBorder="1" applyAlignment="1">
      <alignment horizontal="center" vertical="center"/>
    </xf>
    <xf numFmtId="0" fontId="387" fillId="4" borderId="0" xfId="1" applyFont="1" applyFill="1" applyAlignment="1">
      <alignment horizontal="left" vertical="center"/>
    </xf>
    <xf numFmtId="0" fontId="387" fillId="4" borderId="0" xfId="1" applyFont="1" applyFill="1" applyAlignment="1">
      <alignment horizontal="center" vertical="center"/>
    </xf>
    <xf numFmtId="0" fontId="33" fillId="22" borderId="16" xfId="1" applyFont="1" applyFill="1" applyBorder="1" applyAlignment="1" applyProtection="1">
      <alignment horizontal="center" vertical="center"/>
      <protection hidden="1"/>
    </xf>
    <xf numFmtId="0" fontId="33" fillId="22" borderId="14" xfId="1" applyFont="1" applyFill="1" applyBorder="1" applyAlignment="1" applyProtection="1">
      <alignment horizontal="center" vertical="center" wrapText="1"/>
      <protection hidden="1"/>
    </xf>
    <xf numFmtId="0" fontId="33" fillId="22" borderId="208" xfId="1" applyFont="1" applyFill="1" applyBorder="1" applyAlignment="1" applyProtection="1">
      <alignment horizontal="center" vertical="center" wrapText="1"/>
      <protection hidden="1"/>
    </xf>
    <xf numFmtId="0" fontId="17" fillId="17" borderId="207" xfId="1" applyFont="1" applyFill="1" applyBorder="1" applyAlignment="1" applyProtection="1">
      <alignment horizontal="center" vertical="center" wrapText="1"/>
      <protection hidden="1"/>
    </xf>
    <xf numFmtId="0" fontId="81" fillId="104" borderId="51" xfId="5" applyFont="1" applyFill="1" applyBorder="1" applyAlignment="1">
      <alignment horizontal="center" vertical="center" textRotation="180"/>
    </xf>
    <xf numFmtId="0" fontId="81" fillId="104" borderId="145" xfId="5" applyFont="1" applyFill="1" applyBorder="1" applyAlignment="1">
      <alignment horizontal="center" vertical="center" textRotation="180"/>
    </xf>
    <xf numFmtId="0" fontId="87" fillId="0" borderId="0" xfId="9" applyFont="1" applyAlignment="1">
      <alignment horizontal="left" vertical="center"/>
    </xf>
    <xf numFmtId="0" fontId="87" fillId="0" borderId="86" xfId="9" applyFont="1" applyBorder="1" applyAlignment="1">
      <alignment horizontal="left" vertical="center"/>
    </xf>
    <xf numFmtId="0" fontId="38" fillId="19" borderId="13" xfId="4" applyFont="1" applyFill="1" applyBorder="1" applyAlignment="1">
      <alignment horizontal="center" vertical="center"/>
    </xf>
    <xf numFmtId="0" fontId="38" fillId="19" borderId="0" xfId="4" applyFont="1" applyFill="1" applyAlignment="1">
      <alignment horizontal="center" vertical="center"/>
    </xf>
    <xf numFmtId="0" fontId="38" fillId="19" borderId="12" xfId="4" applyFont="1" applyFill="1" applyBorder="1" applyAlignment="1">
      <alignment horizontal="center" vertical="center"/>
    </xf>
    <xf numFmtId="164" fontId="18" fillId="22" borderId="0" xfId="1" applyNumberFormat="1" applyFont="1" applyFill="1" applyAlignment="1" applyProtection="1">
      <alignment horizontal="center" vertical="center" wrapText="1"/>
      <protection hidden="1"/>
    </xf>
    <xf numFmtId="164" fontId="18" fillId="22" borderId="15" xfId="1" applyNumberFormat="1" applyFont="1" applyFill="1" applyBorder="1" applyAlignment="1" applyProtection="1">
      <alignment horizontal="center" vertical="center" wrapText="1"/>
      <protection hidden="1"/>
    </xf>
    <xf numFmtId="0" fontId="36" fillId="74" borderId="0" xfId="1" applyFont="1" applyFill="1" applyAlignment="1" applyProtection="1">
      <alignment horizontal="center" vertical="center"/>
      <protection hidden="1"/>
    </xf>
    <xf numFmtId="0" fontId="36" fillId="74" borderId="0" xfId="1" applyFont="1" applyFill="1" applyAlignment="1" applyProtection="1">
      <alignment horizontal="center" vertical="center" wrapText="1"/>
      <protection hidden="1"/>
    </xf>
    <xf numFmtId="0" fontId="36" fillId="15" borderId="20" xfId="1" applyFont="1" applyFill="1" applyBorder="1" applyAlignment="1" applyProtection="1">
      <alignment horizontal="center" vertical="center" wrapText="1"/>
      <protection hidden="1"/>
    </xf>
    <xf numFmtId="0" fontId="36" fillId="15" borderId="0" xfId="1" applyFont="1" applyFill="1" applyAlignment="1" applyProtection="1">
      <alignment horizontal="center" vertical="center" wrapText="1"/>
      <protection hidden="1"/>
    </xf>
    <xf numFmtId="0" fontId="36" fillId="15" borderId="21" xfId="1" applyFont="1" applyFill="1" applyBorder="1" applyAlignment="1" applyProtection="1">
      <alignment horizontal="center" vertical="center" wrapText="1"/>
      <protection hidden="1"/>
    </xf>
    <xf numFmtId="0" fontId="387" fillId="4" borderId="9" xfId="1" applyFont="1" applyFill="1" applyBorder="1" applyAlignment="1">
      <alignment horizontal="left" vertical="center"/>
    </xf>
    <xf numFmtId="0" fontId="387" fillId="4" borderId="9" xfId="1" applyFont="1" applyFill="1" applyBorder="1" applyAlignment="1">
      <alignment horizontal="center" vertical="center"/>
    </xf>
    <xf numFmtId="0" fontId="392" fillId="0" borderId="199" xfId="1" applyFont="1" applyBorder="1" applyAlignment="1">
      <alignment horizontal="center" vertical="center"/>
    </xf>
    <xf numFmtId="0" fontId="392" fillId="0" borderId="143" xfId="1" applyFont="1" applyBorder="1" applyAlignment="1">
      <alignment horizontal="center" vertical="center"/>
    </xf>
    <xf numFmtId="0" fontId="392" fillId="0" borderId="142" xfId="1" applyFont="1" applyBorder="1" applyAlignment="1">
      <alignment horizontal="center" vertical="center"/>
    </xf>
    <xf numFmtId="1" fontId="21" fillId="15" borderId="0" xfId="5" applyNumberFormat="1" applyFont="1" applyFill="1" applyAlignment="1">
      <alignment horizontal="center" vertical="center" wrapText="1"/>
    </xf>
    <xf numFmtId="0" fontId="21" fillId="15" borderId="0" xfId="5" applyFont="1" applyFill="1" applyAlignment="1">
      <alignment horizontal="center" vertical="center" wrapText="1"/>
    </xf>
    <xf numFmtId="0" fontId="378" fillId="67" borderId="0" xfId="1" applyFont="1" applyFill="1" applyAlignment="1">
      <alignment horizontal="center" vertical="center"/>
    </xf>
    <xf numFmtId="191" fontId="160" fillId="15" borderId="0" xfId="1" applyNumberFormat="1" applyFont="1" applyFill="1" applyAlignment="1">
      <alignment horizontal="center" vertical="center" wrapText="1"/>
    </xf>
    <xf numFmtId="0" fontId="33" fillId="74" borderId="0" xfId="1" applyFont="1" applyFill="1" applyAlignment="1" applyProtection="1">
      <alignment horizontal="center" vertical="center"/>
      <protection hidden="1"/>
    </xf>
    <xf numFmtId="0" fontId="33" fillId="74" borderId="0" xfId="1" applyFont="1" applyFill="1" applyAlignment="1" applyProtection="1">
      <alignment horizontal="center" vertical="center" wrapText="1"/>
      <protection hidden="1"/>
    </xf>
    <xf numFmtId="0" fontId="18" fillId="15" borderId="20" xfId="1" applyFont="1" applyFill="1" applyBorder="1" applyAlignment="1" applyProtection="1">
      <alignment horizontal="center" vertical="center" wrapText="1"/>
      <protection hidden="1"/>
    </xf>
    <xf numFmtId="0" fontId="18" fillId="15" borderId="0" xfId="1" applyFont="1" applyFill="1" applyAlignment="1" applyProtection="1">
      <alignment horizontal="center" vertical="center" wrapText="1"/>
      <protection hidden="1"/>
    </xf>
    <xf numFmtId="0" fontId="18" fillId="15" borderId="21" xfId="1" applyFont="1" applyFill="1" applyBorder="1" applyAlignment="1" applyProtection="1">
      <alignment horizontal="center" vertical="center" wrapText="1"/>
      <protection hidden="1"/>
    </xf>
    <xf numFmtId="0" fontId="33" fillId="74" borderId="13" xfId="1" applyFont="1" applyFill="1" applyBorder="1" applyAlignment="1" applyProtection="1">
      <alignment horizontal="center" vertical="center"/>
      <protection hidden="1"/>
    </xf>
    <xf numFmtId="0" fontId="34" fillId="17" borderId="173" xfId="1" applyFont="1" applyFill="1" applyBorder="1" applyAlignment="1" applyProtection="1">
      <alignment horizontal="center" vertical="center" wrapText="1"/>
      <protection hidden="1"/>
    </xf>
    <xf numFmtId="165" fontId="36" fillId="73" borderId="0" xfId="1" applyNumberFormat="1" applyFont="1" applyFill="1" applyAlignment="1">
      <alignment horizontal="center" vertical="center" wrapText="1"/>
    </xf>
    <xf numFmtId="0" fontId="18" fillId="74" borderId="0" xfId="1" applyFont="1" applyFill="1" applyAlignment="1" applyProtection="1">
      <alignment horizontal="center" vertical="center"/>
      <protection hidden="1"/>
    </xf>
    <xf numFmtId="0" fontId="36" fillId="15" borderId="0" xfId="1" applyFont="1" applyFill="1" applyAlignment="1">
      <alignment horizontal="center" vertical="center"/>
    </xf>
    <xf numFmtId="1" fontId="386" fillId="56" borderId="0" xfId="27" applyNumberFormat="1" applyFont="1" applyFill="1" applyAlignment="1">
      <alignment horizontal="center" vertical="center"/>
    </xf>
    <xf numFmtId="1" fontId="386" fillId="56" borderId="0" xfId="27" applyNumberFormat="1" applyFont="1" applyFill="1" applyAlignment="1">
      <alignment horizontal="left" vertical="center" wrapText="1"/>
    </xf>
    <xf numFmtId="0" fontId="160" fillId="15" borderId="0" xfId="5" applyFont="1" applyFill="1" applyAlignment="1">
      <alignment horizontal="center" vertical="center" wrapText="1"/>
    </xf>
    <xf numFmtId="165" fontId="21" fillId="38" borderId="0" xfId="1" applyNumberFormat="1" applyFont="1" applyFill="1" applyAlignment="1">
      <alignment horizontal="center" vertical="center"/>
    </xf>
    <xf numFmtId="164" fontId="38" fillId="65" borderId="10" xfId="1" applyNumberFormat="1" applyFont="1" applyFill="1" applyBorder="1" applyAlignment="1" applyProtection="1">
      <alignment horizontal="center" vertical="center" wrapText="1"/>
      <protection hidden="1"/>
    </xf>
    <xf numFmtId="0" fontId="38" fillId="75" borderId="0" xfId="1" applyFont="1" applyFill="1" applyAlignment="1">
      <alignment horizontal="center" vertical="center"/>
    </xf>
    <xf numFmtId="164" fontId="21" fillId="29" borderId="0" xfId="1" applyNumberFormat="1" applyFont="1" applyFill="1" applyAlignment="1">
      <alignment horizontal="center" vertical="center"/>
    </xf>
    <xf numFmtId="164" fontId="33" fillId="26" borderId="0" xfId="1" applyNumberFormat="1" applyFont="1" applyFill="1" applyAlignment="1">
      <alignment horizontal="center" vertical="center"/>
    </xf>
    <xf numFmtId="164" fontId="33" fillId="29" borderId="0" xfId="1" applyNumberFormat="1" applyFont="1" applyFill="1" applyAlignment="1">
      <alignment horizontal="center" vertical="center"/>
    </xf>
    <xf numFmtId="0" fontId="385" fillId="15" borderId="0" xfId="1" applyFont="1" applyFill="1" applyAlignment="1" applyProtection="1">
      <alignment horizontal="right" vertical="center" wrapText="1"/>
      <protection hidden="1"/>
    </xf>
    <xf numFmtId="0" fontId="111" fillId="15" borderId="0" xfId="1" applyFont="1" applyFill="1" applyAlignment="1" applyProtection="1">
      <alignment horizontal="right" vertical="center" wrapText="1"/>
      <protection hidden="1"/>
    </xf>
    <xf numFmtId="1" fontId="21" fillId="15" borderId="0" xfId="27" applyNumberFormat="1" applyFont="1" applyFill="1" applyAlignment="1">
      <alignment horizontal="left" vertical="center"/>
    </xf>
    <xf numFmtId="2" fontId="385" fillId="17" borderId="0" xfId="4" applyNumberFormat="1" applyFont="1" applyFill="1" applyAlignment="1">
      <alignment horizontal="center" vertical="center"/>
    </xf>
    <xf numFmtId="2" fontId="163" fillId="2" borderId="193" xfId="4" applyNumberFormat="1" applyFont="1" applyFill="1" applyBorder="1" applyAlignment="1">
      <alignment horizontal="center" vertical="center"/>
    </xf>
    <xf numFmtId="2" fontId="163" fillId="2" borderId="196" xfId="4" applyNumberFormat="1" applyFont="1" applyFill="1" applyBorder="1" applyAlignment="1">
      <alignment horizontal="center" vertical="center"/>
    </xf>
    <xf numFmtId="2" fontId="39" fillId="2" borderId="198" xfId="4" applyNumberFormat="1" applyFont="1" applyFill="1" applyBorder="1" applyAlignment="1">
      <alignment horizontal="center" vertical="center"/>
    </xf>
    <xf numFmtId="2" fontId="39" fillId="2" borderId="197" xfId="4" applyNumberFormat="1" applyFont="1" applyFill="1" applyBorder="1" applyAlignment="1">
      <alignment horizontal="center" vertical="center"/>
    </xf>
    <xf numFmtId="2" fontId="39" fillId="2" borderId="193" xfId="4" applyNumberFormat="1" applyFont="1" applyFill="1" applyBorder="1" applyAlignment="1">
      <alignment horizontal="center" vertical="center"/>
    </xf>
    <xf numFmtId="2" fontId="39" fillId="2" borderId="196" xfId="4" applyNumberFormat="1" applyFont="1" applyFill="1" applyBorder="1" applyAlignment="1">
      <alignment horizontal="center" vertical="center"/>
    </xf>
    <xf numFmtId="2" fontId="39" fillId="2" borderId="195" xfId="4" applyNumberFormat="1" applyFont="1" applyFill="1" applyBorder="1" applyAlignment="1">
      <alignment horizontal="center" vertical="center"/>
    </xf>
    <xf numFmtId="2" fontId="39" fillId="2" borderId="194" xfId="4" applyNumberFormat="1" applyFont="1" applyFill="1" applyBorder="1" applyAlignment="1">
      <alignment horizontal="center" vertical="center"/>
    </xf>
    <xf numFmtId="1" fontId="21" fillId="15" borderId="193" xfId="27" applyNumberFormat="1" applyFont="1" applyFill="1" applyBorder="1" applyAlignment="1">
      <alignment horizontal="left" vertical="center"/>
    </xf>
    <xf numFmtId="0" fontId="6" fillId="4" borderId="0" xfId="1" applyFill="1" applyAlignment="1">
      <alignment horizontal="left" vertical="center"/>
    </xf>
    <xf numFmtId="0" fontId="6" fillId="4" borderId="10" xfId="1" applyFill="1" applyBorder="1" applyAlignment="1">
      <alignment horizontal="left" vertical="center"/>
    </xf>
    <xf numFmtId="0" fontId="409" fillId="12" borderId="8" xfId="1" applyFont="1" applyFill="1" applyBorder="1" applyAlignment="1">
      <alignment horizontal="center" vertical="center" wrapText="1"/>
    </xf>
    <xf numFmtId="0" fontId="409" fillId="12" borderId="9" xfId="1" applyFont="1" applyFill="1" applyBorder="1" applyAlignment="1">
      <alignment horizontal="center" vertical="center" wrapText="1"/>
    </xf>
    <xf numFmtId="0" fontId="409" fillId="12" borderId="13" xfId="1" applyFont="1" applyFill="1" applyBorder="1" applyAlignment="1">
      <alignment horizontal="center" vertical="center" wrapText="1"/>
    </xf>
    <xf numFmtId="0" fontId="409" fillId="12" borderId="0" xfId="1" applyFont="1" applyFill="1" applyAlignment="1">
      <alignment horizontal="center" vertical="center" wrapText="1"/>
    </xf>
    <xf numFmtId="0" fontId="472" fillId="12" borderId="9" xfId="1" applyFont="1" applyFill="1" applyBorder="1" applyAlignment="1">
      <alignment horizontal="center" vertical="center" wrapText="1"/>
    </xf>
    <xf numFmtId="0" fontId="472" fillId="12" borderId="0" xfId="1" applyFont="1" applyFill="1" applyAlignment="1">
      <alignment horizontal="center" vertical="center" wrapText="1"/>
    </xf>
    <xf numFmtId="0" fontId="266" fillId="119" borderId="8" xfId="1" applyFont="1" applyFill="1" applyBorder="1" applyAlignment="1" applyProtection="1">
      <alignment horizontal="center" vertical="center"/>
      <protection hidden="1"/>
    </xf>
    <xf numFmtId="0" fontId="266" fillId="119" borderId="9" xfId="1" applyFont="1" applyFill="1" applyBorder="1" applyAlignment="1" applyProtection="1">
      <alignment horizontal="center" vertical="center"/>
      <protection hidden="1"/>
    </xf>
    <xf numFmtId="0" fontId="266" fillId="119" borderId="7" xfId="1" applyFont="1" applyFill="1" applyBorder="1" applyAlignment="1" applyProtection="1">
      <alignment horizontal="center" vertical="center"/>
      <protection hidden="1"/>
    </xf>
    <xf numFmtId="0" fontId="27" fillId="4" borderId="13" xfId="1" applyFont="1" applyFill="1" applyBorder="1" applyAlignment="1" applyProtection="1">
      <alignment horizontal="center" vertical="center"/>
      <protection hidden="1"/>
    </xf>
    <xf numFmtId="0" fontId="27" fillId="4" borderId="0" xfId="1" applyFont="1" applyFill="1" applyAlignment="1" applyProtection="1">
      <alignment horizontal="center" vertical="center"/>
      <protection hidden="1"/>
    </xf>
    <xf numFmtId="0" fontId="27" fillId="4" borderId="15" xfId="1" applyFont="1" applyFill="1" applyBorder="1" applyAlignment="1" applyProtection="1">
      <alignment horizontal="center" vertical="center"/>
      <protection hidden="1"/>
    </xf>
    <xf numFmtId="0" fontId="27" fillId="4" borderId="241" xfId="1" applyFont="1" applyFill="1" applyBorder="1" applyAlignment="1" applyProtection="1">
      <alignment horizontal="center" vertical="center"/>
      <protection hidden="1"/>
    </xf>
    <xf numFmtId="0" fontId="27" fillId="4" borderId="240" xfId="1" applyFont="1" applyFill="1" applyBorder="1" applyAlignment="1" applyProtection="1">
      <alignment horizontal="center" vertical="center"/>
      <protection hidden="1"/>
    </xf>
    <xf numFmtId="0" fontId="27" fillId="4" borderId="239" xfId="1" applyFont="1" applyFill="1" applyBorder="1" applyAlignment="1" applyProtection="1">
      <alignment horizontal="center" vertical="center"/>
      <protection hidden="1"/>
    </xf>
    <xf numFmtId="0" fontId="497" fillId="4" borderId="277" xfId="1" applyFont="1" applyFill="1" applyBorder="1" applyAlignment="1" applyProtection="1">
      <alignment horizontal="center" vertical="center"/>
      <protection hidden="1"/>
    </xf>
    <xf numFmtId="0" fontId="497" fillId="4" borderId="276" xfId="1" applyFont="1" applyFill="1" applyBorder="1" applyAlignment="1" applyProtection="1">
      <alignment horizontal="center" vertical="center"/>
      <protection hidden="1"/>
    </xf>
    <xf numFmtId="0" fontId="497" fillId="4" borderId="275" xfId="1" applyFont="1" applyFill="1" applyBorder="1" applyAlignment="1" applyProtection="1">
      <alignment horizontal="center" vertical="center"/>
      <protection hidden="1"/>
    </xf>
    <xf numFmtId="49" fontId="487" fillId="65" borderId="8" xfId="1" applyNumberFormat="1" applyFont="1" applyFill="1" applyBorder="1" applyAlignment="1">
      <alignment horizontal="center"/>
    </xf>
    <xf numFmtId="49" fontId="487" fillId="65" borderId="9" xfId="1" applyNumberFormat="1" applyFont="1" applyFill="1" applyBorder="1" applyAlignment="1">
      <alignment horizontal="center"/>
    </xf>
    <xf numFmtId="49" fontId="487" fillId="65" borderId="7" xfId="1" applyNumberFormat="1" applyFont="1" applyFill="1" applyBorder="1" applyAlignment="1">
      <alignment horizontal="center"/>
    </xf>
    <xf numFmtId="49" fontId="1" fillId="4" borderId="274" xfId="32" applyNumberFormat="1" applyFill="1" applyBorder="1" applyAlignment="1">
      <alignment horizontal="center" vertical="center"/>
    </xf>
    <xf numFmtId="49" fontId="1" fillId="4" borderId="273" xfId="32" applyNumberFormat="1" applyFill="1" applyBorder="1" applyAlignment="1">
      <alignment horizontal="center" vertical="center"/>
    </xf>
    <xf numFmtId="49" fontId="1" fillId="4" borderId="272" xfId="32" applyNumberFormat="1" applyFill="1" applyBorder="1" applyAlignment="1">
      <alignment horizontal="center" vertical="center"/>
    </xf>
    <xf numFmtId="49" fontId="6" fillId="0" borderId="91" xfId="1" applyNumberFormat="1" applyBorder="1" applyAlignment="1">
      <alignment horizontal="center"/>
    </xf>
    <xf numFmtId="49" fontId="6" fillId="0" borderId="189" xfId="1" applyNumberFormat="1" applyBorder="1" applyAlignment="1">
      <alignment horizontal="center"/>
    </xf>
    <xf numFmtId="49" fontId="6" fillId="0" borderId="41" xfId="1" applyNumberFormat="1" applyBorder="1" applyAlignment="1">
      <alignment horizontal="center"/>
    </xf>
    <xf numFmtId="49" fontId="486" fillId="0" borderId="271" xfId="32" applyNumberFormat="1" applyFont="1" applyBorder="1" applyAlignment="1">
      <alignment horizontal="center" vertical="center" wrapText="1"/>
    </xf>
    <xf numFmtId="49" fontId="486" fillId="0" borderId="13" xfId="32" applyNumberFormat="1" applyFont="1" applyBorder="1" applyAlignment="1">
      <alignment horizontal="center" vertical="center" wrapText="1"/>
    </xf>
    <xf numFmtId="49" fontId="486" fillId="0" borderId="270" xfId="32" applyNumberFormat="1" applyFont="1" applyBorder="1" applyAlignment="1">
      <alignment horizontal="center" vertical="center" wrapText="1"/>
    </xf>
    <xf numFmtId="49" fontId="486" fillId="0" borderId="0" xfId="32" applyNumberFormat="1" applyFont="1" applyAlignment="1">
      <alignment horizontal="center" vertical="center" wrapText="1"/>
    </xf>
    <xf numFmtId="49" fontId="486" fillId="0" borderId="269" xfId="32" applyNumberFormat="1" applyFont="1" applyBorder="1" applyAlignment="1">
      <alignment horizontal="center" vertical="center" wrapText="1"/>
    </xf>
    <xf numFmtId="49" fontId="486" fillId="0" borderId="15" xfId="32" applyNumberFormat="1" applyFont="1" applyBorder="1" applyAlignment="1">
      <alignment horizontal="center" vertical="center" wrapText="1"/>
    </xf>
    <xf numFmtId="49" fontId="83" fillId="0" borderId="13" xfId="18" applyNumberFormat="1" applyBorder="1" applyAlignment="1">
      <alignment horizontal="center" vertical="center" wrapText="1"/>
    </xf>
    <xf numFmtId="49" fontId="83" fillId="0" borderId="0" xfId="18" applyNumberFormat="1" applyBorder="1" applyAlignment="1">
      <alignment horizontal="center" vertical="center" wrapText="1"/>
    </xf>
    <xf numFmtId="49" fontId="83" fillId="0" borderId="15" xfId="18" applyNumberFormat="1" applyBorder="1" applyAlignment="1">
      <alignment horizontal="center" vertical="center" wrapText="1"/>
    </xf>
    <xf numFmtId="49" fontId="83" fillId="0" borderId="241" xfId="18" applyNumberFormat="1" applyBorder="1" applyAlignment="1">
      <alignment horizontal="center" vertical="center" wrapText="1"/>
    </xf>
    <xf numFmtId="49" fontId="83" fillId="0" borderId="240" xfId="18" applyNumberFormat="1" applyBorder="1" applyAlignment="1">
      <alignment horizontal="center" vertical="center" wrapText="1"/>
    </xf>
    <xf numFmtId="49" fontId="83" fillId="0" borderId="239" xfId="18" applyNumberFormat="1" applyBorder="1" applyAlignment="1">
      <alignment horizontal="center" vertical="center" wrapText="1"/>
    </xf>
    <xf numFmtId="0" fontId="409" fillId="12" borderId="17" xfId="1" applyFont="1" applyFill="1" applyBorder="1" applyAlignment="1">
      <alignment horizontal="center" vertical="center"/>
    </xf>
    <xf numFmtId="0" fontId="409" fillId="12" borderId="88" xfId="1" applyFont="1" applyFill="1" applyBorder="1" applyAlignment="1">
      <alignment horizontal="center" vertical="center"/>
    </xf>
    <xf numFmtId="0" fontId="409" fillId="12" borderId="141" xfId="1" applyFont="1" applyFill="1" applyBorder="1" applyAlignment="1">
      <alignment horizontal="center" vertical="center"/>
    </xf>
    <xf numFmtId="0" fontId="409" fillId="12" borderId="16" xfId="1" applyFont="1" applyFill="1" applyBorder="1" applyAlignment="1">
      <alignment horizontal="center" vertical="center"/>
    </xf>
    <xf numFmtId="0" fontId="409" fillId="12" borderId="0" xfId="1" applyFont="1" applyFill="1" applyAlignment="1">
      <alignment horizontal="center" vertical="center"/>
    </xf>
    <xf numFmtId="0" fontId="409" fillId="12" borderId="10" xfId="1" applyFont="1" applyFill="1" applyBorder="1" applyAlignment="1">
      <alignment horizontal="center" vertical="center"/>
    </xf>
    <xf numFmtId="0" fontId="6" fillId="4" borderId="16" xfId="1" applyFill="1" applyBorder="1" applyAlignment="1">
      <alignment horizontal="center" vertical="center" wrapText="1"/>
    </xf>
    <xf numFmtId="0" fontId="6" fillId="4" borderId="0" xfId="1" applyFill="1" applyAlignment="1">
      <alignment horizontal="center" vertical="center" wrapText="1"/>
    </xf>
    <xf numFmtId="0" fontId="6" fillId="4" borderId="10" xfId="1" applyFill="1" applyBorder="1" applyAlignment="1">
      <alignment horizontal="center" vertical="center" wrapText="1"/>
    </xf>
    <xf numFmtId="49" fontId="485" fillId="3" borderId="187" xfId="2" applyNumberFormat="1" applyFont="1" applyFill="1" applyBorder="1" applyAlignment="1">
      <alignment horizontal="center" vertical="center"/>
    </xf>
    <xf numFmtId="49" fontId="485" fillId="3" borderId="183" xfId="2" applyNumberFormat="1" applyFont="1" applyFill="1" applyBorder="1" applyAlignment="1">
      <alignment horizontal="center" vertical="center"/>
    </xf>
    <xf numFmtId="49" fontId="485" fillId="3" borderId="263" xfId="2" applyNumberFormat="1" applyFont="1" applyFill="1" applyBorder="1" applyAlignment="1">
      <alignment horizontal="center" vertical="center"/>
    </xf>
    <xf numFmtId="0" fontId="88" fillId="12" borderId="9" xfId="1" applyFont="1" applyFill="1" applyBorder="1" applyAlignment="1">
      <alignment horizontal="center" vertical="center" wrapText="1"/>
    </xf>
    <xf numFmtId="0" fontId="88" fillId="12" borderId="0" xfId="1" applyFont="1" applyFill="1" applyAlignment="1">
      <alignment horizontal="center" vertical="center" wrapText="1"/>
    </xf>
    <xf numFmtId="0" fontId="472" fillId="12" borderId="7" xfId="1" applyFont="1" applyFill="1" applyBorder="1" applyAlignment="1">
      <alignment horizontal="center" vertical="center"/>
    </xf>
    <xf numFmtId="0" fontId="472" fillId="12" borderId="15" xfId="1" applyFont="1" applyFill="1" applyBorder="1" applyAlignment="1">
      <alignment horizontal="center" vertical="center"/>
    </xf>
    <xf numFmtId="177" fontId="419" fillId="25" borderId="0" xfId="32" applyNumberFormat="1" applyFont="1" applyFill="1" applyAlignment="1" applyProtection="1">
      <alignment horizontal="center" vertical="center"/>
      <protection locked="0"/>
    </xf>
    <xf numFmtId="0" fontId="409" fillId="4" borderId="13" xfId="1" applyFont="1" applyFill="1" applyBorder="1" applyAlignment="1">
      <alignment horizontal="center" vertical="center"/>
    </xf>
    <xf numFmtId="0" fontId="409" fillId="4" borderId="0" xfId="1" applyFont="1" applyFill="1" applyAlignment="1">
      <alignment horizontal="center" vertical="center"/>
    </xf>
    <xf numFmtId="196" fontId="483" fillId="0" borderId="13" xfId="5" applyNumberFormat="1" applyFont="1" applyBorder="1" applyAlignment="1">
      <alignment horizontal="center" vertical="center"/>
    </xf>
    <xf numFmtId="196" fontId="483" fillId="0" borderId="0" xfId="5" applyNumberFormat="1" applyFont="1" applyAlignment="1">
      <alignment horizontal="center" vertical="center"/>
    </xf>
    <xf numFmtId="196" fontId="483" fillId="0" borderId="261" xfId="5" applyNumberFormat="1" applyFont="1" applyBorder="1" applyAlignment="1">
      <alignment horizontal="center" vertical="center"/>
    </xf>
    <xf numFmtId="196" fontId="483" fillId="0" borderId="260" xfId="5" applyNumberFormat="1" applyFont="1" applyBorder="1" applyAlignment="1">
      <alignment horizontal="center" vertical="center"/>
    </xf>
    <xf numFmtId="171" fontId="482" fillId="117" borderId="0" xfId="32" applyNumberFormat="1" applyFont="1" applyFill="1" applyAlignment="1" applyProtection="1">
      <alignment horizontal="right" vertical="center" wrapText="1"/>
      <protection locked="0"/>
    </xf>
    <xf numFmtId="171" fontId="482" fillId="117" borderId="260" xfId="32" applyNumberFormat="1" applyFont="1" applyFill="1" applyBorder="1" applyAlignment="1" applyProtection="1">
      <alignment horizontal="right" vertical="center" wrapText="1"/>
      <protection locked="0"/>
    </xf>
    <xf numFmtId="2" fontId="412" fillId="117" borderId="15" xfId="5" applyNumberFormat="1" applyFont="1" applyFill="1" applyBorder="1" applyAlignment="1">
      <alignment horizontal="center" vertical="center"/>
    </xf>
    <xf numFmtId="2" fontId="412" fillId="117" borderId="259" xfId="5" applyNumberFormat="1" applyFont="1" applyFill="1" applyBorder="1" applyAlignment="1">
      <alignment horizontal="center" vertical="center"/>
    </xf>
    <xf numFmtId="177" fontId="420" fillId="56" borderId="13" xfId="32" applyNumberFormat="1" applyFont="1" applyFill="1" applyBorder="1" applyAlignment="1" applyProtection="1">
      <alignment horizontal="center" vertical="center"/>
      <protection locked="0"/>
    </xf>
    <xf numFmtId="0" fontId="154" fillId="4" borderId="0" xfId="5" applyFont="1" applyFill="1" applyAlignment="1">
      <alignment horizontal="center" vertical="center"/>
    </xf>
    <xf numFmtId="177" fontId="1" fillId="0" borderId="15" xfId="32" applyNumberFormat="1" applyBorder="1" applyAlignment="1">
      <alignment horizontal="center" vertical="center"/>
    </xf>
    <xf numFmtId="177" fontId="481" fillId="25" borderId="258" xfId="5" applyNumberFormat="1" applyFont="1" applyFill="1" applyBorder="1" applyAlignment="1">
      <alignment horizontal="center" vertical="center"/>
    </xf>
    <xf numFmtId="177" fontId="481" fillId="25" borderId="13" xfId="5" applyNumberFormat="1" applyFont="1" applyFill="1" applyBorder="1" applyAlignment="1">
      <alignment horizontal="center" vertical="center"/>
    </xf>
    <xf numFmtId="177" fontId="481" fillId="25" borderId="234" xfId="5" applyNumberFormat="1" applyFont="1" applyFill="1" applyBorder="1" applyAlignment="1">
      <alignment horizontal="center" vertical="center"/>
    </xf>
    <xf numFmtId="177" fontId="481" fillId="25" borderId="0" xfId="5" applyNumberFormat="1" applyFont="1" applyFill="1" applyAlignment="1">
      <alignment horizontal="center" vertical="center"/>
    </xf>
    <xf numFmtId="177" fontId="481" fillId="25" borderId="257" xfId="5" applyNumberFormat="1" applyFont="1" applyFill="1" applyBorder="1" applyAlignment="1">
      <alignment horizontal="center" vertical="center"/>
    </xf>
    <xf numFmtId="177" fontId="481" fillId="25" borderId="15" xfId="5" applyNumberFormat="1" applyFont="1" applyFill="1" applyBorder="1" applyAlignment="1">
      <alignment horizontal="center" vertical="center"/>
    </xf>
    <xf numFmtId="177" fontId="6" fillId="0" borderId="13" xfId="32" applyNumberFormat="1" applyFont="1" applyBorder="1" applyAlignment="1">
      <alignment horizontal="center" vertical="center"/>
    </xf>
    <xf numFmtId="0" fontId="6" fillId="4" borderId="13" xfId="1" applyFill="1" applyBorder="1" applyAlignment="1">
      <alignment horizontal="center" vertical="center"/>
    </xf>
    <xf numFmtId="0" fontId="6" fillId="4" borderId="0" xfId="1" applyFill="1" applyAlignment="1">
      <alignment horizontal="center" vertical="center"/>
    </xf>
    <xf numFmtId="0" fontId="6" fillId="4" borderId="39" xfId="1" applyFill="1" applyBorder="1" applyAlignment="1">
      <alignment horizontal="center" vertical="center" wrapText="1"/>
    </xf>
    <xf numFmtId="0" fontId="6" fillId="4" borderId="189" xfId="1" applyFill="1" applyBorder="1" applyAlignment="1">
      <alignment horizontal="center" vertical="center" wrapText="1"/>
    </xf>
    <xf numFmtId="0" fontId="6" fillId="4" borderId="190" xfId="1" applyFill="1" applyBorder="1" applyAlignment="1">
      <alignment horizontal="center" vertical="center" wrapText="1"/>
    </xf>
    <xf numFmtId="0" fontId="6" fillId="4" borderId="241" xfId="1" applyFill="1" applyBorder="1" applyAlignment="1">
      <alignment horizontal="center" vertical="center"/>
    </xf>
    <xf numFmtId="0" fontId="6" fillId="4" borderId="240" xfId="1" applyFill="1" applyBorder="1" applyAlignment="1">
      <alignment horizontal="center" vertical="center"/>
    </xf>
    <xf numFmtId="177" fontId="1" fillId="4" borderId="113" xfId="32" applyNumberFormat="1" applyFill="1" applyBorder="1" applyAlignment="1">
      <alignment horizontal="center" vertical="center"/>
    </xf>
    <xf numFmtId="196" fontId="480" fillId="117" borderId="253" xfId="5" applyNumberFormat="1" applyFont="1" applyFill="1" applyBorder="1" applyAlignment="1">
      <alignment horizontal="right" vertical="center"/>
    </xf>
    <xf numFmtId="196" fontId="480" fillId="117" borderId="91" xfId="5" applyNumberFormat="1" applyFont="1" applyFill="1" applyBorder="1" applyAlignment="1">
      <alignment horizontal="right" vertical="center"/>
    </xf>
    <xf numFmtId="0" fontId="479" fillId="117" borderId="252" xfId="32" applyFont="1" applyFill="1" applyBorder="1" applyAlignment="1">
      <alignment horizontal="center" vertical="center"/>
    </xf>
    <xf numFmtId="0" fontId="479" fillId="117" borderId="189" xfId="32" applyFont="1" applyFill="1" applyBorder="1" applyAlignment="1">
      <alignment horizontal="center" vertical="center"/>
    </xf>
    <xf numFmtId="0" fontId="411" fillId="117" borderId="252" xfId="32" applyFont="1" applyFill="1" applyBorder="1" applyAlignment="1">
      <alignment horizontal="right" vertical="center"/>
    </xf>
    <xf numFmtId="0" fontId="411" fillId="117" borderId="189" xfId="32" applyFont="1" applyFill="1" applyBorder="1" applyAlignment="1">
      <alignment horizontal="right" vertical="center"/>
    </xf>
    <xf numFmtId="174" fontId="412" fillId="117" borderId="251" xfId="32" applyNumberFormat="1" applyFont="1" applyFill="1" applyBorder="1" applyAlignment="1">
      <alignment horizontal="center" vertical="center"/>
    </xf>
    <xf numFmtId="174" fontId="412" fillId="117" borderId="41" xfId="32" applyNumberFormat="1" applyFont="1" applyFill="1" applyBorder="1" applyAlignment="1">
      <alignment horizontal="center" vertical="center"/>
    </xf>
    <xf numFmtId="0" fontId="418" fillId="65" borderId="241" xfId="32" applyFont="1" applyFill="1" applyBorder="1" applyAlignment="1">
      <alignment horizontal="center" vertical="center"/>
    </xf>
    <xf numFmtId="0" fontId="418" fillId="65" borderId="240" xfId="32" applyFont="1" applyFill="1" applyBorder="1" applyAlignment="1">
      <alignment horizontal="center" vertical="center"/>
    </xf>
    <xf numFmtId="0" fontId="418" fillId="65" borderId="239" xfId="32" applyFont="1" applyFill="1" applyBorder="1" applyAlignment="1">
      <alignment horizontal="center" vertical="center"/>
    </xf>
    <xf numFmtId="177" fontId="6" fillId="0" borderId="0" xfId="32" applyNumberFormat="1" applyFont="1" applyAlignment="1">
      <alignment horizontal="center" vertical="center"/>
    </xf>
    <xf numFmtId="187" fontId="420" fillId="56" borderId="15" xfId="32" applyNumberFormat="1" applyFont="1" applyFill="1" applyBorder="1" applyAlignment="1" applyProtection="1">
      <alignment horizontal="center" vertical="center"/>
      <protection locked="0"/>
    </xf>
    <xf numFmtId="0" fontId="4" fillId="4" borderId="16" xfId="32" applyFont="1" applyFill="1" applyBorder="1" applyAlignment="1">
      <alignment horizontal="right" vertical="center"/>
    </xf>
    <xf numFmtId="0" fontId="4" fillId="4" borderId="0" xfId="32" applyFont="1" applyFill="1" applyAlignment="1">
      <alignment horizontal="right" vertical="center"/>
    </xf>
    <xf numFmtId="177" fontId="6" fillId="4" borderId="0" xfId="32" applyNumberFormat="1" applyFont="1" applyFill="1" applyAlignment="1" applyProtection="1">
      <alignment horizontal="center" vertical="center"/>
      <protection locked="0"/>
    </xf>
    <xf numFmtId="177" fontId="409" fillId="4" borderId="0" xfId="32" applyNumberFormat="1" applyFont="1" applyFill="1" applyAlignment="1" applyProtection="1">
      <alignment horizontal="center" vertical="center"/>
      <protection locked="0"/>
    </xf>
    <xf numFmtId="177" fontId="409" fillId="4" borderId="10" xfId="32" applyNumberFormat="1" applyFont="1" applyFill="1" applyBorder="1" applyAlignment="1" applyProtection="1">
      <alignment horizontal="center" vertical="center"/>
      <protection locked="0"/>
    </xf>
    <xf numFmtId="0" fontId="27" fillId="12" borderId="17" xfId="32" applyFont="1" applyFill="1" applyBorder="1" applyAlignment="1">
      <alignment horizontal="center" vertical="center"/>
    </xf>
    <xf numFmtId="0" fontId="27" fillId="12" borderId="88" xfId="32" applyFont="1" applyFill="1" applyBorder="1" applyAlignment="1">
      <alignment horizontal="center" vertical="center"/>
    </xf>
    <xf numFmtId="0" fontId="27" fillId="12" borderId="141" xfId="32" applyFont="1" applyFill="1" applyBorder="1" applyAlignment="1">
      <alignment horizontal="center" vertical="center"/>
    </xf>
    <xf numFmtId="0" fontId="409" fillId="4" borderId="16" xfId="32" applyFont="1" applyFill="1" applyBorder="1" applyAlignment="1">
      <alignment horizontal="center" vertical="center" wrapText="1"/>
    </xf>
    <xf numFmtId="0" fontId="409" fillId="4" borderId="0" xfId="32" applyFont="1" applyFill="1" applyAlignment="1">
      <alignment horizontal="center" vertical="center" wrapText="1"/>
    </xf>
    <xf numFmtId="0" fontId="409" fillId="4" borderId="0" xfId="32" applyFont="1" applyFill="1" applyAlignment="1">
      <alignment horizontal="center" vertical="center"/>
    </xf>
    <xf numFmtId="177" fontId="472" fillId="4" borderId="0" xfId="32" applyNumberFormat="1" applyFont="1" applyFill="1" applyAlignment="1" applyProtection="1">
      <alignment horizontal="center" vertical="center" wrapText="1"/>
      <protection locked="0"/>
    </xf>
    <xf numFmtId="177" fontId="472" fillId="4" borderId="10" xfId="32" applyNumberFormat="1" applyFont="1" applyFill="1" applyBorder="1" applyAlignment="1" applyProtection="1">
      <alignment horizontal="center" vertical="center" wrapText="1"/>
      <protection locked="0"/>
    </xf>
    <xf numFmtId="0" fontId="424" fillId="25" borderId="13" xfId="5" applyFont="1" applyFill="1" applyBorder="1" applyAlignment="1">
      <alignment horizontal="center" vertical="center"/>
    </xf>
    <xf numFmtId="0" fontId="424" fillId="25" borderId="256" xfId="5" applyFont="1" applyFill="1" applyBorder="1" applyAlignment="1">
      <alignment horizontal="center" vertical="center"/>
    </xf>
    <xf numFmtId="0" fontId="424" fillId="25" borderId="0" xfId="5" applyFont="1" applyFill="1" applyAlignment="1">
      <alignment horizontal="center" vertical="center"/>
    </xf>
    <xf numFmtId="0" fontId="424" fillId="25" borderId="255" xfId="5" applyFont="1" applyFill="1" applyBorder="1" applyAlignment="1">
      <alignment horizontal="center" vertical="center"/>
    </xf>
    <xf numFmtId="0" fontId="424" fillId="25" borderId="15" xfId="5" applyFont="1" applyFill="1" applyBorder="1" applyAlignment="1">
      <alignment horizontal="center" vertical="center"/>
    </xf>
    <xf numFmtId="0" fontId="424" fillId="25" borderId="254" xfId="5" applyFont="1" applyFill="1" applyBorder="1" applyAlignment="1">
      <alignment horizontal="center" vertical="center"/>
    </xf>
    <xf numFmtId="177" fontId="6" fillId="4" borderId="227" xfId="32" applyNumberFormat="1" applyFont="1" applyFill="1" applyBorder="1" applyAlignment="1">
      <alignment horizontal="center" vertical="center"/>
    </xf>
    <xf numFmtId="177" fontId="6" fillId="4" borderId="226" xfId="32" applyNumberFormat="1" applyFont="1" applyFill="1" applyBorder="1" applyAlignment="1">
      <alignment horizontal="center" vertical="center"/>
    </xf>
    <xf numFmtId="177" fontId="6" fillId="4" borderId="225" xfId="32" applyNumberFormat="1" applyFont="1" applyFill="1" applyBorder="1" applyAlignment="1">
      <alignment horizontal="center" vertical="center"/>
    </xf>
    <xf numFmtId="177" fontId="1" fillId="4" borderId="170" xfId="32" applyNumberFormat="1" applyFill="1" applyBorder="1" applyAlignment="1">
      <alignment horizontal="center" vertical="center"/>
    </xf>
    <xf numFmtId="177" fontId="1" fillId="4" borderId="114" xfId="32" applyNumberFormat="1" applyFill="1" applyBorder="1" applyAlignment="1">
      <alignment horizontal="center" vertical="center"/>
    </xf>
    <xf numFmtId="0" fontId="418" fillId="65" borderId="60" xfId="32" applyFont="1" applyFill="1" applyBorder="1" applyAlignment="1">
      <alignment horizontal="center" vertical="center" wrapText="1"/>
    </xf>
    <xf numFmtId="0" fontId="418" fillId="65" borderId="61" xfId="32" applyFont="1" applyFill="1" applyBorder="1" applyAlignment="1">
      <alignment horizontal="center" vertical="center" wrapText="1"/>
    </xf>
    <xf numFmtId="0" fontId="418" fillId="65" borderId="62" xfId="32" applyFont="1" applyFill="1" applyBorder="1" applyAlignment="1">
      <alignment horizontal="center" vertical="center" wrapText="1"/>
    </xf>
    <xf numFmtId="0" fontId="478" fillId="116" borderId="189" xfId="1" applyFont="1" applyFill="1" applyBorder="1" applyAlignment="1" applyProtection="1">
      <alignment horizontal="center" vertical="center"/>
      <protection hidden="1"/>
    </xf>
    <xf numFmtId="0" fontId="307" fillId="0" borderId="16" xfId="5" applyFont="1" applyBorder="1" applyAlignment="1" applyProtection="1">
      <alignment horizontal="center" vertical="center"/>
      <protection locked="0"/>
    </xf>
    <xf numFmtId="0" fontId="307" fillId="0" borderId="0" xfId="5" applyFont="1" applyAlignment="1" applyProtection="1">
      <alignment horizontal="center" vertical="center"/>
      <protection locked="0"/>
    </xf>
    <xf numFmtId="0" fontId="307" fillId="0" borderId="10" xfId="5" applyFont="1" applyBorder="1" applyAlignment="1" applyProtection="1">
      <alignment horizontal="center" vertical="center"/>
      <protection locked="0"/>
    </xf>
    <xf numFmtId="0" fontId="352" fillId="80" borderId="13" xfId="32" applyFont="1" applyFill="1" applyBorder="1" applyAlignment="1">
      <alignment horizontal="center" vertical="center"/>
    </xf>
    <xf numFmtId="196" fontId="409" fillId="4" borderId="0" xfId="5" applyNumberFormat="1" applyFont="1" applyFill="1" applyAlignment="1">
      <alignment horizontal="right" vertical="center" wrapText="1"/>
    </xf>
    <xf numFmtId="0" fontId="1" fillId="4" borderId="16" xfId="32" applyFill="1" applyBorder="1" applyAlignment="1">
      <alignment horizontal="right" vertical="center"/>
    </xf>
    <xf numFmtId="0" fontId="1" fillId="4" borderId="0" xfId="32" applyFill="1" applyAlignment="1">
      <alignment horizontal="right" vertical="center"/>
    </xf>
    <xf numFmtId="0" fontId="59" fillId="80" borderId="8" xfId="11" applyFont="1" applyFill="1" applyBorder="1" applyAlignment="1">
      <alignment horizontal="center" vertical="center" wrapText="1"/>
    </xf>
    <xf numFmtId="0" fontId="59" fillId="80" borderId="66" xfId="11" applyFont="1" applyFill="1" applyBorder="1" applyAlignment="1">
      <alignment horizontal="center" vertical="center" wrapText="1"/>
    </xf>
    <xf numFmtId="0" fontId="59" fillId="80" borderId="67" xfId="11" applyFont="1" applyFill="1" applyBorder="1" applyAlignment="1">
      <alignment horizontal="center" vertical="center" wrapText="1"/>
    </xf>
    <xf numFmtId="0" fontId="333" fillId="4" borderId="13" xfId="11" applyFont="1" applyFill="1" applyBorder="1" applyAlignment="1">
      <alignment horizontal="center" vertical="center" wrapText="1"/>
    </xf>
    <xf numFmtId="0" fontId="333" fillId="4" borderId="0" xfId="11" applyFont="1" applyFill="1" applyAlignment="1">
      <alignment horizontal="center" vertical="center" wrapText="1"/>
    </xf>
    <xf numFmtId="0" fontId="333" fillId="4" borderId="12" xfId="11" applyFont="1" applyFill="1" applyBorder="1" applyAlignment="1">
      <alignment horizontal="center" vertical="center" wrapText="1"/>
    </xf>
    <xf numFmtId="0" fontId="405" fillId="3" borderId="13" xfId="11" applyFont="1" applyFill="1" applyBorder="1" applyAlignment="1">
      <alignment horizontal="center" vertical="center"/>
    </xf>
    <xf numFmtId="0" fontId="405" fillId="3" borderId="0" xfId="11" applyFont="1" applyFill="1" applyAlignment="1">
      <alignment horizontal="center" vertical="center"/>
    </xf>
    <xf numFmtId="0" fontId="405" fillId="3" borderId="12" xfId="11" applyFont="1" applyFill="1" applyBorder="1" applyAlignment="1">
      <alignment horizontal="center" vertical="center"/>
    </xf>
    <xf numFmtId="0" fontId="469" fillId="4" borderId="13" xfId="10" applyFont="1" applyFill="1" applyBorder="1" applyAlignment="1">
      <alignment horizontal="center" vertical="center" wrapText="1"/>
    </xf>
    <xf numFmtId="0" fontId="469" fillId="4" borderId="0" xfId="10" applyFont="1" applyFill="1" applyAlignment="1">
      <alignment horizontal="center" vertical="center" wrapText="1"/>
    </xf>
    <xf numFmtId="0" fontId="469" fillId="4" borderId="12" xfId="10" applyFont="1" applyFill="1" applyBorder="1" applyAlignment="1">
      <alignment horizontal="center" vertical="center" wrapText="1"/>
    </xf>
    <xf numFmtId="0" fontId="467" fillId="25" borderId="13" xfId="11" applyFont="1" applyFill="1" applyBorder="1" applyAlignment="1">
      <alignment horizontal="center" vertical="center"/>
    </xf>
    <xf numFmtId="0" fontId="467" fillId="25" borderId="0" xfId="11" applyFont="1" applyFill="1" applyAlignment="1">
      <alignment horizontal="center" vertical="center"/>
    </xf>
    <xf numFmtId="0" fontId="467" fillId="25" borderId="12" xfId="11" applyFont="1" applyFill="1" applyBorder="1" applyAlignment="1">
      <alignment horizontal="center" vertical="center"/>
    </xf>
    <xf numFmtId="196" fontId="462" fillId="4" borderId="0" xfId="5" applyNumberFormat="1" applyFont="1" applyFill="1" applyAlignment="1">
      <alignment horizontal="right" vertical="center" wrapText="1"/>
    </xf>
    <xf numFmtId="196" fontId="460" fillId="7" borderId="13" xfId="5" applyNumberFormat="1" applyFont="1" applyFill="1" applyBorder="1" applyAlignment="1">
      <alignment horizontal="center" vertical="center" wrapText="1"/>
    </xf>
    <xf numFmtId="196" fontId="460" fillId="7" borderId="0" xfId="5" applyNumberFormat="1" applyFont="1" applyFill="1" applyAlignment="1">
      <alignment horizontal="center" vertical="center" wrapText="1"/>
    </xf>
    <xf numFmtId="196" fontId="423" fillId="4" borderId="0" xfId="5" applyNumberFormat="1" applyFont="1" applyFill="1" applyAlignment="1">
      <alignment horizontal="right" vertical="center" wrapText="1"/>
    </xf>
    <xf numFmtId="0" fontId="405" fillId="12" borderId="8" xfId="32" applyFont="1" applyFill="1" applyBorder="1" applyAlignment="1">
      <alignment horizontal="center" vertical="center"/>
    </xf>
    <xf numFmtId="0" fontId="405" fillId="12" borderId="66" xfId="32" applyFont="1" applyFill="1" applyBorder="1" applyAlignment="1">
      <alignment horizontal="center" vertical="center"/>
    </xf>
    <xf numFmtId="0" fontId="405" fillId="12" borderId="67" xfId="32" applyFont="1" applyFill="1" applyBorder="1" applyAlignment="1">
      <alignment horizontal="center" vertical="center"/>
    </xf>
    <xf numFmtId="0" fontId="34" fillId="4" borderId="13" xfId="32" applyFont="1" applyFill="1" applyBorder="1" applyAlignment="1">
      <alignment horizontal="left" vertical="center" wrapText="1"/>
    </xf>
    <xf numFmtId="0" fontId="34" fillId="4" borderId="0" xfId="32" applyFont="1" applyFill="1" applyAlignment="1">
      <alignment horizontal="left" vertical="center" wrapText="1"/>
    </xf>
    <xf numFmtId="0" fontId="34" fillId="4" borderId="12" xfId="32" applyFont="1" applyFill="1" applyBorder="1" applyAlignment="1">
      <alignment horizontal="left" vertical="center" wrapText="1"/>
    </xf>
    <xf numFmtId="0" fontId="34" fillId="4" borderId="244" xfId="32" applyFont="1" applyFill="1" applyBorder="1" applyAlignment="1">
      <alignment horizontal="left" vertical="center" wrapText="1"/>
    </xf>
    <xf numFmtId="0" fontId="34" fillId="4" borderId="243" xfId="32" applyFont="1" applyFill="1" applyBorder="1" applyAlignment="1">
      <alignment horizontal="left" vertical="center" wrapText="1"/>
    </xf>
    <xf numFmtId="0" fontId="34" fillId="4" borderId="242" xfId="32" applyFont="1" applyFill="1" applyBorder="1" applyAlignment="1">
      <alignment horizontal="left" vertical="center" wrapText="1"/>
    </xf>
    <xf numFmtId="177" fontId="437" fillId="25" borderId="0" xfId="5" applyNumberFormat="1" applyFont="1" applyFill="1" applyAlignment="1">
      <alignment horizontal="center" vertical="center"/>
    </xf>
    <xf numFmtId="196" fontId="459" fillId="4" borderId="0" xfId="5" applyNumberFormat="1" applyFont="1" applyFill="1" applyAlignment="1">
      <alignment horizontal="right" vertical="center" wrapText="1"/>
    </xf>
    <xf numFmtId="177" fontId="445" fillId="25" borderId="12" xfId="5" applyNumberFormat="1" applyFont="1" applyFill="1" applyBorder="1" applyAlignment="1">
      <alignment horizontal="center" vertical="center"/>
    </xf>
    <xf numFmtId="0" fontId="154" fillId="42" borderId="13" xfId="32" applyFont="1" applyFill="1" applyBorder="1" applyAlignment="1">
      <alignment horizontal="right" vertical="center" wrapText="1"/>
    </xf>
    <xf numFmtId="0" fontId="154" fillId="42" borderId="0" xfId="32" applyFont="1" applyFill="1" applyAlignment="1">
      <alignment horizontal="right" vertical="center" wrapText="1"/>
    </xf>
    <xf numFmtId="2" fontId="27" fillId="42" borderId="0" xfId="32" applyNumberFormat="1" applyFont="1" applyFill="1" applyAlignment="1">
      <alignment horizontal="center" vertical="center"/>
    </xf>
    <xf numFmtId="0" fontId="27" fillId="42" borderId="0" xfId="32" applyFont="1" applyFill="1" applyAlignment="1">
      <alignment horizontal="center" vertical="center"/>
    </xf>
    <xf numFmtId="0" fontId="107" fillId="3" borderId="0" xfId="32" applyFont="1" applyFill="1" applyAlignment="1">
      <alignment horizontal="center" vertical="center"/>
    </xf>
    <xf numFmtId="1" fontId="27" fillId="3" borderId="0" xfId="5" applyNumberFormat="1" applyFont="1" applyFill="1" applyAlignment="1">
      <alignment horizontal="center" vertical="center"/>
    </xf>
    <xf numFmtId="0" fontId="399" fillId="4" borderId="16" xfId="11" applyFont="1" applyFill="1" applyBorder="1" applyAlignment="1">
      <alignment horizontal="center" vertical="center" wrapText="1"/>
    </xf>
    <xf numFmtId="0" fontId="399" fillId="4" borderId="0" xfId="11" applyFont="1" applyFill="1" applyAlignment="1">
      <alignment horizontal="center" vertical="center" wrapText="1"/>
    </xf>
    <xf numFmtId="0" fontId="399" fillId="4" borderId="0" xfId="10" applyFont="1" applyFill="1" applyAlignment="1">
      <alignment horizontal="center" vertical="center" wrapText="1"/>
    </xf>
    <xf numFmtId="0" fontId="154" fillId="4" borderId="0" xfId="10" applyFont="1" applyFill="1" applyAlignment="1">
      <alignment horizontal="center" vertical="center"/>
    </xf>
    <xf numFmtId="177" fontId="107" fillId="3" borderId="0" xfId="5" applyNumberFormat="1" applyFont="1" applyFill="1" applyAlignment="1">
      <alignment horizontal="center" vertical="center"/>
    </xf>
    <xf numFmtId="177" fontId="107" fillId="3" borderId="12" xfId="5" applyNumberFormat="1" applyFont="1" applyFill="1" applyBorder="1" applyAlignment="1">
      <alignment horizontal="center" vertical="center"/>
    </xf>
    <xf numFmtId="0" fontId="27" fillId="3" borderId="13" xfId="32" applyFont="1" applyFill="1" applyBorder="1" applyAlignment="1">
      <alignment horizontal="right" vertical="center"/>
    </xf>
    <xf numFmtId="1" fontId="27" fillId="3" borderId="0" xfId="32" applyNumberFormat="1" applyFont="1" applyFill="1" applyAlignment="1">
      <alignment horizontal="center" vertical="center"/>
    </xf>
    <xf numFmtId="0" fontId="133" fillId="3" borderId="0" xfId="32" applyFont="1" applyFill="1" applyAlignment="1">
      <alignment horizontal="center" vertical="center"/>
    </xf>
    <xf numFmtId="0" fontId="457" fillId="80" borderId="17" xfId="11" applyFont="1" applyFill="1" applyBorder="1" applyAlignment="1">
      <alignment horizontal="center" vertical="center"/>
    </xf>
    <xf numFmtId="0" fontId="457" fillId="80" borderId="88" xfId="11" applyFont="1" applyFill="1" applyBorder="1" applyAlignment="1">
      <alignment horizontal="center" vertical="center"/>
    </xf>
    <xf numFmtId="0" fontId="457" fillId="80" borderId="141" xfId="11" applyFont="1" applyFill="1" applyBorder="1" applyAlignment="1">
      <alignment horizontal="center" vertical="center"/>
    </xf>
    <xf numFmtId="0" fontId="352" fillId="80" borderId="16" xfId="11" applyFont="1" applyFill="1" applyBorder="1" applyAlignment="1">
      <alignment horizontal="center" vertical="center"/>
    </xf>
    <xf numFmtId="0" fontId="352" fillId="80" borderId="0" xfId="11" applyFont="1" applyFill="1" applyAlignment="1">
      <alignment horizontal="center" vertical="center"/>
    </xf>
    <xf numFmtId="0" fontId="352" fillId="80" borderId="10" xfId="11" applyFont="1" applyFill="1" applyBorder="1" applyAlignment="1">
      <alignment horizontal="center" vertical="center"/>
    </xf>
    <xf numFmtId="0" fontId="352" fillId="80" borderId="0" xfId="11" applyFont="1" applyFill="1" applyAlignment="1">
      <alignment horizontal="left" vertical="center"/>
    </xf>
    <xf numFmtId="0" fontId="352" fillId="80" borderId="10" xfId="11" applyFont="1" applyFill="1" applyBorder="1" applyAlignment="1">
      <alignment horizontal="left" vertical="center"/>
    </xf>
    <xf numFmtId="0" fontId="154" fillId="17" borderId="16" xfId="11" applyFont="1" applyFill="1" applyBorder="1" applyAlignment="1">
      <alignment horizontal="center" vertical="center"/>
    </xf>
    <xf numFmtId="0" fontId="154" fillId="17" borderId="0" xfId="11" applyFont="1" applyFill="1" applyAlignment="1">
      <alignment horizontal="center" vertical="center"/>
    </xf>
    <xf numFmtId="0" fontId="154" fillId="17" borderId="10" xfId="11" applyFont="1" applyFill="1" applyBorder="1" applyAlignment="1">
      <alignment horizontal="center" vertical="center"/>
    </xf>
    <xf numFmtId="194" fontId="27" fillId="44" borderId="13" xfId="10" applyNumberFormat="1" applyFont="1" applyFill="1" applyBorder="1" applyAlignment="1">
      <alignment horizontal="center" vertical="center"/>
    </xf>
    <xf numFmtId="194" fontId="27" fillId="44" borderId="0" xfId="10" applyNumberFormat="1" applyFont="1" applyFill="1" applyAlignment="1">
      <alignment horizontal="center" vertical="center"/>
    </xf>
    <xf numFmtId="194" fontId="27" fillId="44" borderId="12" xfId="10" applyNumberFormat="1" applyFont="1" applyFill="1" applyBorder="1" applyAlignment="1">
      <alignment horizontal="center" vertical="center"/>
    </xf>
    <xf numFmtId="194" fontId="450" fillId="4" borderId="13" xfId="10" applyNumberFormat="1" applyFont="1" applyFill="1" applyBorder="1" applyAlignment="1">
      <alignment horizontal="center" vertical="center"/>
    </xf>
    <xf numFmtId="194" fontId="450" fillId="4" borderId="0" xfId="10" applyNumberFormat="1" applyFont="1" applyFill="1" applyAlignment="1">
      <alignment horizontal="center" vertical="center"/>
    </xf>
    <xf numFmtId="195" fontId="450" fillId="4" borderId="0" xfId="10" applyNumberFormat="1" applyFont="1" applyFill="1" applyAlignment="1">
      <alignment horizontal="center" vertical="center"/>
    </xf>
    <xf numFmtId="0" fontId="154" fillId="4" borderId="10" xfId="10" applyFont="1" applyFill="1" applyBorder="1" applyAlignment="1">
      <alignment horizontal="center" wrapText="1"/>
    </xf>
    <xf numFmtId="169" fontId="423" fillId="4" borderId="16" xfId="10" applyNumberFormat="1" applyFont="1" applyFill="1" applyBorder="1" applyAlignment="1">
      <alignment horizontal="center" vertical="center"/>
    </xf>
    <xf numFmtId="169" fontId="423" fillId="4" borderId="0" xfId="10" applyNumberFormat="1" applyFont="1" applyFill="1" applyAlignment="1">
      <alignment horizontal="center" vertical="center"/>
    </xf>
    <xf numFmtId="0" fontId="423" fillId="4" borderId="0" xfId="10" applyFont="1" applyFill="1" applyAlignment="1">
      <alignment horizontal="center" vertical="center"/>
    </xf>
    <xf numFmtId="0" fontId="154" fillId="4" borderId="0" xfId="10" applyFont="1" applyFill="1" applyAlignment="1">
      <alignment horizontal="right" vertical="center"/>
    </xf>
    <xf numFmtId="0" fontId="352" fillId="114" borderId="16" xfId="11" applyFont="1" applyFill="1" applyBorder="1" applyAlignment="1">
      <alignment horizontal="center" vertical="center"/>
    </xf>
    <xf numFmtId="0" fontId="352" fillId="114" borderId="0" xfId="11" applyFont="1" applyFill="1" applyAlignment="1">
      <alignment horizontal="center" vertical="center"/>
    </xf>
    <xf numFmtId="0" fontId="352" fillId="114" borderId="10" xfId="11" applyFont="1" applyFill="1" applyBorder="1" applyAlignment="1">
      <alignment horizontal="center" vertical="center"/>
    </xf>
    <xf numFmtId="0" fontId="352" fillId="114" borderId="0" xfId="11" applyFont="1" applyFill="1" applyAlignment="1">
      <alignment horizontal="left" vertical="center"/>
    </xf>
    <xf numFmtId="0" fontId="352" fillId="114" borderId="10" xfId="11" applyFont="1" applyFill="1" applyBorder="1" applyAlignment="1">
      <alignment horizontal="left" vertical="center"/>
    </xf>
    <xf numFmtId="0" fontId="455" fillId="39" borderId="8" xfId="11" applyFont="1" applyFill="1" applyBorder="1" applyAlignment="1">
      <alignment horizontal="center" vertical="center" wrapText="1"/>
    </xf>
    <xf numFmtId="0" fontId="455" fillId="39" borderId="66" xfId="11" applyFont="1" applyFill="1" applyBorder="1" applyAlignment="1">
      <alignment horizontal="center" vertical="center" wrapText="1"/>
    </xf>
    <xf numFmtId="0" fontId="455" fillId="39" borderId="13" xfId="11" applyFont="1" applyFill="1" applyBorder="1" applyAlignment="1">
      <alignment horizontal="center" vertical="center" wrapText="1"/>
    </xf>
    <xf numFmtId="0" fontId="455" fillId="39" borderId="0" xfId="11" applyFont="1" applyFill="1" applyAlignment="1">
      <alignment horizontal="center" vertical="center" wrapText="1"/>
    </xf>
    <xf numFmtId="0" fontId="454" fillId="7" borderId="66" xfId="10" applyFont="1" applyFill="1" applyBorder="1" applyAlignment="1">
      <alignment horizontal="center" vertical="center" wrapText="1"/>
    </xf>
    <xf numFmtId="0" fontId="454" fillId="7" borderId="0" xfId="10" applyFont="1" applyFill="1" applyAlignment="1">
      <alignment horizontal="center" vertical="center" wrapText="1"/>
    </xf>
    <xf numFmtId="0" fontId="409" fillId="4" borderId="66" xfId="10" applyFont="1" applyFill="1" applyBorder="1" applyAlignment="1">
      <alignment horizontal="center" vertical="center" wrapText="1"/>
    </xf>
    <xf numFmtId="0" fontId="409" fillId="4" borderId="0" xfId="10" applyFont="1" applyFill="1" applyAlignment="1">
      <alignment horizontal="center" vertical="center" wrapText="1"/>
    </xf>
    <xf numFmtId="0" fontId="418" fillId="80" borderId="66" xfId="11" applyFont="1" applyFill="1" applyBorder="1" applyAlignment="1">
      <alignment horizontal="center" vertical="center"/>
    </xf>
    <xf numFmtId="0" fontId="418" fillId="80" borderId="67" xfId="11" applyFont="1" applyFill="1" applyBorder="1" applyAlignment="1">
      <alignment horizontal="center" vertical="center"/>
    </xf>
    <xf numFmtId="194" fontId="445" fillId="39" borderId="13" xfId="10" applyNumberFormat="1" applyFont="1" applyFill="1" applyBorder="1" applyAlignment="1">
      <alignment horizontal="center" vertical="center"/>
    </xf>
    <xf numFmtId="194" fontId="445" fillId="39" borderId="0" xfId="10" applyNumberFormat="1" applyFont="1" applyFill="1" applyAlignment="1">
      <alignment horizontal="center" vertical="center"/>
    </xf>
    <xf numFmtId="195" fontId="453" fillId="7" borderId="0" xfId="10" applyNumberFormat="1" applyFont="1" applyFill="1" applyAlignment="1">
      <alignment horizontal="center" vertical="center"/>
    </xf>
    <xf numFmtId="2" fontId="27" fillId="4" borderId="0" xfId="10" applyNumberFormat="1" applyFont="1" applyFill="1" applyAlignment="1">
      <alignment horizontal="center" vertical="center"/>
    </xf>
    <xf numFmtId="0" fontId="452" fillId="4" borderId="0" xfId="10" applyFont="1" applyFill="1" applyAlignment="1">
      <alignment horizontal="left" vertical="center"/>
    </xf>
    <xf numFmtId="0" fontId="452" fillId="4" borderId="12" xfId="10" applyFont="1" applyFill="1" applyBorder="1" applyAlignment="1">
      <alignment horizontal="left" vertical="center"/>
    </xf>
    <xf numFmtId="194" fontId="450" fillId="4" borderId="13" xfId="10" applyNumberFormat="1" applyFont="1" applyFill="1" applyBorder="1" applyAlignment="1">
      <alignment horizontal="left" vertical="center" wrapText="1"/>
    </xf>
    <xf numFmtId="194" fontId="450" fillId="4" borderId="0" xfId="10" applyNumberFormat="1" applyFont="1" applyFill="1" applyAlignment="1">
      <alignment horizontal="left" vertical="center" wrapText="1"/>
    </xf>
    <xf numFmtId="194" fontId="450" fillId="4" borderId="12" xfId="10" applyNumberFormat="1" applyFont="1" applyFill="1" applyBorder="1" applyAlignment="1">
      <alignment horizontal="left" vertical="center" wrapText="1"/>
    </xf>
    <xf numFmtId="194" fontId="450" fillId="4" borderId="241" xfId="10" applyNumberFormat="1" applyFont="1" applyFill="1" applyBorder="1" applyAlignment="1">
      <alignment horizontal="left" vertical="center" wrapText="1"/>
    </xf>
    <xf numFmtId="194" fontId="450" fillId="4" borderId="240" xfId="10" applyNumberFormat="1" applyFont="1" applyFill="1" applyBorder="1" applyAlignment="1">
      <alignment horizontal="left" vertical="center" wrapText="1"/>
    </xf>
    <xf numFmtId="194" fontId="450" fillId="4" borderId="239" xfId="10" applyNumberFormat="1" applyFont="1" applyFill="1" applyBorder="1" applyAlignment="1">
      <alignment horizontal="left" vertical="center" wrapText="1"/>
    </xf>
    <xf numFmtId="0" fontId="251" fillId="111" borderId="238" xfId="29" applyFont="1" applyFill="1" applyBorder="1" applyAlignment="1">
      <alignment horizontal="center" vertical="center"/>
    </xf>
    <xf numFmtId="0" fontId="251" fillId="111" borderId="237" xfId="29" applyFont="1" applyFill="1" applyBorder="1" applyAlignment="1">
      <alignment horizontal="center" vertical="center"/>
    </xf>
    <xf numFmtId="0" fontId="251" fillId="111" borderId="236" xfId="29" applyFont="1" applyFill="1" applyBorder="1" applyAlignment="1">
      <alignment horizontal="center" vertical="center"/>
    </xf>
    <xf numFmtId="0" fontId="251" fillId="111" borderId="235" xfId="29" applyFont="1" applyFill="1" applyBorder="1" applyAlignment="1">
      <alignment horizontal="center" vertical="center"/>
    </xf>
    <xf numFmtId="0" fontId="412" fillId="108" borderId="9" xfId="5" applyFont="1" applyFill="1" applyBorder="1" applyAlignment="1">
      <alignment horizontal="center" vertical="center"/>
    </xf>
    <xf numFmtId="0" fontId="412" fillId="108" borderId="0" xfId="5" applyFont="1" applyFill="1" applyAlignment="1">
      <alignment horizontal="center" vertical="center"/>
    </xf>
    <xf numFmtId="0" fontId="284" fillId="12" borderId="8" xfId="1" applyFont="1" applyFill="1" applyBorder="1" applyAlignment="1" applyProtection="1">
      <alignment horizontal="center" vertical="center" wrapText="1"/>
      <protection hidden="1"/>
    </xf>
    <xf numFmtId="0" fontId="284" fillId="12" borderId="9" xfId="1" applyFont="1" applyFill="1" applyBorder="1" applyAlignment="1" applyProtection="1">
      <alignment horizontal="center" vertical="center" wrapText="1"/>
      <protection hidden="1"/>
    </xf>
    <xf numFmtId="0" fontId="284" fillId="12" borderId="13" xfId="1" applyFont="1" applyFill="1" applyBorder="1" applyAlignment="1" applyProtection="1">
      <alignment horizontal="center" vertical="center" wrapText="1"/>
      <protection hidden="1"/>
    </xf>
    <xf numFmtId="0" fontId="284" fillId="12" borderId="0" xfId="1" applyFont="1" applyFill="1" applyAlignment="1" applyProtection="1">
      <alignment horizontal="center" vertical="center" wrapText="1"/>
      <protection hidden="1"/>
    </xf>
    <xf numFmtId="0" fontId="266" fillId="12" borderId="7" xfId="5" applyFont="1" applyFill="1" applyBorder="1" applyAlignment="1">
      <alignment horizontal="center" vertical="center"/>
    </xf>
    <xf numFmtId="0" fontId="266" fillId="12" borderId="12" xfId="5" applyFont="1" applyFill="1" applyBorder="1" applyAlignment="1">
      <alignment horizontal="center" vertical="center"/>
    </xf>
    <xf numFmtId="0" fontId="1" fillId="74" borderId="12" xfId="32" applyFill="1" applyBorder="1" applyAlignment="1">
      <alignment horizontal="center"/>
    </xf>
    <xf numFmtId="0" fontId="284" fillId="4" borderId="13" xfId="15" applyFont="1" applyFill="1" applyBorder="1" applyAlignment="1">
      <alignment horizontal="center" vertical="center" wrapText="1"/>
    </xf>
    <xf numFmtId="0" fontId="284" fillId="4" borderId="0" xfId="15" applyFont="1" applyFill="1" applyAlignment="1">
      <alignment horizontal="center" vertical="center" wrapText="1"/>
    </xf>
    <xf numFmtId="0" fontId="284" fillId="4" borderId="12" xfId="15" applyFont="1" applyFill="1" applyBorder="1" applyAlignment="1">
      <alignment horizontal="center" vertical="center" wrapText="1"/>
    </xf>
    <xf numFmtId="0" fontId="435" fillId="4" borderId="13" xfId="15" applyFont="1" applyFill="1" applyBorder="1" applyAlignment="1">
      <alignment horizontal="center" vertical="center" wrapText="1"/>
    </xf>
    <xf numFmtId="0" fontId="435" fillId="4" borderId="0" xfId="15" applyFont="1" applyFill="1" applyAlignment="1">
      <alignment horizontal="center" vertical="center" wrapText="1"/>
    </xf>
    <xf numFmtId="0" fontId="435" fillId="4" borderId="12" xfId="15" applyFont="1" applyFill="1" applyBorder="1" applyAlignment="1">
      <alignment horizontal="center" vertical="center" wrapText="1"/>
    </xf>
    <xf numFmtId="0" fontId="154" fillId="113" borderId="13" xfId="1" applyFont="1" applyFill="1" applyBorder="1" applyAlignment="1">
      <alignment horizontal="left" vertical="center"/>
    </xf>
    <xf numFmtId="0" fontId="154" fillId="113" borderId="0" xfId="1" applyFont="1" applyFill="1" applyAlignment="1">
      <alignment horizontal="left" vertical="center"/>
    </xf>
    <xf numFmtId="0" fontId="154" fillId="113" borderId="12" xfId="1" applyFont="1" applyFill="1" applyBorder="1" applyAlignment="1">
      <alignment horizontal="left" vertical="center"/>
    </xf>
    <xf numFmtId="0" fontId="446" fillId="6" borderId="0" xfId="1" applyFont="1" applyFill="1" applyAlignment="1">
      <alignment horizontal="center" vertical="center"/>
    </xf>
    <xf numFmtId="0" fontId="278" fillId="17" borderId="222" xfId="1" applyFont="1" applyFill="1" applyBorder="1" applyAlignment="1">
      <alignment horizontal="center" vertical="center"/>
    </xf>
    <xf numFmtId="0" fontId="278" fillId="17" borderId="0" xfId="1" applyFont="1" applyFill="1" applyAlignment="1">
      <alignment horizontal="center" vertical="center"/>
    </xf>
    <xf numFmtId="0" fontId="446" fillId="6" borderId="189" xfId="1" applyFont="1" applyFill="1" applyBorder="1" applyAlignment="1">
      <alignment horizontal="center" vertical="center"/>
    </xf>
    <xf numFmtId="0" fontId="445" fillId="25" borderId="199" xfId="32" applyFont="1" applyFill="1" applyBorder="1" applyAlignment="1">
      <alignment horizontal="center" vertical="center"/>
    </xf>
    <xf numFmtId="0" fontId="445" fillId="25" borderId="142" xfId="32" applyFont="1" applyFill="1" applyBorder="1" applyAlignment="1">
      <alignment horizontal="center" vertical="center"/>
    </xf>
    <xf numFmtId="0" fontId="427" fillId="6" borderId="93" xfId="32" applyFont="1" applyFill="1" applyBorder="1" applyAlignment="1">
      <alignment horizontal="center" vertical="center" wrapText="1"/>
    </xf>
    <xf numFmtId="0" fontId="427" fillId="6" borderId="20" xfId="32" applyFont="1" applyFill="1" applyBorder="1" applyAlignment="1">
      <alignment horizontal="center" vertical="center" wrapText="1"/>
    </xf>
    <xf numFmtId="0" fontId="427" fillId="6" borderId="11" xfId="32" applyFont="1" applyFill="1" applyBorder="1" applyAlignment="1">
      <alignment horizontal="center" vertical="center" wrapText="1"/>
    </xf>
    <xf numFmtId="0" fontId="427" fillId="6" borderId="230" xfId="32" applyFont="1" applyFill="1" applyBorder="1" applyAlignment="1">
      <alignment horizontal="center" vertical="center" wrapText="1"/>
    </xf>
    <xf numFmtId="0" fontId="427" fillId="6" borderId="229" xfId="32" applyFont="1" applyFill="1" applyBorder="1" applyAlignment="1">
      <alignment horizontal="center" vertical="center" wrapText="1"/>
    </xf>
    <xf numFmtId="0" fontId="427" fillId="6" borderId="228" xfId="32" applyFont="1" applyFill="1" applyBorder="1" applyAlignment="1">
      <alignment horizontal="center" vertical="center" wrapText="1"/>
    </xf>
    <xf numFmtId="169" fontId="426" fillId="111" borderId="226" xfId="15" applyNumberFormat="1" applyFont="1" applyFill="1" applyBorder="1" applyAlignment="1">
      <alignment horizontal="left" vertical="center"/>
    </xf>
    <xf numFmtId="169" fontId="426" fillId="111" borderId="225" xfId="15" applyNumberFormat="1" applyFont="1" applyFill="1" applyBorder="1" applyAlignment="1">
      <alignment horizontal="left" vertical="center"/>
    </xf>
    <xf numFmtId="0" fontId="154" fillId="110" borderId="0" xfId="21" applyFont="1" applyFill="1" applyAlignment="1">
      <alignment horizontal="center" vertical="center" wrapText="1"/>
    </xf>
    <xf numFmtId="169" fontId="426" fillId="111" borderId="0" xfId="15" applyNumberFormat="1" applyFont="1" applyFill="1" applyAlignment="1">
      <alignment horizontal="left" vertical="center"/>
    </xf>
    <xf numFmtId="169" fontId="426" fillId="111" borderId="12" xfId="15" applyNumberFormat="1" applyFont="1" applyFill="1" applyBorder="1" applyAlignment="1">
      <alignment horizontal="left" vertical="center"/>
    </xf>
    <xf numFmtId="0" fontId="425" fillId="6" borderId="43" xfId="5" applyFont="1" applyFill="1" applyBorder="1" applyAlignment="1">
      <alignment horizontal="center" vertical="center"/>
    </xf>
    <xf numFmtId="0" fontId="425" fillId="6" borderId="44" xfId="5" applyFont="1" applyFill="1" applyBorder="1" applyAlignment="1">
      <alignment horizontal="center" vertical="center"/>
    </xf>
    <xf numFmtId="0" fontId="425" fillId="6" borderId="45" xfId="5" applyFont="1" applyFill="1" applyBorder="1" applyAlignment="1">
      <alignment horizontal="center" vertical="center"/>
    </xf>
    <xf numFmtId="0" fontId="418" fillId="65" borderId="13" xfId="32" applyFont="1" applyFill="1" applyBorder="1" applyAlignment="1">
      <alignment horizontal="center" vertical="center"/>
    </xf>
    <xf numFmtId="0" fontId="418" fillId="65" borderId="0" xfId="32" applyFont="1" applyFill="1" applyAlignment="1">
      <alignment horizontal="center" vertical="center"/>
    </xf>
    <xf numFmtId="0" fontId="418" fillId="65" borderId="48" xfId="32" applyFont="1" applyFill="1" applyBorder="1" applyAlignment="1">
      <alignment horizontal="center" vertical="center"/>
    </xf>
    <xf numFmtId="0" fontId="418" fillId="65" borderId="140" xfId="32" applyFont="1" applyFill="1" applyBorder="1" applyAlignment="1">
      <alignment horizontal="center" vertical="center"/>
    </xf>
    <xf numFmtId="169" fontId="445" fillId="25" borderId="0" xfId="15" applyNumberFormat="1" applyFont="1" applyFill="1" applyAlignment="1">
      <alignment horizontal="center" vertical="center"/>
    </xf>
    <xf numFmtId="0" fontId="154" fillId="112" borderId="13" xfId="1" applyFont="1" applyFill="1" applyBorder="1" applyAlignment="1">
      <alignment horizontal="center" vertical="center"/>
    </xf>
    <xf numFmtId="0" fontId="154" fillId="112" borderId="0" xfId="1" applyFont="1" applyFill="1" applyAlignment="1">
      <alignment horizontal="center" vertical="center"/>
    </xf>
    <xf numFmtId="0" fontId="154" fillId="112" borderId="12" xfId="1" applyFont="1" applyFill="1" applyBorder="1" applyAlignment="1">
      <alignment horizontal="center" vertical="center"/>
    </xf>
    <xf numFmtId="0" fontId="433" fillId="6" borderId="0" xfId="1" applyFont="1" applyFill="1" applyAlignment="1">
      <alignment horizontal="center" vertical="center"/>
    </xf>
    <xf numFmtId="0" fontId="430" fillId="25" borderId="199" xfId="32" applyFont="1" applyFill="1" applyBorder="1" applyAlignment="1">
      <alignment horizontal="center" vertical="center"/>
    </xf>
    <xf numFmtId="0" fontId="430" fillId="25" borderId="142" xfId="32" applyFont="1" applyFill="1" applyBorder="1" applyAlignment="1">
      <alignment horizontal="center" vertical="center"/>
    </xf>
    <xf numFmtId="0" fontId="417" fillId="3" borderId="223" xfId="29" applyFont="1" applyFill="1" applyBorder="1" applyAlignment="1">
      <alignment horizontal="center" vertical="center"/>
    </xf>
    <xf numFmtId="0" fontId="417" fillId="3" borderId="222" xfId="29" applyFont="1" applyFill="1" applyBorder="1" applyAlignment="1">
      <alignment horizontal="center" vertical="center"/>
    </xf>
    <xf numFmtId="0" fontId="417" fillId="3" borderId="221" xfId="29" applyFont="1" applyFill="1" applyBorder="1" applyAlignment="1">
      <alignment horizontal="center" vertical="center"/>
    </xf>
    <xf numFmtId="0" fontId="417" fillId="3" borderId="220" xfId="29" applyFont="1" applyFill="1" applyBorder="1" applyAlignment="1">
      <alignment horizontal="center" vertical="center"/>
    </xf>
    <xf numFmtId="0" fontId="9" fillId="0" borderId="285" xfId="3" applyFont="1" applyBorder="1" applyAlignment="1">
      <alignment horizontal="center" vertical="center" wrapText="1"/>
    </xf>
    <xf numFmtId="0" fontId="9" fillId="0" borderId="284" xfId="3" applyFont="1" applyBorder="1" applyAlignment="1">
      <alignment horizontal="center" vertical="center" wrapText="1"/>
    </xf>
    <xf numFmtId="0" fontId="9" fillId="0" borderId="283" xfId="3" applyFont="1" applyBorder="1" applyAlignment="1">
      <alignment horizontal="center" vertical="center" wrapText="1"/>
    </xf>
    <xf numFmtId="0" fontId="9" fillId="0" borderId="282" xfId="3" applyFont="1" applyBorder="1" applyAlignment="1">
      <alignment horizontal="center" vertical="center" wrapText="1"/>
    </xf>
    <xf numFmtId="0" fontId="9" fillId="0" borderId="281" xfId="3" applyFont="1" applyBorder="1" applyAlignment="1">
      <alignment horizontal="center" vertical="center" wrapText="1"/>
    </xf>
    <xf numFmtId="0" fontId="9" fillId="0" borderId="280" xfId="3" applyFont="1" applyBorder="1" applyAlignment="1">
      <alignment horizontal="center" vertical="center" wrapText="1"/>
    </xf>
    <xf numFmtId="0" fontId="6" fillId="3" borderId="0" xfId="3" applyFill="1" applyAlignment="1">
      <alignment horizontal="center"/>
    </xf>
    <xf numFmtId="0" fontId="36" fillId="25" borderId="381" xfId="10" applyFont="1" applyFill="1" applyBorder="1" applyAlignment="1">
      <alignment horizontal="left" vertical="center"/>
    </xf>
    <xf numFmtId="0" fontId="36" fillId="25" borderId="380" xfId="10" applyFont="1" applyFill="1" applyBorder="1" applyAlignment="1">
      <alignment horizontal="left" vertical="center"/>
    </xf>
    <xf numFmtId="0" fontId="36" fillId="25" borderId="68" xfId="10" applyFont="1" applyFill="1" applyBorder="1" applyAlignment="1">
      <alignment horizontal="left" vertical="center"/>
    </xf>
    <xf numFmtId="0" fontId="36" fillId="25" borderId="69" xfId="10" applyFont="1" applyFill="1" applyBorder="1" applyAlignment="1">
      <alignment horizontal="left" vertical="center"/>
    </xf>
    <xf numFmtId="176" fontId="33" fillId="4" borderId="0" xfId="41" applyNumberFormat="1" applyFont="1" applyFill="1" applyAlignment="1">
      <alignment horizontal="center" vertical="center"/>
    </xf>
    <xf numFmtId="176" fontId="33" fillId="4" borderId="69" xfId="41" applyNumberFormat="1" applyFont="1" applyFill="1" applyBorder="1" applyAlignment="1">
      <alignment horizontal="center" vertical="center"/>
    </xf>
    <xf numFmtId="0" fontId="731" fillId="25" borderId="358" xfId="10" applyFont="1" applyFill="1" applyBorder="1" applyAlignment="1">
      <alignment horizontal="center" vertical="center"/>
    </xf>
    <xf numFmtId="0" fontId="731" fillId="25" borderId="0" xfId="10" applyFont="1" applyFill="1" applyAlignment="1">
      <alignment horizontal="center" vertical="center"/>
    </xf>
    <xf numFmtId="0" fontId="731" fillId="25" borderId="371" xfId="10" applyFont="1" applyFill="1" applyBorder="1" applyAlignment="1">
      <alignment horizontal="center" vertical="center"/>
    </xf>
    <xf numFmtId="0" fontId="405" fillId="6" borderId="370" xfId="10" applyFont="1" applyFill="1" applyBorder="1" applyAlignment="1">
      <alignment horizontal="center" vertical="center"/>
    </xf>
    <xf numFmtId="0" fontId="405" fillId="6" borderId="0" xfId="10" applyFont="1" applyFill="1" applyAlignment="1">
      <alignment horizontal="center" vertical="center"/>
    </xf>
    <xf numFmtId="0" fontId="405" fillId="6" borderId="369" xfId="10" applyFont="1" applyFill="1" applyBorder="1" applyAlignment="1">
      <alignment horizontal="center" vertical="center"/>
    </xf>
    <xf numFmtId="0" fontId="46" fillId="0" borderId="0" xfId="4" applyFont="1" applyAlignment="1">
      <alignment horizontal="right" vertical="center" wrapText="1"/>
    </xf>
    <xf numFmtId="0" fontId="730" fillId="0" borderId="92" xfId="10" applyFont="1" applyBorder="1" applyAlignment="1" applyProtection="1">
      <alignment horizontal="center" vertical="center"/>
      <protection locked="0"/>
    </xf>
    <xf numFmtId="0" fontId="730" fillId="0" borderId="232" xfId="10" applyFont="1" applyBorder="1" applyAlignment="1" applyProtection="1">
      <alignment horizontal="center" vertical="center"/>
      <protection locked="0"/>
    </xf>
    <xf numFmtId="0" fontId="409" fillId="0" borderId="232" xfId="10" applyFont="1" applyBorder="1" applyAlignment="1" applyProtection="1">
      <alignment horizontal="center" vertical="center" wrapText="1"/>
      <protection locked="0"/>
    </xf>
    <xf numFmtId="0" fontId="27" fillId="4" borderId="118" xfId="10" applyFont="1" applyFill="1" applyBorder="1" applyAlignment="1" applyProtection="1">
      <alignment horizontal="center" vertical="center"/>
      <protection locked="0"/>
    </xf>
    <xf numFmtId="0" fontId="27" fillId="4" borderId="345" xfId="10" applyFont="1" applyFill="1" applyBorder="1" applyAlignment="1" applyProtection="1">
      <alignment horizontal="center" vertical="center"/>
      <protection locked="0"/>
    </xf>
    <xf numFmtId="0" fontId="89" fillId="33" borderId="39" xfId="10" applyFont="1" applyFill="1" applyBorder="1" applyAlignment="1" applyProtection="1">
      <alignment horizontal="center" vertical="center" wrapText="1"/>
      <protection locked="0"/>
    </xf>
    <xf numFmtId="0" fontId="89" fillId="33" borderId="189" xfId="10" applyFont="1" applyFill="1" applyBorder="1" applyAlignment="1" applyProtection="1">
      <alignment horizontal="center" vertical="center" wrapText="1"/>
      <protection locked="0"/>
    </xf>
    <xf numFmtId="0" fontId="89" fillId="33" borderId="189" xfId="10" applyFont="1" applyFill="1" applyBorder="1" applyAlignment="1" applyProtection="1">
      <alignment horizontal="left" vertical="center"/>
      <protection locked="0"/>
    </xf>
    <xf numFmtId="0" fontId="18" fillId="4" borderId="189" xfId="10" applyFont="1" applyFill="1" applyBorder="1" applyAlignment="1" applyProtection="1">
      <alignment horizontal="left" vertical="center"/>
      <protection locked="0"/>
    </xf>
    <xf numFmtId="0" fontId="405" fillId="6" borderId="363" xfId="10" applyFont="1" applyFill="1" applyBorder="1" applyAlignment="1">
      <alignment horizontal="center" vertical="center"/>
    </xf>
    <xf numFmtId="0" fontId="405" fillId="6" borderId="189" xfId="10" applyFont="1" applyFill="1" applyBorder="1" applyAlignment="1">
      <alignment horizontal="center" vertical="center"/>
    </xf>
    <xf numFmtId="0" fontId="405" fillId="6" borderId="190" xfId="10" applyFont="1" applyFill="1" applyBorder="1" applyAlignment="1">
      <alignment horizontal="center" vertical="center"/>
    </xf>
    <xf numFmtId="0" fontId="730" fillId="0" borderId="119" xfId="10" applyFont="1" applyBorder="1" applyAlignment="1" applyProtection="1">
      <alignment horizontal="center" vertical="center"/>
      <protection locked="0"/>
    </xf>
    <xf numFmtId="0" fontId="730" fillId="0" borderId="345" xfId="10" applyFont="1" applyBorder="1" applyAlignment="1" applyProtection="1">
      <alignment horizontal="center" vertical="center"/>
      <protection locked="0"/>
    </xf>
    <xf numFmtId="0" fontId="730" fillId="0" borderId="112" xfId="10" applyFont="1" applyBorder="1" applyAlignment="1" applyProtection="1">
      <alignment horizontal="center" vertical="center"/>
      <protection locked="0"/>
    </xf>
    <xf numFmtId="0" fontId="729" fillId="0" borderId="232" xfId="10" applyFont="1" applyBorder="1" applyAlignment="1" applyProtection="1">
      <alignment horizontal="center" vertical="center" wrapText="1"/>
      <protection locked="0"/>
    </xf>
    <xf numFmtId="0" fontId="6" fillId="0" borderId="88" xfId="10" applyFont="1" applyBorder="1" applyAlignment="1" applyProtection="1">
      <alignment horizontal="center" vertical="center" wrapText="1"/>
      <protection locked="0"/>
    </xf>
    <xf numFmtId="0" fontId="6" fillId="0" borderId="360" xfId="10" applyFont="1" applyBorder="1" applyAlignment="1" applyProtection="1">
      <alignment horizontal="center" vertical="center" wrapText="1"/>
      <protection locked="0"/>
    </xf>
    <xf numFmtId="0" fontId="27" fillId="0" borderId="359" xfId="10" applyFont="1" applyBorder="1" applyAlignment="1" applyProtection="1">
      <alignment horizontal="center" vertical="center"/>
      <protection locked="0"/>
    </xf>
    <xf numFmtId="0" fontId="27" fillId="0" borderId="88" xfId="10" applyFont="1" applyBorder="1" applyAlignment="1" applyProtection="1">
      <alignment horizontal="center" vertical="center"/>
      <protection locked="0"/>
    </xf>
    <xf numFmtId="0" fontId="517" fillId="33" borderId="352" xfId="10" applyFont="1" applyFill="1" applyBorder="1" applyAlignment="1" applyProtection="1">
      <alignment horizontal="center" vertical="center"/>
      <protection locked="0"/>
    </xf>
    <xf numFmtId="0" fontId="517" fillId="33" borderId="189" xfId="10" applyFont="1" applyFill="1" applyBorder="1" applyAlignment="1" applyProtection="1">
      <alignment horizontal="center" vertical="center"/>
      <protection locked="0"/>
    </xf>
    <xf numFmtId="165" fontId="18" fillId="4" borderId="363" xfId="10" applyNumberFormat="1" applyFont="1" applyFill="1" applyBorder="1" applyAlignment="1" applyProtection="1">
      <alignment horizontal="center" vertical="center"/>
      <protection locked="0"/>
    </xf>
    <xf numFmtId="165" fontId="18" fillId="4" borderId="353" xfId="10" applyNumberFormat="1" applyFont="1" applyFill="1" applyBorder="1" applyAlignment="1" applyProtection="1">
      <alignment horizontal="center" vertical="center"/>
      <protection locked="0"/>
    </xf>
    <xf numFmtId="0" fontId="726" fillId="20" borderId="0" xfId="41" applyFont="1" applyFill="1" applyAlignment="1">
      <alignment horizontal="center" vertical="center"/>
    </xf>
    <xf numFmtId="0" fontId="409" fillId="107" borderId="8" xfId="41" applyFont="1" applyFill="1" applyBorder="1" applyAlignment="1">
      <alignment horizontal="center" vertical="center"/>
    </xf>
    <xf numFmtId="0" fontId="409" fillId="107" borderId="13" xfId="41" applyFont="1" applyFill="1" applyBorder="1" applyAlignment="1">
      <alignment horizontal="center" vertical="center"/>
    </xf>
    <xf numFmtId="14" fontId="1" fillId="0" borderId="9" xfId="41" applyNumberFormat="1" applyBorder="1" applyAlignment="1">
      <alignment horizontal="center" vertical="center"/>
    </xf>
    <xf numFmtId="14" fontId="1" fillId="0" borderId="0" xfId="41" applyNumberFormat="1" applyAlignment="1">
      <alignment horizontal="center" vertical="center"/>
    </xf>
    <xf numFmtId="0" fontId="284" fillId="22" borderId="9" xfId="41" applyFont="1" applyFill="1" applyBorder="1" applyAlignment="1">
      <alignment horizontal="center" vertical="center"/>
    </xf>
    <xf numFmtId="0" fontId="284" fillId="22" borderId="0" xfId="41" applyFont="1" applyFill="1" applyAlignment="1">
      <alignment horizontal="center" vertical="center"/>
    </xf>
    <xf numFmtId="0" fontId="409" fillId="107" borderId="9" xfId="41" applyFont="1" applyFill="1" applyBorder="1" applyAlignment="1">
      <alignment horizontal="center" vertical="center"/>
    </xf>
    <xf numFmtId="0" fontId="409" fillId="107" borderId="0" xfId="41" applyFont="1" applyFill="1" applyAlignment="1">
      <alignment horizontal="center" vertical="center"/>
    </xf>
    <xf numFmtId="0" fontId="266" fillId="6" borderId="9" xfId="41" applyFont="1" applyFill="1" applyBorder="1" applyAlignment="1">
      <alignment horizontal="center" vertical="center"/>
    </xf>
    <xf numFmtId="0" fontId="266" fillId="6" borderId="0" xfId="41" applyFont="1" applyFill="1" applyAlignment="1">
      <alignment horizontal="center" vertical="center"/>
    </xf>
    <xf numFmtId="0" fontId="266" fillId="6" borderId="7" xfId="41" applyFont="1" applyFill="1" applyBorder="1" applyAlignment="1">
      <alignment horizontal="center" vertical="center"/>
    </xf>
    <xf numFmtId="0" fontId="266" fillId="6" borderId="12" xfId="41" applyFont="1" applyFill="1" applyBorder="1" applyAlignment="1">
      <alignment horizontal="center" vertical="center"/>
    </xf>
    <xf numFmtId="0" fontId="254" fillId="7" borderId="13" xfId="41" applyFont="1" applyFill="1" applyBorder="1" applyAlignment="1">
      <alignment horizontal="center" vertical="center" wrapText="1"/>
    </xf>
    <xf numFmtId="0" fontId="254" fillId="7" borderId="0" xfId="41" applyFont="1" applyFill="1" applyAlignment="1">
      <alignment horizontal="center" vertical="center" wrapText="1"/>
    </xf>
    <xf numFmtId="0" fontId="254" fillId="7" borderId="12" xfId="41" applyFont="1" applyFill="1" applyBorder="1" applyAlignment="1">
      <alignment horizontal="center" vertical="center" wrapText="1"/>
    </xf>
    <xf numFmtId="0" fontId="254" fillId="7" borderId="354" xfId="41" applyFont="1" applyFill="1" applyBorder="1" applyAlignment="1">
      <alignment horizontal="center" vertical="center" wrapText="1"/>
    </xf>
    <xf numFmtId="0" fontId="254" fillId="7" borderId="341" xfId="41" applyFont="1" applyFill="1" applyBorder="1" applyAlignment="1">
      <alignment horizontal="center" vertical="center" wrapText="1"/>
    </xf>
    <xf numFmtId="0" fontId="254" fillId="7" borderId="340" xfId="41" applyFont="1" applyFill="1" applyBorder="1" applyAlignment="1">
      <alignment horizontal="center" vertical="center" wrapText="1"/>
    </xf>
    <xf numFmtId="0" fontId="64" fillId="4" borderId="0" xfId="41" applyFont="1" applyFill="1" applyAlignment="1">
      <alignment horizontal="center" vertical="center"/>
    </xf>
    <xf numFmtId="0" fontId="284" fillId="22" borderId="350" xfId="41" applyFont="1" applyFill="1" applyBorder="1" applyAlignment="1">
      <alignment horizontal="center" vertical="center"/>
    </xf>
    <xf numFmtId="0" fontId="284" fillId="22" borderId="88" xfId="41" applyFont="1" applyFill="1" applyBorder="1" applyAlignment="1">
      <alignment horizontal="center" vertical="center"/>
    </xf>
    <xf numFmtId="0" fontId="284" fillId="22" borderId="351" xfId="41" applyFont="1" applyFill="1" applyBorder="1" applyAlignment="1">
      <alignment horizontal="center" vertical="center"/>
    </xf>
    <xf numFmtId="0" fontId="284" fillId="22" borderId="13" xfId="41" applyFont="1" applyFill="1" applyBorder="1" applyAlignment="1">
      <alignment horizontal="center" vertical="center"/>
    </xf>
    <xf numFmtId="0" fontId="284" fillId="22" borderId="12" xfId="41" applyFont="1" applyFill="1" applyBorder="1" applyAlignment="1">
      <alignment horizontal="center" vertical="center"/>
    </xf>
    <xf numFmtId="0" fontId="697" fillId="6" borderId="93" xfId="41" applyFont="1" applyFill="1" applyBorder="1" applyAlignment="1">
      <alignment horizontal="center" vertical="center" wrapText="1"/>
    </xf>
    <xf numFmtId="0" fontId="697" fillId="6" borderId="13" xfId="41" applyFont="1" applyFill="1" applyBorder="1" applyAlignment="1">
      <alignment horizontal="center" vertical="center" wrapText="1"/>
    </xf>
    <xf numFmtId="0" fontId="697" fillId="6" borderId="354" xfId="41" applyFont="1" applyFill="1" applyBorder="1" applyAlignment="1">
      <alignment horizontal="center" vertical="center" wrapText="1"/>
    </xf>
    <xf numFmtId="0" fontId="88" fillId="0" borderId="345" xfId="41" applyFont="1" applyBorder="1" applyAlignment="1">
      <alignment horizontal="center" vertical="center" textRotation="90"/>
    </xf>
    <xf numFmtId="0" fontId="88" fillId="0" borderId="0" xfId="41" applyFont="1" applyAlignment="1">
      <alignment horizontal="center" vertical="center" textRotation="90"/>
    </xf>
    <xf numFmtId="0" fontId="88" fillId="6" borderId="345" xfId="41" applyFont="1" applyFill="1" applyBorder="1" applyAlignment="1">
      <alignment horizontal="center" vertical="center" wrapText="1"/>
    </xf>
    <xf numFmtId="0" fontId="88" fillId="6" borderId="0" xfId="41" applyFont="1" applyFill="1" applyAlignment="1">
      <alignment horizontal="center" vertical="center" wrapText="1"/>
    </xf>
    <xf numFmtId="0" fontId="419" fillId="6" borderId="345" xfId="41" applyFont="1" applyFill="1" applyBorder="1" applyAlignment="1">
      <alignment horizontal="center" vertical="center" wrapText="1"/>
    </xf>
    <xf numFmtId="0" fontId="419" fillId="6" borderId="0" xfId="41" applyFont="1" applyFill="1" applyAlignment="1">
      <alignment horizontal="center" vertical="center" wrapText="1"/>
    </xf>
    <xf numFmtId="0" fontId="420" fillId="6" borderId="345" xfId="41" applyFont="1" applyFill="1" applyBorder="1" applyAlignment="1">
      <alignment horizontal="center" vertical="center" wrapText="1"/>
    </xf>
    <xf numFmtId="0" fontId="420" fillId="6" borderId="0" xfId="41" applyFont="1" applyFill="1" applyAlignment="1">
      <alignment horizontal="center" vertical="center" wrapText="1"/>
    </xf>
    <xf numFmtId="0" fontId="697" fillId="6" borderId="345" xfId="41" applyFont="1" applyFill="1" applyBorder="1" applyAlignment="1">
      <alignment horizontal="center" vertical="center" wrapText="1"/>
    </xf>
    <xf numFmtId="0" fontId="697" fillId="6" borderId="0" xfId="41" applyFont="1" applyFill="1" applyAlignment="1">
      <alignment horizontal="center" vertical="center" wrapText="1"/>
    </xf>
    <xf numFmtId="0" fontId="1" fillId="0" borderId="0" xfId="41" applyAlignment="1">
      <alignment horizontal="center" vertical="center" wrapText="1"/>
    </xf>
    <xf numFmtId="0" fontId="1" fillId="0" borderId="12" xfId="41" applyBorder="1" applyAlignment="1">
      <alignment horizontal="center" vertical="center" wrapText="1"/>
    </xf>
    <xf numFmtId="0" fontId="718" fillId="0" borderId="358" xfId="10" applyFont="1" applyBorder="1" applyAlignment="1" applyProtection="1">
      <alignment horizontal="center" vertical="center" wrapText="1"/>
      <protection locked="0"/>
    </xf>
    <xf numFmtId="0" fontId="718" fillId="0" borderId="342" xfId="10" applyFont="1" applyBorder="1" applyAlignment="1" applyProtection="1">
      <alignment horizontal="center" vertical="center" wrapText="1"/>
      <protection locked="0"/>
    </xf>
    <xf numFmtId="0" fontId="88" fillId="0" borderId="165" xfId="41" applyFont="1" applyBorder="1" applyAlignment="1">
      <alignment horizontal="center" vertical="center" wrapText="1"/>
    </xf>
    <xf numFmtId="0" fontId="88" fillId="0" borderId="357" xfId="41" applyFont="1" applyBorder="1" applyAlignment="1">
      <alignment horizontal="center" vertical="center" wrapText="1"/>
    </xf>
    <xf numFmtId="0" fontId="17" fillId="0" borderId="0" xfId="41" applyFont="1" applyAlignment="1">
      <alignment horizontal="center" vertical="top" wrapText="1"/>
    </xf>
    <xf numFmtId="0" fontId="17" fillId="0" borderId="12" xfId="41" applyFont="1" applyBorder="1" applyAlignment="1">
      <alignment horizontal="center" vertical="top" wrapText="1"/>
    </xf>
    <xf numFmtId="0" fontId="154" fillId="3" borderId="93" xfId="41" applyFont="1" applyFill="1" applyBorder="1" applyAlignment="1">
      <alignment horizontal="center" vertical="center"/>
    </xf>
    <xf numFmtId="0" fontId="154" fillId="3" borderId="345" xfId="41" applyFont="1" applyFill="1" applyBorder="1" applyAlignment="1">
      <alignment horizontal="center" vertical="center"/>
    </xf>
    <xf numFmtId="0" fontId="154" fillId="3" borderId="344" xfId="41" applyFont="1" applyFill="1" applyBorder="1" applyAlignment="1">
      <alignment horizontal="center" vertical="center"/>
    </xf>
    <xf numFmtId="0" fontId="717" fillId="3" borderId="13" xfId="41" applyFont="1" applyFill="1" applyBorder="1" applyAlignment="1">
      <alignment horizontal="center" vertical="center"/>
    </xf>
    <xf numFmtId="0" fontId="717" fillId="3" borderId="91" xfId="41" applyFont="1" applyFill="1" applyBorder="1" applyAlignment="1">
      <alignment horizontal="center" vertical="center"/>
    </xf>
    <xf numFmtId="1" fontId="468" fillId="3" borderId="0" xfId="41" applyNumberFormat="1" applyFont="1" applyFill="1" applyAlignment="1">
      <alignment horizontal="center" vertical="center"/>
    </xf>
    <xf numFmtId="1" fontId="468" fillId="3" borderId="189" xfId="41" applyNumberFormat="1" applyFont="1" applyFill="1" applyBorder="1" applyAlignment="1">
      <alignment horizontal="center" vertical="center"/>
    </xf>
    <xf numFmtId="2" fontId="409" fillId="3" borderId="0" xfId="41" applyNumberFormat="1" applyFont="1" applyFill="1" applyAlignment="1">
      <alignment horizontal="right" vertical="center"/>
    </xf>
    <xf numFmtId="2" fontId="409" fillId="3" borderId="189" xfId="41" applyNumberFormat="1" applyFont="1" applyFill="1" applyBorder="1" applyAlignment="1">
      <alignment horizontal="right" vertical="center"/>
    </xf>
    <xf numFmtId="2" fontId="409" fillId="3" borderId="0" xfId="41" applyNumberFormat="1" applyFont="1" applyFill="1" applyAlignment="1">
      <alignment horizontal="left" vertical="center"/>
    </xf>
    <xf numFmtId="2" fontId="409" fillId="3" borderId="189" xfId="41" applyNumberFormat="1" applyFont="1" applyFill="1" applyBorder="1" applyAlignment="1">
      <alignment horizontal="left" vertical="center"/>
    </xf>
    <xf numFmtId="174" fontId="468" fillId="3" borderId="0" xfId="41" applyNumberFormat="1" applyFont="1" applyFill="1" applyAlignment="1">
      <alignment horizontal="right" vertical="center"/>
    </xf>
    <xf numFmtId="174" fontId="468" fillId="3" borderId="0" xfId="41" applyNumberFormat="1" applyFont="1" applyFill="1" applyAlignment="1">
      <alignment horizontal="left" vertical="center"/>
    </xf>
    <xf numFmtId="205" fontId="468" fillId="3" borderId="0" xfId="10" applyNumberFormat="1" applyFont="1" applyFill="1" applyAlignment="1" applyProtection="1">
      <alignment horizontal="center" vertical="center"/>
      <protection locked="0"/>
    </xf>
    <xf numFmtId="176" fontId="468" fillId="3" borderId="0" xfId="41" applyNumberFormat="1" applyFont="1" applyFill="1" applyAlignment="1">
      <alignment horizontal="center" vertical="center"/>
    </xf>
    <xf numFmtId="1" fontId="6" fillId="3" borderId="12" xfId="10" applyNumberFormat="1" applyFont="1" applyFill="1" applyBorder="1" applyAlignment="1" applyProtection="1">
      <alignment horizontal="center" vertical="center"/>
      <protection locked="0"/>
    </xf>
    <xf numFmtId="1" fontId="697" fillId="3" borderId="0" xfId="10" applyNumberFormat="1" applyFont="1" applyFill="1" applyAlignment="1" applyProtection="1">
      <alignment horizontal="left" vertical="center"/>
      <protection locked="0"/>
    </xf>
    <xf numFmtId="0" fontId="719" fillId="0" borderId="49" xfId="10" applyFont="1" applyBorder="1" applyAlignment="1" applyProtection="1">
      <alignment horizontal="center" vertical="center" wrapText="1"/>
      <protection locked="0"/>
    </xf>
    <xf numFmtId="0" fontId="719" fillId="0" borderId="0" xfId="10" applyFont="1" applyAlignment="1" applyProtection="1">
      <alignment horizontal="center" vertical="center" wrapText="1"/>
      <protection locked="0"/>
    </xf>
    <xf numFmtId="0" fontId="719" fillId="0" borderId="171" xfId="10" applyFont="1" applyBorder="1" applyAlignment="1" applyProtection="1">
      <alignment horizontal="center" vertical="center" wrapText="1"/>
      <protection locked="0"/>
    </xf>
    <xf numFmtId="0" fontId="719" fillId="0" borderId="341" xfId="10" applyFont="1" applyBorder="1" applyAlignment="1" applyProtection="1">
      <alignment horizontal="center" vertical="center" wrapText="1"/>
      <protection locked="0"/>
    </xf>
    <xf numFmtId="0" fontId="472" fillId="0" borderId="360" xfId="41" applyFont="1" applyBorder="1" applyAlignment="1">
      <alignment horizontal="center" vertical="center" wrapText="1"/>
    </xf>
    <xf numFmtId="0" fontId="472" fillId="0" borderId="165" xfId="41" applyFont="1" applyBorder="1" applyAlignment="1">
      <alignment horizontal="center" vertical="center" wrapText="1"/>
    </xf>
    <xf numFmtId="0" fontId="472" fillId="0" borderId="357" xfId="41" applyFont="1" applyBorder="1" applyAlignment="1">
      <alignment horizontal="center" vertical="center" wrapText="1"/>
    </xf>
    <xf numFmtId="0" fontId="719" fillId="0" borderId="359" xfId="10" applyFont="1" applyBorder="1" applyAlignment="1" applyProtection="1">
      <alignment horizontal="center" vertical="center" wrapText="1"/>
      <protection locked="0"/>
    </xf>
    <xf numFmtId="0" fontId="719" fillId="0" borderId="88" xfId="10" applyFont="1" applyBorder="1" applyAlignment="1" applyProtection="1">
      <alignment horizontal="center" vertical="center" wrapText="1"/>
      <protection locked="0"/>
    </xf>
    <xf numFmtId="0" fontId="718" fillId="0" borderId="361" xfId="10" applyFont="1" applyBorder="1" applyAlignment="1" applyProtection="1">
      <alignment horizontal="center" vertical="center" wrapText="1"/>
      <protection locked="0"/>
    </xf>
    <xf numFmtId="0" fontId="88" fillId="0" borderId="360" xfId="41" applyFont="1" applyBorder="1" applyAlignment="1">
      <alignment horizontal="center" vertical="center" wrapText="1"/>
    </xf>
    <xf numFmtId="0" fontId="719" fillId="0" borderId="351" xfId="10" applyFont="1" applyBorder="1" applyAlignment="1" applyProtection="1">
      <alignment horizontal="center" vertical="center" wrapText="1"/>
      <protection locked="0"/>
    </xf>
    <xf numFmtId="0" fontId="719" fillId="0" borderId="12" xfId="10" applyFont="1" applyBorder="1" applyAlignment="1" applyProtection="1">
      <alignment horizontal="center" vertical="center" wrapText="1"/>
      <protection locked="0"/>
    </xf>
    <xf numFmtId="0" fontId="719" fillId="0" borderId="340" xfId="10" applyFont="1" applyBorder="1" applyAlignment="1" applyProtection="1">
      <alignment horizontal="center" vertical="center" wrapText="1"/>
      <protection locked="0"/>
    </xf>
    <xf numFmtId="0" fontId="724" fillId="0" borderId="13" xfId="41" applyFont="1" applyBorder="1" applyAlignment="1">
      <alignment horizontal="center" vertical="center" wrapText="1"/>
    </xf>
    <xf numFmtId="0" fontId="88" fillId="0" borderId="0" xfId="41" applyFont="1" applyAlignment="1">
      <alignment horizontal="center" vertical="center" textRotation="45"/>
    </xf>
    <xf numFmtId="0" fontId="88" fillId="0" borderId="341" xfId="41" applyFont="1" applyBorder="1" applyAlignment="1">
      <alignment horizontal="center" vertical="center" textRotation="45"/>
    </xf>
    <xf numFmtId="206" fontId="88" fillId="0" borderId="0" xfId="41" applyNumberFormat="1" applyFont="1" applyAlignment="1">
      <alignment horizontal="center" vertical="center" wrapText="1"/>
    </xf>
    <xf numFmtId="206" fontId="88" fillId="0" borderId="341" xfId="41" applyNumberFormat="1" applyFont="1" applyBorder="1" applyAlignment="1">
      <alignment horizontal="center" vertical="center" wrapText="1"/>
    </xf>
    <xf numFmtId="0" fontId="718" fillId="0" borderId="0" xfId="10" applyFont="1" applyAlignment="1" applyProtection="1">
      <alignment horizontal="center" vertical="center" wrapText="1"/>
      <protection locked="0"/>
    </xf>
    <xf numFmtId="0" fontId="718" fillId="0" borderId="341" xfId="10" applyFont="1" applyBorder="1" applyAlignment="1" applyProtection="1">
      <alignment horizontal="center" vertical="center" wrapText="1"/>
      <protection locked="0"/>
    </xf>
    <xf numFmtId="0" fontId="88" fillId="0" borderId="0" xfId="10" applyAlignment="1" applyProtection="1">
      <alignment horizontal="center" vertical="center" wrapText="1"/>
      <protection locked="0"/>
    </xf>
    <xf numFmtId="0" fontId="88" fillId="0" borderId="341" xfId="10" applyBorder="1" applyAlignment="1" applyProtection="1">
      <alignment horizontal="center" vertical="center" wrapText="1"/>
      <protection locked="0"/>
    </xf>
    <xf numFmtId="0" fontId="251" fillId="22" borderId="93" xfId="41" applyFont="1" applyFill="1" applyBorder="1" applyAlignment="1">
      <alignment horizontal="center" vertical="center" wrapText="1"/>
    </xf>
    <xf numFmtId="0" fontId="251" fillId="22" borderId="345" xfId="41" applyFont="1" applyFill="1" applyBorder="1" applyAlignment="1">
      <alignment horizontal="center" vertical="center" wrapText="1"/>
    </xf>
    <xf numFmtId="0" fontId="251" fillId="22" borderId="354" xfId="41" applyFont="1" applyFill="1" applyBorder="1" applyAlignment="1">
      <alignment horizontal="center" vertical="center" wrapText="1"/>
    </xf>
    <xf numFmtId="0" fontId="251" fillId="22" borderId="341" xfId="41" applyFont="1" applyFill="1" applyBorder="1" applyAlignment="1">
      <alignment horizontal="center" vertical="center" wrapText="1"/>
    </xf>
    <xf numFmtId="0" fontId="711" fillId="6" borderId="345" xfId="41" applyFont="1" applyFill="1" applyBorder="1" applyAlignment="1">
      <alignment horizontal="right" vertical="center" wrapText="1"/>
    </xf>
    <xf numFmtId="0" fontId="711" fillId="6" borderId="341" xfId="41" applyFont="1" applyFill="1" applyBorder="1" applyAlignment="1">
      <alignment horizontal="right" vertical="center" wrapText="1"/>
    </xf>
    <xf numFmtId="165" fontId="460" fillId="25" borderId="345" xfId="41" applyNumberFormat="1" applyFont="1" applyFill="1" applyBorder="1" applyAlignment="1">
      <alignment horizontal="center" vertical="center" wrapText="1"/>
    </xf>
    <xf numFmtId="165" fontId="460" fillId="25" borderId="341" xfId="41" applyNumberFormat="1" applyFont="1" applyFill="1" applyBorder="1" applyAlignment="1">
      <alignment horizontal="center" vertical="center" wrapText="1"/>
    </xf>
    <xf numFmtId="0" fontId="88" fillId="0" borderId="88" xfId="10" applyBorder="1" applyAlignment="1" applyProtection="1">
      <alignment horizontal="center" vertical="center" wrapText="1"/>
      <protection locked="0"/>
    </xf>
    <xf numFmtId="0" fontId="722" fillId="6" borderId="345" xfId="41" applyFont="1" applyFill="1" applyBorder="1" applyAlignment="1">
      <alignment horizontal="center" vertical="center" wrapText="1"/>
    </xf>
    <xf numFmtId="0" fontId="722" fillId="6" borderId="341" xfId="41" applyFont="1" applyFill="1" applyBorder="1" applyAlignment="1">
      <alignment horizontal="center" vertical="center" wrapText="1"/>
    </xf>
    <xf numFmtId="0" fontId="697" fillId="6" borderId="112" xfId="41" applyFont="1" applyFill="1" applyBorder="1" applyAlignment="1">
      <alignment horizontal="center" vertical="center" wrapText="1"/>
    </xf>
    <xf numFmtId="0" fontId="697" fillId="6" borderId="341" xfId="41" applyFont="1" applyFill="1" applyBorder="1" applyAlignment="1">
      <alignment horizontal="center" vertical="center" wrapText="1"/>
    </xf>
    <xf numFmtId="0" fontId="697" fillId="6" borderId="357" xfId="41" applyFont="1" applyFill="1" applyBorder="1" applyAlignment="1">
      <alignment horizontal="center" vertical="center" wrapText="1"/>
    </xf>
    <xf numFmtId="0" fontId="481" fillId="0" borderId="49" xfId="41" applyFont="1" applyBorder="1" applyAlignment="1">
      <alignment horizontal="center" vertical="top" wrapText="1"/>
    </xf>
    <xf numFmtId="0" fontId="481" fillId="0" borderId="0" xfId="41" applyFont="1" applyAlignment="1">
      <alignment horizontal="center" vertical="top" wrapText="1"/>
    </xf>
    <xf numFmtId="0" fontId="481" fillId="0" borderId="12" xfId="41" applyFont="1" applyBorder="1" applyAlignment="1">
      <alignment horizontal="center" vertical="top" wrapText="1"/>
    </xf>
    <xf numFmtId="0" fontId="481" fillId="0" borderId="171" xfId="41" applyFont="1" applyBorder="1" applyAlignment="1">
      <alignment horizontal="center" vertical="top" wrapText="1"/>
    </xf>
    <xf numFmtId="0" fontId="481" fillId="0" borderId="341" xfId="41" applyFont="1" applyBorder="1" applyAlignment="1">
      <alignment horizontal="center" vertical="top" wrapText="1"/>
    </xf>
    <xf numFmtId="0" fontId="481" fillId="0" borderId="340" xfId="41" applyFont="1" applyBorder="1" applyAlignment="1">
      <alignment horizontal="center" vertical="top" wrapText="1"/>
    </xf>
    <xf numFmtId="0" fontId="720" fillId="0" borderId="350" xfId="41" applyFont="1" applyBorder="1" applyAlignment="1">
      <alignment horizontal="center" vertical="center" wrapText="1"/>
    </xf>
    <xf numFmtId="0" fontId="720" fillId="0" borderId="13" xfId="41" applyFont="1" applyBorder="1" applyAlignment="1">
      <alignment horizontal="center" vertical="center" wrapText="1"/>
    </xf>
    <xf numFmtId="0" fontId="720" fillId="0" borderId="354" xfId="41" applyFont="1" applyBorder="1" applyAlignment="1">
      <alignment horizontal="center" vertical="center" wrapText="1"/>
    </xf>
    <xf numFmtId="0" fontId="88" fillId="0" borderId="88" xfId="41" applyFont="1" applyBorder="1" applyAlignment="1">
      <alignment horizontal="center" vertical="center" textRotation="45"/>
    </xf>
    <xf numFmtId="206" fontId="88" fillId="0" borderId="88" xfId="41" applyNumberFormat="1" applyFont="1" applyBorder="1" applyAlignment="1">
      <alignment horizontal="center" vertical="center" wrapText="1"/>
    </xf>
    <xf numFmtId="0" fontId="718" fillId="0" borderId="88" xfId="10" applyFont="1" applyBorder="1" applyAlignment="1" applyProtection="1">
      <alignment horizontal="center" vertical="center" wrapText="1"/>
      <protection locked="0"/>
    </xf>
    <xf numFmtId="165" fontId="6" fillId="0" borderId="27" xfId="41" applyNumberFormat="1" applyFont="1" applyBorder="1" applyAlignment="1">
      <alignment horizontal="center" vertical="center"/>
    </xf>
    <xf numFmtId="165" fontId="6" fillId="0" borderId="339" xfId="41" applyNumberFormat="1" applyFont="1" applyBorder="1" applyAlignment="1">
      <alignment horizontal="center" vertical="center"/>
    </xf>
    <xf numFmtId="165" fontId="409" fillId="0" borderId="217" xfId="41" applyNumberFormat="1" applyFont="1" applyBorder="1" applyAlignment="1">
      <alignment horizontal="center" vertical="center"/>
    </xf>
    <xf numFmtId="0" fontId="717" fillId="3" borderId="93" xfId="41" applyFont="1" applyFill="1" applyBorder="1" applyAlignment="1">
      <alignment horizontal="center" vertical="center"/>
    </xf>
    <xf numFmtId="1" fontId="468" fillId="3" borderId="345" xfId="41" applyNumberFormat="1" applyFont="1" applyFill="1" applyBorder="1" applyAlignment="1">
      <alignment horizontal="center" vertical="center"/>
    </xf>
    <xf numFmtId="174" fontId="468" fillId="3" borderId="345" xfId="41" applyNumberFormat="1" applyFont="1" applyFill="1" applyBorder="1" applyAlignment="1">
      <alignment horizontal="center" vertical="center"/>
    </xf>
    <xf numFmtId="174" fontId="468" fillId="3" borderId="0" xfId="41" applyNumberFormat="1" applyFont="1" applyFill="1" applyAlignment="1">
      <alignment horizontal="center" vertical="center"/>
    </xf>
    <xf numFmtId="205" fontId="468" fillId="3" borderId="345" xfId="10" applyNumberFormat="1" applyFont="1" applyFill="1" applyBorder="1" applyAlignment="1" applyProtection="1">
      <alignment horizontal="center" vertical="center"/>
      <protection locked="0"/>
    </xf>
    <xf numFmtId="176" fontId="468" fillId="3" borderId="345" xfId="41" applyNumberFormat="1" applyFont="1" applyFill="1" applyBorder="1" applyAlignment="1">
      <alignment horizontal="center" vertical="center"/>
    </xf>
    <xf numFmtId="1" fontId="697" fillId="3" borderId="345" xfId="10" applyNumberFormat="1" applyFont="1" applyFill="1" applyBorder="1" applyAlignment="1" applyProtection="1">
      <alignment horizontal="left" vertical="center"/>
      <protection locked="0"/>
    </xf>
    <xf numFmtId="1" fontId="6" fillId="3" borderId="344" xfId="10" applyNumberFormat="1" applyFont="1" applyFill="1" applyBorder="1" applyAlignment="1" applyProtection="1">
      <alignment horizontal="left" vertical="center"/>
      <protection locked="0"/>
    </xf>
    <xf numFmtId="1" fontId="6" fillId="3" borderId="12" xfId="10" applyNumberFormat="1" applyFont="1" applyFill="1" applyBorder="1" applyAlignment="1" applyProtection="1">
      <alignment horizontal="left" vertical="center"/>
      <protection locked="0"/>
    </xf>
    <xf numFmtId="0" fontId="284" fillId="22" borderId="350" xfId="41" applyFont="1" applyFill="1" applyBorder="1" applyAlignment="1">
      <alignment horizontal="center" vertical="center" wrapText="1"/>
    </xf>
    <xf numFmtId="0" fontId="284" fillId="22" borderId="88" xfId="41" applyFont="1" applyFill="1" applyBorder="1" applyAlignment="1">
      <alignment horizontal="center" vertical="center" wrapText="1"/>
    </xf>
    <xf numFmtId="0" fontId="284" fillId="22" borderId="351" xfId="41" applyFont="1" applyFill="1" applyBorder="1" applyAlignment="1">
      <alignment horizontal="center" vertical="center" wrapText="1"/>
    </xf>
    <xf numFmtId="0" fontId="284" fillId="22" borderId="354" xfId="41" applyFont="1" applyFill="1" applyBorder="1" applyAlignment="1">
      <alignment horizontal="center" vertical="center" wrapText="1"/>
    </xf>
    <xf numFmtId="0" fontId="284" fillId="22" borderId="341" xfId="41" applyFont="1" applyFill="1" applyBorder="1" applyAlignment="1">
      <alignment horizontal="center" vertical="center" wrapText="1"/>
    </xf>
    <xf numFmtId="0" fontId="284" fillId="22" borderId="340" xfId="41" applyFont="1" applyFill="1" applyBorder="1" applyAlignment="1">
      <alignment horizontal="center" vertical="center" wrapText="1"/>
    </xf>
    <xf numFmtId="0" fontId="722" fillId="6" borderId="0" xfId="41" applyFont="1" applyFill="1" applyAlignment="1">
      <alignment horizontal="center" vertical="center" wrapText="1"/>
    </xf>
    <xf numFmtId="2" fontId="468" fillId="3" borderId="345" xfId="41" applyNumberFormat="1" applyFont="1" applyFill="1" applyBorder="1" applyAlignment="1">
      <alignment horizontal="center" vertical="center"/>
    </xf>
    <xf numFmtId="165" fontId="468" fillId="3" borderId="345" xfId="41" applyNumberFormat="1" applyFont="1" applyFill="1" applyBorder="1" applyAlignment="1">
      <alignment horizontal="center" vertical="center"/>
    </xf>
    <xf numFmtId="165" fontId="468" fillId="3" borderId="112" xfId="41" applyNumberFormat="1" applyFont="1" applyFill="1" applyBorder="1" applyAlignment="1">
      <alignment horizontal="center" vertical="center"/>
    </xf>
    <xf numFmtId="0" fontId="88" fillId="0" borderId="345" xfId="41" applyFont="1" applyBorder="1" applyAlignment="1">
      <alignment horizontal="center" vertical="center" textRotation="45"/>
    </xf>
    <xf numFmtId="1" fontId="468" fillId="3" borderId="345" xfId="10" applyNumberFormat="1" applyFont="1" applyFill="1" applyBorder="1" applyAlignment="1" applyProtection="1">
      <alignment horizontal="center" vertical="center"/>
      <protection locked="0"/>
    </xf>
    <xf numFmtId="1" fontId="468" fillId="3" borderId="0" xfId="10" applyNumberFormat="1" applyFont="1" applyFill="1" applyAlignment="1" applyProtection="1">
      <alignment horizontal="center" vertical="center"/>
      <protection locked="0"/>
    </xf>
    <xf numFmtId="0" fontId="27" fillId="0" borderId="88" xfId="41" applyFont="1" applyBorder="1" applyAlignment="1">
      <alignment horizontal="center" vertical="center"/>
    </xf>
    <xf numFmtId="0" fontId="27" fillId="0" borderId="19" xfId="41" applyFont="1" applyBorder="1" applyAlignment="1">
      <alignment horizontal="center" vertical="center"/>
    </xf>
    <xf numFmtId="0" fontId="27" fillId="0" borderId="0" xfId="41" applyFont="1" applyAlignment="1">
      <alignment horizontal="center" vertical="center"/>
    </xf>
    <xf numFmtId="0" fontId="27" fillId="0" borderId="12" xfId="41" applyFont="1" applyBorder="1" applyAlignment="1">
      <alignment horizontal="center" vertical="center"/>
    </xf>
    <xf numFmtId="0" fontId="27" fillId="0" borderId="17" xfId="41" applyFont="1" applyBorder="1" applyAlignment="1">
      <alignment horizontal="center" vertical="center" wrapText="1"/>
    </xf>
    <xf numFmtId="0" fontId="27" fillId="0" borderId="88" xfId="41" applyFont="1" applyBorder="1" applyAlignment="1">
      <alignment horizontal="center" vertical="center" wrapText="1"/>
    </xf>
    <xf numFmtId="0" fontId="27" fillId="0" borderId="19" xfId="41" applyFont="1" applyBorder="1" applyAlignment="1">
      <alignment horizontal="center" vertical="center" wrapText="1"/>
    </xf>
    <xf numFmtId="0" fontId="27" fillId="0" borderId="342" xfId="41" applyFont="1" applyBorder="1" applyAlignment="1">
      <alignment horizontal="center" vertical="center" wrapText="1"/>
    </xf>
    <xf numFmtId="0" fontId="27" fillId="0" borderId="341" xfId="41" applyFont="1" applyBorder="1" applyAlignment="1">
      <alignment horizontal="center" vertical="center" wrapText="1"/>
    </xf>
    <xf numFmtId="0" fontId="27" fillId="0" borderId="340" xfId="41" applyFont="1" applyBorder="1" applyAlignment="1">
      <alignment horizontal="center" vertical="center" wrapText="1"/>
    </xf>
    <xf numFmtId="1" fontId="472" fillId="3" borderId="344" xfId="10" applyNumberFormat="1" applyFont="1" applyFill="1" applyBorder="1" applyAlignment="1" applyProtection="1">
      <alignment horizontal="center" vertical="center"/>
      <protection locked="0"/>
    </xf>
    <xf numFmtId="1" fontId="472" fillId="3" borderId="12" xfId="10" applyNumberFormat="1" applyFont="1" applyFill="1" applyBorder="1" applyAlignment="1" applyProtection="1">
      <alignment horizontal="center" vertical="center"/>
      <protection locked="0"/>
    </xf>
    <xf numFmtId="0" fontId="64" fillId="17" borderId="13" xfId="41" applyFont="1" applyFill="1" applyBorder="1" applyAlignment="1">
      <alignment horizontal="center" vertical="center"/>
    </xf>
    <xf numFmtId="0" fontId="64" fillId="17" borderId="0" xfId="41" applyFont="1" applyFill="1" applyAlignment="1">
      <alignment horizontal="center" vertical="center"/>
    </xf>
    <xf numFmtId="0" fontId="64" fillId="17" borderId="12" xfId="41" applyFont="1" applyFill="1" applyBorder="1" applyAlignment="1">
      <alignment horizontal="center" vertical="center"/>
    </xf>
    <xf numFmtId="0" fontId="27" fillId="22" borderId="350" xfId="1" applyFont="1" applyFill="1" applyBorder="1" applyAlignment="1">
      <alignment horizontal="center" vertical="center"/>
    </xf>
    <xf numFmtId="0" fontId="27" fillId="22" borderId="88" xfId="1" applyFont="1" applyFill="1" applyBorder="1" applyAlignment="1">
      <alignment horizontal="center" vertical="center"/>
    </xf>
    <xf numFmtId="0" fontId="48" fillId="6" borderId="43" xfId="5" applyFont="1" applyFill="1" applyBorder="1" applyAlignment="1">
      <alignment horizontal="center" vertical="center"/>
    </xf>
    <xf numFmtId="0" fontId="48" fillId="6" borderId="44" xfId="5" applyFont="1" applyFill="1" applyBorder="1" applyAlignment="1">
      <alignment horizontal="center" vertical="center"/>
    </xf>
    <xf numFmtId="0" fontId="48" fillId="6" borderId="45" xfId="5" applyFont="1" applyFill="1" applyBorder="1" applyAlignment="1">
      <alignment horizontal="center" vertical="center"/>
    </xf>
    <xf numFmtId="0" fontId="405" fillId="107" borderId="27" xfId="41" applyFont="1" applyFill="1" applyBorder="1" applyAlignment="1">
      <alignment horizontal="center" vertical="center"/>
    </xf>
    <xf numFmtId="0" fontId="405" fillId="107" borderId="28" xfId="41" applyFont="1" applyFill="1" applyBorder="1" applyAlignment="1">
      <alignment horizontal="center" vertical="center"/>
    </xf>
    <xf numFmtId="0" fontId="716" fillId="6" borderId="49" xfId="41" applyFont="1" applyFill="1" applyBorder="1" applyAlignment="1">
      <alignment horizontal="center" vertical="center" wrapText="1"/>
    </xf>
    <xf numFmtId="0" fontId="716" fillId="6" borderId="0" xfId="41" applyFont="1" applyFill="1" applyAlignment="1">
      <alignment horizontal="center" vertical="center" wrapText="1"/>
    </xf>
    <xf numFmtId="0" fontId="704" fillId="0" borderId="232" xfId="41" applyFont="1" applyBorder="1" applyAlignment="1">
      <alignment horizontal="center" vertical="center" wrapText="1"/>
    </xf>
    <xf numFmtId="0" fontId="704" fillId="0" borderId="114" xfId="41" applyFont="1" applyBorder="1" applyAlignment="1">
      <alignment horizontal="center" vertical="center" wrapText="1"/>
    </xf>
    <xf numFmtId="0" fontId="704" fillId="0" borderId="123" xfId="41" applyFont="1" applyBorder="1" applyAlignment="1">
      <alignment horizontal="center" vertical="center" wrapText="1"/>
    </xf>
    <xf numFmtId="0" fontId="88" fillId="0" borderId="118" xfId="41" applyFont="1" applyBorder="1" applyAlignment="1">
      <alignment horizontal="center" vertical="center" wrapText="1"/>
    </xf>
    <xf numFmtId="0" fontId="88" fillId="0" borderId="49" xfId="41" applyFont="1" applyBorder="1" applyAlignment="1">
      <alignment horizontal="center" vertical="center" wrapText="1"/>
    </xf>
    <xf numFmtId="0" fontId="88" fillId="0" borderId="352" xfId="41" applyFont="1" applyBorder="1" applyAlignment="1">
      <alignment horizontal="center" vertical="center" wrapText="1"/>
    </xf>
    <xf numFmtId="0" fontId="714" fillId="0" borderId="344" xfId="41" applyFont="1" applyBorder="1" applyAlignment="1">
      <alignment horizontal="center" vertical="center" wrapText="1"/>
    </xf>
    <xf numFmtId="0" fontId="714" fillId="0" borderId="12" xfId="41" applyFont="1" applyBorder="1" applyAlignment="1">
      <alignment horizontal="center" vertical="center" wrapText="1"/>
    </xf>
    <xf numFmtId="0" fontId="714" fillId="0" borderId="41" xfId="41" applyFont="1" applyBorder="1" applyAlignment="1">
      <alignment horizontal="center" vertical="center" wrapText="1"/>
    </xf>
    <xf numFmtId="0" fontId="715" fillId="0" borderId="232" xfId="41" applyFont="1" applyBorder="1" applyAlignment="1">
      <alignment horizontal="center" vertical="center"/>
    </xf>
    <xf numFmtId="0" fontId="715" fillId="0" borderId="114" xfId="41" applyFont="1" applyBorder="1" applyAlignment="1">
      <alignment horizontal="center" vertical="center"/>
    </xf>
    <xf numFmtId="0" fontId="715" fillId="0" borderId="123" xfId="41" applyFont="1" applyBorder="1" applyAlignment="1">
      <alignment horizontal="center" vertical="center"/>
    </xf>
    <xf numFmtId="0" fontId="88" fillId="0" borderId="232" xfId="41" applyFont="1" applyBorder="1" applyAlignment="1">
      <alignment horizontal="center" vertical="center" wrapText="1"/>
    </xf>
    <xf numFmtId="0" fontId="88" fillId="0" borderId="114" xfId="41" applyFont="1" applyBorder="1" applyAlignment="1">
      <alignment horizontal="center" vertical="center" wrapText="1"/>
    </xf>
    <xf numFmtId="0" fontId="88" fillId="0" borderId="123" xfId="41" applyFont="1" applyBorder="1" applyAlignment="1">
      <alignment horizontal="center" vertical="center" wrapText="1"/>
    </xf>
    <xf numFmtId="0" fontId="409" fillId="0" borderId="344" xfId="41" applyFont="1" applyBorder="1" applyAlignment="1">
      <alignment horizontal="center" vertical="center" wrapText="1"/>
    </xf>
    <xf numFmtId="0" fontId="409" fillId="0" borderId="12" xfId="41" applyFont="1" applyBorder="1" applyAlignment="1">
      <alignment horizontal="center" vertical="center" wrapText="1"/>
    </xf>
    <xf numFmtId="0" fontId="409" fillId="0" borderId="41" xfId="41" applyFont="1" applyBorder="1" applyAlignment="1">
      <alignment horizontal="center" vertical="center" wrapText="1"/>
    </xf>
    <xf numFmtId="0" fontId="27" fillId="0" borderId="93" xfId="41" applyFont="1" applyBorder="1" applyAlignment="1">
      <alignment horizontal="right" vertical="center" wrapText="1"/>
    </xf>
    <xf numFmtId="0" fontId="27" fillId="0" borderId="345" xfId="41" applyFont="1" applyBorder="1" applyAlignment="1">
      <alignment horizontal="right" vertical="center" wrapText="1"/>
    </xf>
    <xf numFmtId="0" fontId="27" fillId="0" borderId="112" xfId="41" applyFont="1" applyBorder="1" applyAlignment="1">
      <alignment horizontal="right" vertical="center" wrapText="1"/>
    </xf>
    <xf numFmtId="0" fontId="27" fillId="0" borderId="13" xfId="41" applyFont="1" applyBorder="1" applyAlignment="1">
      <alignment horizontal="right" vertical="center" wrapText="1"/>
    </xf>
    <xf numFmtId="0" fontId="27" fillId="0" borderId="0" xfId="41" applyFont="1" applyAlignment="1">
      <alignment horizontal="right" vertical="center" wrapText="1"/>
    </xf>
    <xf numFmtId="0" fontId="27" fillId="0" borderId="165" xfId="41" applyFont="1" applyBorder="1" applyAlignment="1">
      <alignment horizontal="right" vertical="center" wrapText="1"/>
    </xf>
    <xf numFmtId="0" fontId="27" fillId="0" borderId="91" xfId="41" applyFont="1" applyBorder="1" applyAlignment="1">
      <alignment horizontal="right" vertical="center" wrapText="1"/>
    </xf>
    <xf numFmtId="0" fontId="27" fillId="0" borderId="189" xfId="41" applyFont="1" applyBorder="1" applyAlignment="1">
      <alignment horizontal="right" vertical="center" wrapText="1"/>
    </xf>
    <xf numFmtId="0" fontId="27" fillId="0" borderId="353" xfId="41" applyFont="1" applyBorder="1" applyAlignment="1">
      <alignment horizontal="right" vertical="center" wrapText="1"/>
    </xf>
    <xf numFmtId="0" fontId="46" fillId="4" borderId="0" xfId="4" applyFont="1" applyFill="1" applyAlignment="1">
      <alignment horizontal="right" vertical="center"/>
    </xf>
    <xf numFmtId="0" fontId="18" fillId="4" borderId="0" xfId="1" applyFont="1" applyFill="1" applyAlignment="1" applyProtection="1">
      <alignment horizontal="center" vertical="center"/>
      <protection hidden="1"/>
    </xf>
    <xf numFmtId="0" fontId="18" fillId="4" borderId="0" xfId="1" applyFont="1" applyFill="1" applyAlignment="1" applyProtection="1">
      <alignment horizontal="left" vertical="center" wrapText="1"/>
      <protection hidden="1"/>
    </xf>
    <xf numFmtId="0" fontId="18" fillId="4" borderId="0" xfId="1" applyFont="1" applyFill="1" applyAlignment="1" applyProtection="1">
      <alignment horizontal="center" vertical="center" wrapText="1"/>
      <protection hidden="1"/>
    </xf>
    <xf numFmtId="0" fontId="331" fillId="4" borderId="0" xfId="1" applyFont="1" applyFill="1" applyAlignment="1" applyProtection="1">
      <alignment horizontal="center" vertical="center" wrapText="1"/>
      <protection hidden="1"/>
    </xf>
    <xf numFmtId="0" fontId="33" fillId="4" borderId="0" xfId="1" applyFont="1" applyFill="1" applyAlignment="1" applyProtection="1">
      <alignment horizontal="center" vertical="center" wrapText="1"/>
      <protection hidden="1"/>
    </xf>
    <xf numFmtId="0" fontId="507" fillId="4" borderId="0" xfId="1" applyFont="1" applyFill="1" applyAlignment="1" applyProtection="1">
      <alignment horizontal="center" vertical="center"/>
      <protection hidden="1"/>
    </xf>
    <xf numFmtId="0" fontId="87" fillId="0" borderId="0" xfId="9" applyFont="1" applyBorder="1" applyAlignment="1">
      <alignment horizontal="center" vertical="center" wrapText="1"/>
    </xf>
    <xf numFmtId="0" fontId="21" fillId="0" borderId="292" xfId="1" applyFont="1" applyBorder="1" applyAlignment="1">
      <alignment horizontal="center" vertical="center"/>
    </xf>
    <xf numFmtId="0" fontId="18" fillId="0" borderId="292" xfId="1" applyFont="1" applyBorder="1" applyAlignment="1">
      <alignment horizontal="center" vertical="center" wrapText="1"/>
    </xf>
    <xf numFmtId="0" fontId="21" fillId="9" borderId="291" xfId="1" applyFont="1" applyFill="1" applyBorder="1" applyAlignment="1">
      <alignment horizontal="center" vertical="center" wrapText="1"/>
    </xf>
    <xf numFmtId="0" fontId="21" fillId="9" borderId="290" xfId="1" applyFont="1" applyFill="1" applyBorder="1" applyAlignment="1">
      <alignment horizontal="center" vertical="center" wrapText="1"/>
    </xf>
    <xf numFmtId="0" fontId="21" fillId="9" borderId="167" xfId="1" applyFont="1" applyFill="1" applyBorder="1" applyAlignment="1">
      <alignment horizontal="center" vertical="center" wrapText="1"/>
    </xf>
    <xf numFmtId="0" fontId="382" fillId="17" borderId="0" xfId="1" applyFont="1" applyFill="1" applyAlignment="1">
      <alignment horizontal="center" vertical="center"/>
    </xf>
    <xf numFmtId="0" fontId="104" fillId="4" borderId="0" xfId="1" applyFont="1" applyFill="1" applyAlignment="1" applyProtection="1">
      <alignment horizontal="center" vertical="center"/>
      <protection hidden="1"/>
    </xf>
    <xf numFmtId="0" fontId="104" fillId="4" borderId="0" xfId="1" applyFont="1" applyFill="1" applyAlignment="1" applyProtection="1">
      <alignment horizontal="center" vertical="center" wrapText="1"/>
      <protection hidden="1"/>
    </xf>
    <xf numFmtId="0" fontId="44" fillId="99" borderId="0" xfId="1" applyFont="1" applyFill="1" applyAlignment="1">
      <alignment horizontal="center" vertical="center" wrapText="1"/>
    </xf>
    <xf numFmtId="0" fontId="44" fillId="99" borderId="165" xfId="1" applyFont="1" applyFill="1" applyBorder="1" applyAlignment="1">
      <alignment horizontal="center" vertical="center" wrapText="1"/>
    </xf>
    <xf numFmtId="0" fontId="44" fillId="99" borderId="10" xfId="1" applyFont="1" applyFill="1" applyBorder="1" applyAlignment="1">
      <alignment horizontal="center" vertical="center" wrapText="1"/>
    </xf>
    <xf numFmtId="0" fontId="44" fillId="80" borderId="0" xfId="1" applyFont="1" applyFill="1" applyAlignment="1">
      <alignment horizontal="center" vertical="center" wrapText="1"/>
    </xf>
    <xf numFmtId="0" fontId="44" fillId="80" borderId="165" xfId="1" applyFont="1" applyFill="1" applyBorder="1" applyAlignment="1">
      <alignment horizontal="center" vertical="center" wrapText="1"/>
    </xf>
    <xf numFmtId="0" fontId="12" fillId="68" borderId="0" xfId="1" applyFont="1" applyFill="1" applyAlignment="1">
      <alignment horizontal="center" vertical="center" wrapText="1"/>
    </xf>
    <xf numFmtId="0" fontId="12" fillId="68" borderId="165" xfId="1" applyFont="1" applyFill="1" applyBorder="1" applyAlignment="1">
      <alignment horizontal="center" vertical="center" wrapText="1"/>
    </xf>
    <xf numFmtId="0" fontId="12" fillId="68" borderId="10" xfId="1" applyFont="1" applyFill="1" applyBorder="1" applyAlignment="1">
      <alignment horizontal="center" vertical="center" wrapText="1"/>
    </xf>
    <xf numFmtId="0" fontId="44" fillId="121" borderId="0" xfId="1" applyFont="1" applyFill="1" applyAlignment="1">
      <alignment horizontal="center" vertical="center" wrapText="1"/>
    </xf>
    <xf numFmtId="0" fontId="44" fillId="121" borderId="165" xfId="1" applyFont="1" applyFill="1" applyBorder="1" applyAlignment="1">
      <alignment horizontal="center" vertical="center" wrapText="1"/>
    </xf>
    <xf numFmtId="0" fontId="44" fillId="80" borderId="10" xfId="1" applyFont="1" applyFill="1" applyBorder="1" applyAlignment="1">
      <alignment horizontal="center" vertical="center" wrapText="1"/>
    </xf>
    <xf numFmtId="0" fontId="44" fillId="121" borderId="10" xfId="1" applyFont="1" applyFill="1" applyBorder="1" applyAlignment="1">
      <alignment horizontal="center" vertical="center" wrapText="1"/>
    </xf>
    <xf numFmtId="0" fontId="570" fillId="0" borderId="17" xfId="3" applyFont="1" applyBorder="1" applyAlignment="1">
      <alignment horizontal="center" vertical="center" wrapText="1"/>
    </xf>
    <xf numFmtId="0" fontId="570" fillId="0" borderId="88" xfId="3" applyFont="1" applyBorder="1" applyAlignment="1">
      <alignment horizontal="center" vertical="center" wrapText="1"/>
    </xf>
    <xf numFmtId="0" fontId="570" fillId="0" borderId="141" xfId="3" applyFont="1" applyBorder="1" applyAlignment="1">
      <alignment horizontal="center" vertical="center" wrapText="1"/>
    </xf>
    <xf numFmtId="0" fontId="570" fillId="0" borderId="16" xfId="3" applyFont="1" applyBorder="1" applyAlignment="1">
      <alignment horizontal="center" vertical="center" wrapText="1"/>
    </xf>
    <xf numFmtId="0" fontId="570" fillId="0" borderId="0" xfId="3" applyFont="1" applyAlignment="1">
      <alignment horizontal="center" vertical="center" wrapText="1"/>
    </xf>
    <xf numFmtId="0" fontId="570" fillId="0" borderId="10" xfId="3" applyFont="1" applyBorder="1" applyAlignment="1">
      <alignment horizontal="center" vertical="center" wrapText="1"/>
    </xf>
    <xf numFmtId="0" fontId="570" fillId="0" borderId="39" xfId="3" applyFont="1" applyBorder="1" applyAlignment="1">
      <alignment horizontal="center" vertical="center" wrapText="1"/>
    </xf>
    <xf numFmtId="0" fontId="570" fillId="0" borderId="189" xfId="3" applyFont="1" applyBorder="1" applyAlignment="1">
      <alignment horizontal="center" vertical="center" wrapText="1"/>
    </xf>
    <xf numFmtId="0" fontId="570" fillId="0" borderId="190" xfId="3" applyFont="1" applyBorder="1" applyAlignment="1">
      <alignment horizontal="center" vertical="center" wrapText="1"/>
    </xf>
    <xf numFmtId="0" fontId="564" fillId="0" borderId="0" xfId="3" applyFont="1" applyAlignment="1">
      <alignment horizontal="right" vertical="center"/>
    </xf>
    <xf numFmtId="0" fontId="568" fillId="0" borderId="0" xfId="1" applyFont="1" applyAlignment="1">
      <alignment horizontal="center" vertical="center"/>
    </xf>
    <xf numFmtId="0" fontId="12" fillId="48" borderId="0" xfId="1" applyFont="1" applyFill="1" applyAlignment="1">
      <alignment horizontal="center" vertical="center" wrapText="1"/>
    </xf>
    <xf numFmtId="0" fontId="12" fillId="48" borderId="165" xfId="1" applyFont="1" applyFill="1" applyBorder="1" applyAlignment="1">
      <alignment horizontal="center" vertical="center" wrapText="1"/>
    </xf>
    <xf numFmtId="0" fontId="564" fillId="0" borderId="10" xfId="3" applyFont="1" applyBorder="1" applyAlignment="1">
      <alignment horizontal="right" vertical="center"/>
    </xf>
    <xf numFmtId="0" fontId="574" fillId="17" borderId="298" xfId="1" applyFont="1" applyFill="1" applyBorder="1" applyAlignment="1">
      <alignment horizontal="center" vertical="center" wrapText="1"/>
    </xf>
    <xf numFmtId="0" fontId="574" fillId="17" borderId="270" xfId="1" applyFont="1" applyFill="1" applyBorder="1" applyAlignment="1">
      <alignment horizontal="center" vertical="center" wrapText="1"/>
    </xf>
    <xf numFmtId="0" fontId="574" fillId="17" borderId="297" xfId="1" applyFont="1" applyFill="1" applyBorder="1" applyAlignment="1">
      <alignment horizontal="center" vertical="center" wrapText="1"/>
    </xf>
    <xf numFmtId="0" fontId="574" fillId="17" borderId="296" xfId="1" applyFont="1" applyFill="1" applyBorder="1" applyAlignment="1">
      <alignment horizontal="center" vertical="center" wrapText="1"/>
    </xf>
    <xf numFmtId="0" fontId="574" fillId="17" borderId="295" xfId="1" applyFont="1" applyFill="1" applyBorder="1" applyAlignment="1">
      <alignment horizontal="center" vertical="center" wrapText="1"/>
    </xf>
    <xf numFmtId="0" fontId="574" fillId="17" borderId="294" xfId="1" applyFont="1" applyFill="1" applyBorder="1" applyAlignment="1">
      <alignment horizontal="center" vertical="center" wrapText="1"/>
    </xf>
    <xf numFmtId="0" fontId="12" fillId="129" borderId="0" xfId="1" applyFont="1" applyFill="1" applyAlignment="1">
      <alignment horizontal="center" vertical="center" wrapText="1"/>
    </xf>
    <xf numFmtId="0" fontId="12" fillId="129" borderId="165" xfId="1" applyFont="1" applyFill="1" applyBorder="1" applyAlignment="1">
      <alignment horizontal="center" vertical="center" wrapText="1"/>
    </xf>
    <xf numFmtId="0" fontId="12" fillId="129" borderId="10" xfId="1" applyFont="1" applyFill="1" applyBorder="1" applyAlignment="1">
      <alignment horizontal="center" vertical="center" wrapText="1"/>
    </xf>
    <xf numFmtId="0" fontId="12" fillId="48" borderId="10" xfId="1" applyFont="1" applyFill="1" applyBorder="1" applyAlignment="1">
      <alignment horizontal="center" vertical="center" wrapText="1"/>
    </xf>
    <xf numFmtId="0" fontId="612" fillId="130" borderId="0" xfId="3" applyFont="1" applyFill="1" applyAlignment="1">
      <alignment horizontal="center" vertical="center"/>
    </xf>
    <xf numFmtId="14" fontId="159" fillId="129" borderId="0" xfId="1" applyNumberFormat="1" applyFont="1" applyFill="1" applyAlignment="1">
      <alignment horizontal="center"/>
    </xf>
    <xf numFmtId="0" fontId="403" fillId="129" borderId="0" xfId="41" applyFont="1" applyFill="1" applyAlignment="1">
      <alignment horizontal="center" vertical="center"/>
    </xf>
    <xf numFmtId="186" fontId="403" fillId="129" borderId="0" xfId="41" applyNumberFormat="1" applyFont="1" applyFill="1" applyAlignment="1">
      <alignment horizontal="left" vertical="center"/>
    </xf>
    <xf numFmtId="0" fontId="403" fillId="17" borderId="0" xfId="41" applyFont="1" applyFill="1" applyAlignment="1">
      <alignment horizontal="center" vertical="center" wrapText="1"/>
    </xf>
    <xf numFmtId="186" fontId="620" fillId="129" borderId="0" xfId="41" applyNumberFormat="1" applyFont="1" applyFill="1" applyAlignment="1">
      <alignment horizontal="center" vertical="center"/>
    </xf>
    <xf numFmtId="202" fontId="620" fillId="131" borderId="0" xfId="41" applyNumberFormat="1" applyFont="1" applyFill="1" applyAlignment="1">
      <alignment horizontal="center" vertical="center"/>
    </xf>
    <xf numFmtId="14" fontId="620" fillId="129" borderId="0" xfId="41" applyNumberFormat="1" applyFont="1" applyFill="1" applyAlignment="1">
      <alignment horizontal="center" vertical="center"/>
    </xf>
    <xf numFmtId="201" fontId="622" fillId="119" borderId="0" xfId="41" applyNumberFormat="1" applyFont="1" applyFill="1" applyAlignment="1">
      <alignment horizontal="center" vertical="center"/>
    </xf>
    <xf numFmtId="14" fontId="620" fillId="129" borderId="0" xfId="1" applyNumberFormat="1" applyFont="1" applyFill="1" applyAlignment="1">
      <alignment horizontal="center"/>
    </xf>
    <xf numFmtId="14" fontId="414" fillId="129" borderId="0" xfId="41" applyNumberFormat="1" applyFont="1" applyFill="1" applyAlignment="1">
      <alignment horizontal="center" vertical="center"/>
    </xf>
    <xf numFmtId="186" fontId="414" fillId="129" borderId="0" xfId="41" applyNumberFormat="1" applyFont="1" applyFill="1" applyAlignment="1">
      <alignment horizontal="center" vertical="center"/>
    </xf>
    <xf numFmtId="0" fontId="2" fillId="130" borderId="0" xfId="3" applyFont="1" applyFill="1" applyAlignment="1">
      <alignment horizontal="right" vertical="center"/>
    </xf>
    <xf numFmtId="0" fontId="81" fillId="17" borderId="8" xfId="3" applyFont="1" applyFill="1" applyBorder="1" applyAlignment="1">
      <alignment horizontal="center" vertical="center"/>
    </xf>
    <xf numFmtId="0" fontId="81" fillId="17" borderId="9" xfId="3" applyFont="1" applyFill="1" applyBorder="1" applyAlignment="1">
      <alignment horizontal="center" vertical="center"/>
    </xf>
    <xf numFmtId="0" fontId="81" fillId="17" borderId="7" xfId="3" applyFont="1" applyFill="1" applyBorder="1" applyAlignment="1">
      <alignment horizontal="center" vertical="center"/>
    </xf>
    <xf numFmtId="0" fontId="81" fillId="17" borderId="13" xfId="3" applyFont="1" applyFill="1" applyBorder="1" applyAlignment="1">
      <alignment horizontal="center" vertical="center"/>
    </xf>
    <xf numFmtId="0" fontId="81" fillId="17" borderId="0" xfId="3" applyFont="1" applyFill="1" applyAlignment="1">
      <alignment horizontal="center" vertical="center"/>
    </xf>
    <xf numFmtId="0" fontId="81" fillId="17" borderId="15" xfId="3" applyFont="1" applyFill="1" applyBorder="1" applyAlignment="1">
      <alignment horizontal="center" vertical="center"/>
    </xf>
    <xf numFmtId="0" fontId="18" fillId="17" borderId="13" xfId="3" applyFont="1" applyFill="1" applyBorder="1" applyAlignment="1">
      <alignment horizontal="center" vertical="center" wrapText="1"/>
    </xf>
    <xf numFmtId="0" fontId="18" fillId="17" borderId="0" xfId="3" applyFont="1" applyFill="1" applyAlignment="1">
      <alignment horizontal="center" vertical="center" wrapText="1"/>
    </xf>
    <xf numFmtId="0" fontId="18" fillId="17" borderId="15" xfId="3" applyFont="1" applyFill="1" applyBorder="1" applyAlignment="1">
      <alignment horizontal="center" vertical="center" wrapText="1"/>
    </xf>
    <xf numFmtId="0" fontId="18" fillId="17" borderId="43" xfId="3" applyFont="1" applyFill="1" applyBorder="1" applyAlignment="1">
      <alignment horizontal="center" vertical="center" wrapText="1"/>
    </xf>
    <xf numFmtId="0" fontId="18" fillId="17" borderId="44" xfId="3" applyFont="1" applyFill="1" applyBorder="1" applyAlignment="1">
      <alignment horizontal="center" vertical="center" wrapText="1"/>
    </xf>
    <xf numFmtId="0" fontId="18" fillId="17" borderId="45" xfId="3" applyFont="1" applyFill="1" applyBorder="1" applyAlignment="1">
      <alignment horizontal="center" vertical="center" wrapText="1"/>
    </xf>
    <xf numFmtId="0" fontId="143" fillId="130" borderId="0" xfId="3" applyFont="1" applyFill="1" applyAlignment="1">
      <alignment horizontal="center" vertical="center"/>
    </xf>
    <xf numFmtId="0" fontId="6" fillId="0" borderId="326" xfId="3" applyBorder="1" applyAlignment="1">
      <alignment horizontal="center" vertical="center" wrapText="1"/>
    </xf>
    <xf numFmtId="0" fontId="6" fillId="0" borderId="0" xfId="3" applyAlignment="1">
      <alignment horizontal="center" vertical="center" wrapText="1"/>
    </xf>
    <xf numFmtId="0" fontId="6" fillId="0" borderId="325" xfId="3" applyBorder="1" applyAlignment="1">
      <alignment horizontal="center" vertical="center" wrapText="1"/>
    </xf>
    <xf numFmtId="0" fontId="6" fillId="0" borderId="324" xfId="3" applyBorder="1" applyAlignment="1">
      <alignment horizontal="center" vertical="center" wrapText="1"/>
    </xf>
    <xf numFmtId="0" fontId="6" fillId="0" borderId="323" xfId="3" applyBorder="1" applyAlignment="1">
      <alignment horizontal="center" vertical="center" wrapText="1"/>
    </xf>
    <xf numFmtId="0" fontId="6" fillId="0" borderId="322" xfId="3" applyBorder="1" applyAlignment="1">
      <alignment horizontal="center" vertical="center" wrapText="1"/>
    </xf>
    <xf numFmtId="2" fontId="27" fillId="102" borderId="0" xfId="39" applyNumberFormat="1" applyFont="1" applyFill="1" applyAlignment="1" applyProtection="1">
      <alignment horizontal="center" vertical="center"/>
      <protection locked="0"/>
    </xf>
    <xf numFmtId="2" fontId="687" fillId="121" borderId="0" xfId="39" applyNumberFormat="1" applyFont="1" applyFill="1" applyAlignment="1" applyProtection="1">
      <alignment horizontal="center" vertical="center"/>
      <protection locked="0"/>
    </xf>
    <xf numFmtId="0" fontId="27" fillId="165" borderId="0" xfId="39" applyFont="1" applyFill="1" applyAlignment="1">
      <alignment horizontal="center" vertical="center"/>
    </xf>
    <xf numFmtId="2" fontId="687" fillId="164" borderId="0" xfId="39" applyNumberFormat="1" applyFont="1" applyFill="1" applyAlignment="1" applyProtection="1">
      <alignment horizontal="center" vertical="center"/>
      <protection locked="0"/>
    </xf>
    <xf numFmtId="2" fontId="27" fillId="48" borderId="0" xfId="39" applyNumberFormat="1" applyFont="1" applyFill="1" applyAlignment="1" applyProtection="1">
      <alignment horizontal="center" vertical="center"/>
      <protection locked="0"/>
    </xf>
    <xf numFmtId="0" fontId="83" fillId="6" borderId="329" xfId="45" applyFill="1" applyBorder="1" applyAlignment="1" applyProtection="1">
      <alignment horizontal="center" vertical="center" wrapText="1"/>
    </xf>
    <xf numFmtId="0" fontId="83" fillId="6" borderId="328" xfId="45" applyFill="1" applyBorder="1" applyAlignment="1" applyProtection="1">
      <alignment horizontal="center" vertical="center" wrapText="1"/>
    </xf>
    <xf numFmtId="0" fontId="83" fillId="6" borderId="327" xfId="45" applyFill="1" applyBorder="1" applyAlignment="1" applyProtection="1">
      <alignment horizontal="center" vertical="center" wrapText="1"/>
    </xf>
    <xf numFmtId="0" fontId="83" fillId="6" borderId="326" xfId="45" applyFill="1" applyBorder="1" applyAlignment="1" applyProtection="1">
      <alignment horizontal="center" vertical="center" wrapText="1"/>
    </xf>
    <xf numFmtId="0" fontId="83" fillId="6" borderId="0" xfId="45" applyFill="1" applyBorder="1" applyAlignment="1" applyProtection="1">
      <alignment horizontal="center" vertical="center" wrapText="1"/>
    </xf>
    <xf numFmtId="0" fontId="83" fillId="6" borderId="325" xfId="45" applyFill="1" applyBorder="1" applyAlignment="1" applyProtection="1">
      <alignment horizontal="center" vertical="center" wrapText="1"/>
    </xf>
    <xf numFmtId="2" fontId="687" fillId="166" borderId="0" xfId="39" applyNumberFormat="1" applyFont="1" applyFill="1" applyAlignment="1" applyProtection="1">
      <alignment horizontal="center" vertical="center"/>
      <protection locked="0"/>
    </xf>
    <xf numFmtId="2" fontId="687" fillId="104" borderId="0" xfId="39" applyNumberFormat="1" applyFont="1" applyFill="1" applyAlignment="1" applyProtection="1">
      <alignment horizontal="center" vertical="center"/>
      <protection locked="0"/>
    </xf>
    <xf numFmtId="2" fontId="27" fillId="173" borderId="0" xfId="39" applyNumberFormat="1" applyFont="1" applyFill="1" applyAlignment="1" applyProtection="1">
      <alignment horizontal="center" vertical="center"/>
      <protection locked="0"/>
    </xf>
    <xf numFmtId="2" fontId="27" fillId="172" borderId="0" xfId="39" applyNumberFormat="1" applyFont="1" applyFill="1" applyAlignment="1" applyProtection="1">
      <alignment horizontal="center" vertical="center"/>
      <protection locked="0"/>
    </xf>
    <xf numFmtId="2" fontId="687" fillId="168" borderId="0" xfId="39" applyNumberFormat="1" applyFont="1" applyFill="1" applyAlignment="1" applyProtection="1">
      <alignment horizontal="center" vertical="center"/>
      <protection locked="0"/>
    </xf>
    <xf numFmtId="0" fontId="27" fillId="5" borderId="0" xfId="39" applyFont="1" applyFill="1" applyAlignment="1">
      <alignment horizontal="center" vertical="center"/>
    </xf>
    <xf numFmtId="2" fontId="27" fillId="171" borderId="0" xfId="39" applyNumberFormat="1" applyFont="1" applyFill="1" applyAlignment="1" applyProtection="1">
      <alignment horizontal="center" vertical="center"/>
      <protection locked="0"/>
    </xf>
    <xf numFmtId="2" fontId="27" fillId="170" borderId="0" xfId="39" applyNumberFormat="1" applyFont="1" applyFill="1" applyAlignment="1" applyProtection="1">
      <alignment horizontal="center" vertical="center"/>
      <protection locked="0"/>
    </xf>
    <xf numFmtId="2" fontId="687" fillId="169" borderId="0" xfId="39" applyNumberFormat="1" applyFont="1" applyFill="1" applyAlignment="1" applyProtection="1">
      <alignment horizontal="center" vertical="center"/>
      <protection locked="0"/>
    </xf>
    <xf numFmtId="2" fontId="687" fillId="167" borderId="0" xfId="39" applyNumberFormat="1" applyFont="1" applyFill="1" applyAlignment="1" applyProtection="1">
      <alignment horizontal="center" vertical="center"/>
      <protection locked="0"/>
    </xf>
    <xf numFmtId="2" fontId="27" fillId="73" borderId="0" xfId="39" applyNumberFormat="1" applyFont="1" applyFill="1" applyAlignment="1" applyProtection="1">
      <alignment horizontal="center" vertical="center"/>
      <protection locked="0"/>
    </xf>
    <xf numFmtId="0" fontId="6" fillId="74" borderId="0" xfId="3" applyFill="1" applyAlignment="1">
      <alignment horizontal="center"/>
    </xf>
    <xf numFmtId="0" fontId="482" fillId="168" borderId="0" xfId="3" applyFont="1" applyFill="1" applyAlignment="1">
      <alignment horizontal="center"/>
    </xf>
    <xf numFmtId="0" fontId="482" fillId="109" borderId="0" xfId="3" applyFont="1" applyFill="1" applyAlignment="1">
      <alignment horizontal="center"/>
    </xf>
    <xf numFmtId="49" fontId="27" fillId="74" borderId="0" xfId="3" applyNumberFormat="1" applyFont="1" applyFill="1" applyAlignment="1" applyProtection="1">
      <alignment horizontal="center" vertical="center"/>
      <protection locked="0"/>
    </xf>
    <xf numFmtId="0" fontId="306" fillId="6" borderId="333" xfId="44" applyFont="1" applyFill="1" applyBorder="1" applyAlignment="1">
      <alignment horizontal="center" vertical="center"/>
    </xf>
    <xf numFmtId="0" fontId="306" fillId="6" borderId="332" xfId="44" applyFont="1" applyFill="1" applyBorder="1" applyAlignment="1">
      <alignment horizontal="center" vertical="center"/>
    </xf>
    <xf numFmtId="0" fontId="306" fillId="6" borderId="331" xfId="44" applyFont="1" applyFill="1" applyBorder="1" applyAlignment="1">
      <alignment horizontal="center" vertical="center"/>
    </xf>
    <xf numFmtId="0" fontId="482" fillId="163" borderId="0" xfId="3" applyFont="1" applyFill="1" applyAlignment="1">
      <alignment horizontal="center"/>
    </xf>
    <xf numFmtId="2" fontId="27" fillId="46" borderId="0" xfId="3" applyNumberFormat="1" applyFont="1" applyFill="1" applyAlignment="1" applyProtection="1">
      <alignment horizontal="center" vertical="center"/>
      <protection locked="0"/>
    </xf>
    <xf numFmtId="0" fontId="694" fillId="0" borderId="0" xfId="45" applyFont="1" applyAlignment="1" applyProtection="1">
      <alignment horizontal="center" vertical="center" wrapText="1"/>
    </xf>
    <xf numFmtId="0" fontId="694" fillId="0" borderId="323" xfId="45" applyFont="1" applyBorder="1" applyAlignment="1" applyProtection="1">
      <alignment horizontal="center" vertical="center" wrapText="1"/>
    </xf>
    <xf numFmtId="0" fontId="696" fillId="0" borderId="0" xfId="39" applyFont="1" applyAlignment="1">
      <alignment horizontal="center" vertical="center"/>
    </xf>
    <xf numFmtId="2" fontId="27" fillId="143" borderId="0" xfId="3" applyNumberFormat="1" applyFont="1" applyFill="1" applyAlignment="1" applyProtection="1">
      <alignment horizontal="center" vertical="center"/>
      <protection locked="0"/>
    </xf>
    <xf numFmtId="2" fontId="687" fillId="163" borderId="0" xfId="3" applyNumberFormat="1" applyFont="1" applyFill="1" applyAlignment="1" applyProtection="1">
      <alignment horizontal="center" vertical="center"/>
      <protection locked="0"/>
    </xf>
  </cellXfs>
  <cellStyles count="48">
    <cellStyle name="Lien hypertexte 2" xfId="23" xr:uid="{76298F87-4392-4843-B594-982D7F361A07}"/>
    <cellStyle name="Lien hypertexte 2 2" xfId="40" xr:uid="{18C82C6E-15DB-43B8-906E-CF3378737B71}"/>
    <cellStyle name="Lien hypertexte 2 2 2" xfId="43" xr:uid="{2C1F1265-556D-4508-8DC4-AC2256D9EE12}"/>
    <cellStyle name="Lien hypertexte 3 2" xfId="9" xr:uid="{1786E9BA-7173-441A-8FF1-E05A8D95080A}"/>
    <cellStyle name="Lien hypertexte 3 2 2" xfId="17" xr:uid="{0C35ACCE-E35B-4586-8BD8-1BD31DE59A5D}"/>
    <cellStyle name="Lien hypertexte 3 2 3" xfId="34" xr:uid="{A58A8F82-381C-4A1C-B2A8-BC32F147DA0C}"/>
    <cellStyle name="Lien hypertexte 5" xfId="8" xr:uid="{8E139688-1204-4B80-B8B3-AC449B2F3CF5}"/>
    <cellStyle name="Lien hypertexte 5 2" xfId="30" xr:uid="{8999A0D3-FAC8-485F-A7D7-EAFE1FB6D79B}"/>
    <cellStyle name="Lien hypertexte 5 2 2" xfId="18" xr:uid="{3B7E478C-F67D-43EB-90A9-3E1633588947}"/>
    <cellStyle name="Lien hypertexte_Copie de cc2_festival_menus_gemrcn_2011" xfId="45" xr:uid="{CA283CB0-A5E6-45CF-B87C-A707BEFF16D3}"/>
    <cellStyle name="Lien hypertexte_PG Positionnement 2009 2" xfId="19" xr:uid="{424FE346-9B40-4AB7-8285-36E00703DFE9}"/>
    <cellStyle name="Milliers 3" xfId="47" xr:uid="{044A92BC-360F-435D-AA28-A9C17653B860}"/>
    <cellStyle name="Normal" xfId="0" builtinId="0"/>
    <cellStyle name="Normal 12" xfId="3" xr:uid="{796D10E4-F5E5-4AB7-85AB-EE7FD90CCC7C}"/>
    <cellStyle name="Normal 12 2" xfId="14" xr:uid="{AC0BF4B3-40FC-49CB-82B8-9E70A9FFA593}"/>
    <cellStyle name="Normal 2 2 2 2" xfId="1" xr:uid="{CF1E735C-0055-48E9-A3E8-887077529EAC}"/>
    <cellStyle name="Normal 2 2 3" xfId="42" xr:uid="{D5F10419-0B44-45FE-BB57-F495CAC92B06}"/>
    <cellStyle name="Normal 2 3" xfId="25" xr:uid="{60458B8E-FA66-43C9-BBA7-F859EF5FBEFB}"/>
    <cellStyle name="Normal 3" xfId="4" xr:uid="{8D933FB8-EC15-4615-9856-012BACC1E4DA}"/>
    <cellStyle name="Normal 3 2" xfId="22" xr:uid="{1A98E221-7620-47FA-80BE-018285E0E06E}"/>
    <cellStyle name="Normal 3 3 2" xfId="27" xr:uid="{2179F87C-1D86-4D4E-A69C-ADD574331197}"/>
    <cellStyle name="Normal 3 5" xfId="28" xr:uid="{1235D0E1-96A4-4DB5-BFDC-3D1074EFF1C0}"/>
    <cellStyle name="Normal 3 6" xfId="13" xr:uid="{9BEC06FE-3782-4F61-A7FE-807C6D75E5A9}"/>
    <cellStyle name="Normal 4 2" xfId="24" xr:uid="{29DA0EB8-6F42-4512-9C38-FD2E0F2285D8}"/>
    <cellStyle name="Normal 4 3 4 2" xfId="41" xr:uid="{AFD51262-478B-496F-84F1-00FA7C4299A7}"/>
    <cellStyle name="Normal 4 3 4 3" xfId="2" xr:uid="{19259EFE-6597-4F32-AB33-7AC96FE211A2}"/>
    <cellStyle name="Normal 4 3 4 3 2" xfId="12" xr:uid="{AD140A69-9FCD-4779-A666-2579B0553802}"/>
    <cellStyle name="Normal 4 4" xfId="39" xr:uid="{6AB2FA23-3B7F-4A20-8C53-F36B442DE0B2}"/>
    <cellStyle name="Normal 4 6" xfId="29" xr:uid="{3D19656A-1F19-4121-BCE4-B48E22669158}"/>
    <cellStyle name="Normal 5" xfId="35" xr:uid="{BA7239A0-B903-4129-9392-30079EAA1688}"/>
    <cellStyle name="Normal 5 2" xfId="26" xr:uid="{1B9D0CFC-2630-4CB2-9B3E-55B8485D9550}"/>
    <cellStyle name="Normal 6" xfId="16" xr:uid="{2CEAC04C-9B70-45A5-B588-A73D51C568EA}"/>
    <cellStyle name="Normal 8" xfId="32" xr:uid="{41A82040-1093-4FE1-845E-54DC8880419F}"/>
    <cellStyle name="Normal_Base de données recettes (1)" xfId="36" xr:uid="{00B8AD47-AFD7-427A-B762-3D34E9A49014}"/>
    <cellStyle name="Normal_Bons de commande livraison" xfId="10" xr:uid="{167A1A7C-3A4A-4EAF-AB95-901BA8C69B4A}"/>
    <cellStyle name="Normal_Comparer recettes 2009 OK 2" xfId="6" xr:uid="{88067407-86F7-4A6E-9E38-2DB52190F66A}"/>
    <cellStyle name="Normal_Comparer recettes 2009 OK 2 2" xfId="15" xr:uid="{2F8642C0-334A-4BF8-B719-160AF4D72D92}"/>
    <cellStyle name="Normal_Conditionnement 3 décembre" xfId="11" xr:uid="{7C680847-BC1A-4030-8625-CE7D9A067465}"/>
    <cellStyle name="Normal_Cuissons Températures portait16-11-2006" xfId="33" xr:uid="{1FC3B359-8965-49FA-9A6A-8FE0B0444CB8}"/>
    <cellStyle name="Normal_EFECTIF1 2" xfId="37" xr:uid="{2D540064-6C7D-45EE-AC57-0C2E0255E7CA}"/>
    <cellStyle name="Normal_Forum Marais 15 09 2001 2" xfId="5" xr:uid="{E0844058-EDF3-4DA0-A578-99A3C1B27951}"/>
    <cellStyle name="Normal_Forum Marais 15 09 2001 2 2" xfId="38" xr:uid="{3AA83C83-7E26-4C76-A497-E40C0EAA9E2D}"/>
    <cellStyle name="Normal_Forum Marais 15 09 2001_Fiche technique C2 Mars 2008 " xfId="7" xr:uid="{430E8FD3-E948-4F17-9788-824EAAF4CFE5}"/>
    <cellStyle name="Normal_Gantt 27 janvier 2" xfId="20" xr:uid="{BEC2E3E7-BCC3-466E-902D-74BA656BA201}"/>
    <cellStyle name="Normal_GERMCN UPC brouillon" xfId="44" xr:uid="{8C5598BD-BF85-4BC2-ACDC-A1EBF449A2FC}"/>
    <cellStyle name="Normal_Menussuite" xfId="46" xr:uid="{1817739B-AD0B-4B35-9A74-461B2BCAB835}"/>
    <cellStyle name="Normal_MS Définitions_1" xfId="31" xr:uid="{699B6159-6A87-428A-8469-14DE9FAEADEF}"/>
    <cellStyle name="Normal_space" xfId="21" xr:uid="{690FFBB7-B4C5-4F83-925D-F1DB1DF6DA9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image" Target="../media/image11.png"/><Relationship Id="rId7"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10" Type="http://schemas.openxmlformats.org/officeDocument/2006/relationships/image" Target="../media/image18.png"/><Relationship Id="rId4" Type="http://schemas.openxmlformats.org/officeDocument/2006/relationships/image" Target="../media/image12.png"/><Relationship Id="rId9" Type="http://schemas.openxmlformats.org/officeDocument/2006/relationships/image" Target="../media/image17.png"/></Relationships>
</file>

<file path=xl/drawings/_rels/drawing6.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oneCellAnchor>
    <xdr:from>
      <xdr:col>17</xdr:col>
      <xdr:colOff>160469</xdr:colOff>
      <xdr:row>194</xdr:row>
      <xdr:rowOff>368039</xdr:rowOff>
    </xdr:from>
    <xdr:ext cx="2017596" cy="2089411"/>
    <xdr:pic>
      <xdr:nvPicPr>
        <xdr:cNvPr id="2" name="Picture 1">
          <a:extLst>
            <a:ext uri="{FF2B5EF4-FFF2-40B4-BE49-F238E27FC236}">
              <a16:creationId xmlns:a16="http://schemas.microsoft.com/office/drawing/2014/main" id="{C102038B-8059-492E-9701-E9172799187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14469" y="31571939"/>
          <a:ext cx="2017596" cy="20894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xdr:from>
      <xdr:col>24</xdr:col>
      <xdr:colOff>323850</xdr:colOff>
      <xdr:row>8</xdr:row>
      <xdr:rowOff>0</xdr:rowOff>
    </xdr:from>
    <xdr:to>
      <xdr:col>24</xdr:col>
      <xdr:colOff>323850</xdr:colOff>
      <xdr:row>8</xdr:row>
      <xdr:rowOff>0</xdr:rowOff>
    </xdr:to>
    <xdr:sp macro="" textlink="">
      <xdr:nvSpPr>
        <xdr:cNvPr id="2" name="Line 1">
          <a:extLst>
            <a:ext uri="{FF2B5EF4-FFF2-40B4-BE49-F238E27FC236}">
              <a16:creationId xmlns:a16="http://schemas.microsoft.com/office/drawing/2014/main" id="{B2C0BB54-0103-4021-8550-D59FDA1A362A}"/>
            </a:ext>
          </a:extLst>
        </xdr:cNvPr>
        <xdr:cNvSpPr>
          <a:spLocks noChangeShapeType="1"/>
        </xdr:cNvSpPr>
      </xdr:nvSpPr>
      <xdr:spPr bwMode="auto">
        <a:xfrm>
          <a:off x="18611850" y="1295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41</xdr:col>
      <xdr:colOff>0</xdr:colOff>
      <xdr:row>8</xdr:row>
      <xdr:rowOff>0</xdr:rowOff>
    </xdr:from>
    <xdr:to>
      <xdr:col>41</xdr:col>
      <xdr:colOff>0</xdr:colOff>
      <xdr:row>8</xdr:row>
      <xdr:rowOff>0</xdr:rowOff>
    </xdr:to>
    <xdr:sp macro="" textlink="">
      <xdr:nvSpPr>
        <xdr:cNvPr id="3" name="Line 2">
          <a:extLst>
            <a:ext uri="{FF2B5EF4-FFF2-40B4-BE49-F238E27FC236}">
              <a16:creationId xmlns:a16="http://schemas.microsoft.com/office/drawing/2014/main" id="{D7D300E7-6834-4E68-936E-C87DBCA2F6ED}"/>
            </a:ext>
          </a:extLst>
        </xdr:cNvPr>
        <xdr:cNvSpPr>
          <a:spLocks noChangeShapeType="1"/>
        </xdr:cNvSpPr>
      </xdr:nvSpPr>
      <xdr:spPr bwMode="auto">
        <a:xfrm>
          <a:off x="31242000" y="1295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41</xdr:col>
      <xdr:colOff>0</xdr:colOff>
      <xdr:row>8</xdr:row>
      <xdr:rowOff>0</xdr:rowOff>
    </xdr:from>
    <xdr:to>
      <xdr:col>41</xdr:col>
      <xdr:colOff>0</xdr:colOff>
      <xdr:row>8</xdr:row>
      <xdr:rowOff>0</xdr:rowOff>
    </xdr:to>
    <xdr:sp macro="" textlink="">
      <xdr:nvSpPr>
        <xdr:cNvPr id="4" name="Line 3">
          <a:extLst>
            <a:ext uri="{FF2B5EF4-FFF2-40B4-BE49-F238E27FC236}">
              <a16:creationId xmlns:a16="http://schemas.microsoft.com/office/drawing/2014/main" id="{7B12D5D9-146F-4457-B651-5B888F8D83D7}"/>
            </a:ext>
          </a:extLst>
        </xdr:cNvPr>
        <xdr:cNvSpPr>
          <a:spLocks noChangeShapeType="1"/>
        </xdr:cNvSpPr>
      </xdr:nvSpPr>
      <xdr:spPr bwMode="auto">
        <a:xfrm>
          <a:off x="31242000" y="1295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41</xdr:col>
      <xdr:colOff>0</xdr:colOff>
      <xdr:row>8</xdr:row>
      <xdr:rowOff>0</xdr:rowOff>
    </xdr:from>
    <xdr:to>
      <xdr:col>41</xdr:col>
      <xdr:colOff>0</xdr:colOff>
      <xdr:row>8</xdr:row>
      <xdr:rowOff>0</xdr:rowOff>
    </xdr:to>
    <xdr:sp macro="" textlink="">
      <xdr:nvSpPr>
        <xdr:cNvPr id="5" name="Line 4">
          <a:extLst>
            <a:ext uri="{FF2B5EF4-FFF2-40B4-BE49-F238E27FC236}">
              <a16:creationId xmlns:a16="http://schemas.microsoft.com/office/drawing/2014/main" id="{C76B1CA6-C494-4E57-BD7B-F4D4C9A87B7F}"/>
            </a:ext>
          </a:extLst>
        </xdr:cNvPr>
        <xdr:cNvSpPr>
          <a:spLocks noChangeShapeType="1"/>
        </xdr:cNvSpPr>
      </xdr:nvSpPr>
      <xdr:spPr bwMode="auto">
        <a:xfrm>
          <a:off x="31242000" y="1295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41</xdr:col>
      <xdr:colOff>0</xdr:colOff>
      <xdr:row>8</xdr:row>
      <xdr:rowOff>0</xdr:rowOff>
    </xdr:from>
    <xdr:to>
      <xdr:col>41</xdr:col>
      <xdr:colOff>0</xdr:colOff>
      <xdr:row>8</xdr:row>
      <xdr:rowOff>0</xdr:rowOff>
    </xdr:to>
    <xdr:sp macro="" textlink="">
      <xdr:nvSpPr>
        <xdr:cNvPr id="6" name="Line 5">
          <a:extLst>
            <a:ext uri="{FF2B5EF4-FFF2-40B4-BE49-F238E27FC236}">
              <a16:creationId xmlns:a16="http://schemas.microsoft.com/office/drawing/2014/main" id="{AD38683A-99CA-43C3-B2E3-2985DF5DAE4B}"/>
            </a:ext>
          </a:extLst>
        </xdr:cNvPr>
        <xdr:cNvSpPr>
          <a:spLocks noChangeShapeType="1"/>
        </xdr:cNvSpPr>
      </xdr:nvSpPr>
      <xdr:spPr bwMode="auto">
        <a:xfrm>
          <a:off x="31242000" y="1295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oneCellAnchor>
    <xdr:from>
      <xdr:col>1</xdr:col>
      <xdr:colOff>390525</xdr:colOff>
      <xdr:row>48</xdr:row>
      <xdr:rowOff>114300</xdr:rowOff>
    </xdr:from>
    <xdr:ext cx="3476625" cy="1847850"/>
    <xdr:pic>
      <xdr:nvPicPr>
        <xdr:cNvPr id="2" name="Picture 3" descr="http://www.educastream.com/IMG/Image/volumes21a.png">
          <a:extLst>
            <a:ext uri="{FF2B5EF4-FFF2-40B4-BE49-F238E27FC236}">
              <a16:creationId xmlns:a16="http://schemas.microsoft.com/office/drawing/2014/main" id="{4BA89C71-2F8B-47EB-9F01-7CD02BBAFA9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2525" y="7886700"/>
          <a:ext cx="3476625" cy="1847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200025</xdr:colOff>
      <xdr:row>313</xdr:row>
      <xdr:rowOff>171450</xdr:rowOff>
    </xdr:from>
    <xdr:ext cx="1590675" cy="2124075"/>
    <xdr:pic>
      <xdr:nvPicPr>
        <xdr:cNvPr id="3" name="Image 2">
          <a:extLst>
            <a:ext uri="{FF2B5EF4-FFF2-40B4-BE49-F238E27FC236}">
              <a16:creationId xmlns:a16="http://schemas.microsoft.com/office/drawing/2014/main" id="{A9F88463-2F6D-49B2-BEB3-05F3EFE766C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62025" y="50844450"/>
          <a:ext cx="1590675" cy="2124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28575</xdr:colOff>
      <xdr:row>322</xdr:row>
      <xdr:rowOff>9525</xdr:rowOff>
    </xdr:from>
    <xdr:ext cx="371475" cy="523875"/>
    <xdr:pic>
      <xdr:nvPicPr>
        <xdr:cNvPr id="4" name="Image 3">
          <a:extLst>
            <a:ext uri="{FF2B5EF4-FFF2-40B4-BE49-F238E27FC236}">
              <a16:creationId xmlns:a16="http://schemas.microsoft.com/office/drawing/2014/main" id="{5F67C0AC-1760-457D-BF5F-3066003CC6E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52575" y="52149375"/>
          <a:ext cx="3714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38100</xdr:colOff>
      <xdr:row>329</xdr:row>
      <xdr:rowOff>28575</xdr:rowOff>
    </xdr:from>
    <xdr:ext cx="371475" cy="523875"/>
    <xdr:pic>
      <xdr:nvPicPr>
        <xdr:cNvPr id="5" name="Image 4">
          <a:extLst>
            <a:ext uri="{FF2B5EF4-FFF2-40B4-BE49-F238E27FC236}">
              <a16:creationId xmlns:a16="http://schemas.microsoft.com/office/drawing/2014/main" id="{83397328-5778-40DD-A20D-394D575AA75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62100" y="53301900"/>
          <a:ext cx="3714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38100</xdr:colOff>
      <xdr:row>336</xdr:row>
      <xdr:rowOff>19050</xdr:rowOff>
    </xdr:from>
    <xdr:ext cx="371475" cy="523875"/>
    <xdr:pic>
      <xdr:nvPicPr>
        <xdr:cNvPr id="6" name="Image 5">
          <a:extLst>
            <a:ext uri="{FF2B5EF4-FFF2-40B4-BE49-F238E27FC236}">
              <a16:creationId xmlns:a16="http://schemas.microsoft.com/office/drawing/2014/main" id="{40983A91-0B85-4677-AE9B-50CA5BBAA10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62100" y="54425850"/>
          <a:ext cx="3714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76200</xdr:colOff>
      <xdr:row>320</xdr:row>
      <xdr:rowOff>0</xdr:rowOff>
    </xdr:from>
    <xdr:ext cx="600075" cy="628650"/>
    <xdr:pic>
      <xdr:nvPicPr>
        <xdr:cNvPr id="7" name="Image 8">
          <a:extLst>
            <a:ext uri="{FF2B5EF4-FFF2-40B4-BE49-F238E27FC236}">
              <a16:creationId xmlns:a16="http://schemas.microsoft.com/office/drawing/2014/main" id="{7F3FC614-1565-4EF4-B5F0-F15AF5F3849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38200" y="51816000"/>
          <a:ext cx="60007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504825</xdr:colOff>
      <xdr:row>323</xdr:row>
      <xdr:rowOff>0</xdr:rowOff>
    </xdr:from>
    <xdr:ext cx="285750" cy="685800"/>
    <xdr:pic>
      <xdr:nvPicPr>
        <xdr:cNvPr id="8" name="Image 9">
          <a:extLst>
            <a:ext uri="{FF2B5EF4-FFF2-40B4-BE49-F238E27FC236}">
              <a16:creationId xmlns:a16="http://schemas.microsoft.com/office/drawing/2014/main" id="{65EC9F2C-AB06-45DF-B1B2-92105B4864AE}"/>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90825" y="52301775"/>
          <a:ext cx="2857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495300</xdr:colOff>
      <xdr:row>323</xdr:row>
      <xdr:rowOff>295275</xdr:rowOff>
    </xdr:from>
    <xdr:ext cx="285750" cy="685800"/>
    <xdr:pic>
      <xdr:nvPicPr>
        <xdr:cNvPr id="9" name="Image 11">
          <a:extLst>
            <a:ext uri="{FF2B5EF4-FFF2-40B4-BE49-F238E27FC236}">
              <a16:creationId xmlns:a16="http://schemas.microsoft.com/office/drawing/2014/main" id="{AF4F1F97-0670-4A6B-8B21-1DB0ADB9B07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81300" y="52463700"/>
          <a:ext cx="2857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495300</xdr:colOff>
      <xdr:row>324</xdr:row>
      <xdr:rowOff>276225</xdr:rowOff>
    </xdr:from>
    <xdr:ext cx="285750" cy="685800"/>
    <xdr:pic>
      <xdr:nvPicPr>
        <xdr:cNvPr id="10" name="Image 12">
          <a:extLst>
            <a:ext uri="{FF2B5EF4-FFF2-40B4-BE49-F238E27FC236}">
              <a16:creationId xmlns:a16="http://schemas.microsoft.com/office/drawing/2014/main" id="{4D31B51E-045D-48D6-9008-39239DBA2F8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81300" y="52625625"/>
          <a:ext cx="2857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457200</xdr:colOff>
      <xdr:row>326</xdr:row>
      <xdr:rowOff>28575</xdr:rowOff>
    </xdr:from>
    <xdr:ext cx="285750" cy="685800"/>
    <xdr:pic>
      <xdr:nvPicPr>
        <xdr:cNvPr id="11" name="Image 13">
          <a:extLst>
            <a:ext uri="{FF2B5EF4-FFF2-40B4-BE49-F238E27FC236}">
              <a16:creationId xmlns:a16="http://schemas.microsoft.com/office/drawing/2014/main" id="{562F6E77-54FB-4CFE-AF51-20D1BB852B8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43200" y="52816125"/>
          <a:ext cx="2857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504825</xdr:colOff>
      <xdr:row>330</xdr:row>
      <xdr:rowOff>0</xdr:rowOff>
    </xdr:from>
    <xdr:ext cx="285750" cy="685800"/>
    <xdr:pic>
      <xdr:nvPicPr>
        <xdr:cNvPr id="12" name="Image 15">
          <a:extLst>
            <a:ext uri="{FF2B5EF4-FFF2-40B4-BE49-F238E27FC236}">
              <a16:creationId xmlns:a16="http://schemas.microsoft.com/office/drawing/2014/main" id="{9CB2CEDD-D95F-472D-8C9F-FB2E038D85C7}"/>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90825" y="53435250"/>
          <a:ext cx="2857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495300</xdr:colOff>
      <xdr:row>330</xdr:row>
      <xdr:rowOff>295275</xdr:rowOff>
    </xdr:from>
    <xdr:ext cx="285750" cy="685800"/>
    <xdr:pic>
      <xdr:nvPicPr>
        <xdr:cNvPr id="13" name="Image 16">
          <a:extLst>
            <a:ext uri="{FF2B5EF4-FFF2-40B4-BE49-F238E27FC236}">
              <a16:creationId xmlns:a16="http://schemas.microsoft.com/office/drawing/2014/main" id="{43B432F0-21C4-4D51-83DB-E68A7CCA2B07}"/>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81300" y="53597175"/>
          <a:ext cx="2857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495300</xdr:colOff>
      <xdr:row>331</xdr:row>
      <xdr:rowOff>276225</xdr:rowOff>
    </xdr:from>
    <xdr:ext cx="285750" cy="685800"/>
    <xdr:pic>
      <xdr:nvPicPr>
        <xdr:cNvPr id="14" name="Image 17">
          <a:extLst>
            <a:ext uri="{FF2B5EF4-FFF2-40B4-BE49-F238E27FC236}">
              <a16:creationId xmlns:a16="http://schemas.microsoft.com/office/drawing/2014/main" id="{2215DC7B-9C27-4C24-BC64-F8721F99FA3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81300" y="53759100"/>
          <a:ext cx="2857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495300</xdr:colOff>
      <xdr:row>332</xdr:row>
      <xdr:rowOff>257175</xdr:rowOff>
    </xdr:from>
    <xdr:ext cx="285750" cy="704850"/>
    <xdr:pic>
      <xdr:nvPicPr>
        <xdr:cNvPr id="15" name="Image 18">
          <a:extLst>
            <a:ext uri="{FF2B5EF4-FFF2-40B4-BE49-F238E27FC236}">
              <a16:creationId xmlns:a16="http://schemas.microsoft.com/office/drawing/2014/main" id="{4FE3D746-843E-45D1-B7F5-41601C3FEA6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81300" y="53921025"/>
          <a:ext cx="285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38100</xdr:colOff>
      <xdr:row>336</xdr:row>
      <xdr:rowOff>28575</xdr:rowOff>
    </xdr:from>
    <xdr:ext cx="371475" cy="523875"/>
    <xdr:pic>
      <xdr:nvPicPr>
        <xdr:cNvPr id="16" name="Image 19">
          <a:extLst>
            <a:ext uri="{FF2B5EF4-FFF2-40B4-BE49-F238E27FC236}">
              <a16:creationId xmlns:a16="http://schemas.microsoft.com/office/drawing/2014/main" id="{D3841950-9FAF-427D-8386-436AD973BA7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62100" y="54435375"/>
          <a:ext cx="3714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504825</xdr:colOff>
      <xdr:row>337</xdr:row>
      <xdr:rowOff>0</xdr:rowOff>
    </xdr:from>
    <xdr:ext cx="285750" cy="685800"/>
    <xdr:pic>
      <xdr:nvPicPr>
        <xdr:cNvPr id="17" name="Image 20">
          <a:extLst>
            <a:ext uri="{FF2B5EF4-FFF2-40B4-BE49-F238E27FC236}">
              <a16:creationId xmlns:a16="http://schemas.microsoft.com/office/drawing/2014/main" id="{C232F6F6-F5B4-4CC3-B6AE-EE092FBE7593}"/>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90825" y="54568725"/>
          <a:ext cx="2857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495300</xdr:colOff>
      <xdr:row>337</xdr:row>
      <xdr:rowOff>295275</xdr:rowOff>
    </xdr:from>
    <xdr:ext cx="285750" cy="685800"/>
    <xdr:pic>
      <xdr:nvPicPr>
        <xdr:cNvPr id="18" name="Image 21">
          <a:extLst>
            <a:ext uri="{FF2B5EF4-FFF2-40B4-BE49-F238E27FC236}">
              <a16:creationId xmlns:a16="http://schemas.microsoft.com/office/drawing/2014/main" id="{E8EA43DF-1474-4810-A1D1-70400D550BB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81300" y="54730650"/>
          <a:ext cx="2857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495300</xdr:colOff>
      <xdr:row>338</xdr:row>
      <xdr:rowOff>276225</xdr:rowOff>
    </xdr:from>
    <xdr:ext cx="285750" cy="533400"/>
    <xdr:pic>
      <xdr:nvPicPr>
        <xdr:cNvPr id="19" name="Image 22">
          <a:extLst>
            <a:ext uri="{FF2B5EF4-FFF2-40B4-BE49-F238E27FC236}">
              <a16:creationId xmlns:a16="http://schemas.microsoft.com/office/drawing/2014/main" id="{24637D10-7DAF-4A12-A20A-1CC15F7DF4B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81300" y="54892575"/>
          <a:ext cx="28575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476250</xdr:colOff>
      <xdr:row>340</xdr:row>
      <xdr:rowOff>266700</xdr:rowOff>
    </xdr:from>
    <xdr:ext cx="285750" cy="685800"/>
    <xdr:pic>
      <xdr:nvPicPr>
        <xdr:cNvPr id="20" name="Image 23">
          <a:extLst>
            <a:ext uri="{FF2B5EF4-FFF2-40B4-BE49-F238E27FC236}">
              <a16:creationId xmlns:a16="http://schemas.microsoft.com/office/drawing/2014/main" id="{4D4A098D-8AD2-45F6-8C4B-3A479E18531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62250" y="55216425"/>
          <a:ext cx="2857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38100</xdr:colOff>
      <xdr:row>344</xdr:row>
      <xdr:rowOff>19050</xdr:rowOff>
    </xdr:from>
    <xdr:ext cx="371475" cy="523875"/>
    <xdr:pic>
      <xdr:nvPicPr>
        <xdr:cNvPr id="21" name="Image 30">
          <a:extLst>
            <a:ext uri="{FF2B5EF4-FFF2-40B4-BE49-F238E27FC236}">
              <a16:creationId xmlns:a16="http://schemas.microsoft.com/office/drawing/2014/main" id="{ADF0367C-0705-416B-8B8D-F20BB324B3E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62100" y="55721250"/>
          <a:ext cx="3714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38100</xdr:colOff>
      <xdr:row>344</xdr:row>
      <xdr:rowOff>28575</xdr:rowOff>
    </xdr:from>
    <xdr:ext cx="371475" cy="523875"/>
    <xdr:pic>
      <xdr:nvPicPr>
        <xdr:cNvPr id="22" name="Image 31">
          <a:extLst>
            <a:ext uri="{FF2B5EF4-FFF2-40B4-BE49-F238E27FC236}">
              <a16:creationId xmlns:a16="http://schemas.microsoft.com/office/drawing/2014/main" id="{CB469119-AD23-4222-814F-A96CD93B99E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62100" y="55730775"/>
          <a:ext cx="3714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504825</xdr:colOff>
      <xdr:row>345</xdr:row>
      <xdr:rowOff>0</xdr:rowOff>
    </xdr:from>
    <xdr:ext cx="285750" cy="685800"/>
    <xdr:pic>
      <xdr:nvPicPr>
        <xdr:cNvPr id="23" name="Image 32">
          <a:extLst>
            <a:ext uri="{FF2B5EF4-FFF2-40B4-BE49-F238E27FC236}">
              <a16:creationId xmlns:a16="http://schemas.microsoft.com/office/drawing/2014/main" id="{3E4D7EA1-05C0-4A35-A3D6-1AE9F7A54B48}"/>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90825" y="55864125"/>
          <a:ext cx="2857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495300</xdr:colOff>
      <xdr:row>345</xdr:row>
      <xdr:rowOff>295275</xdr:rowOff>
    </xdr:from>
    <xdr:ext cx="285750" cy="685800"/>
    <xdr:pic>
      <xdr:nvPicPr>
        <xdr:cNvPr id="24" name="Image 33">
          <a:extLst>
            <a:ext uri="{FF2B5EF4-FFF2-40B4-BE49-F238E27FC236}">
              <a16:creationId xmlns:a16="http://schemas.microsoft.com/office/drawing/2014/main" id="{090D3E38-F918-478E-9C3D-10181B5A1D9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81300" y="56026050"/>
          <a:ext cx="2857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495300</xdr:colOff>
      <xdr:row>346</xdr:row>
      <xdr:rowOff>276225</xdr:rowOff>
    </xdr:from>
    <xdr:ext cx="285750" cy="685800"/>
    <xdr:pic>
      <xdr:nvPicPr>
        <xdr:cNvPr id="25" name="Image 34">
          <a:extLst>
            <a:ext uri="{FF2B5EF4-FFF2-40B4-BE49-F238E27FC236}">
              <a16:creationId xmlns:a16="http://schemas.microsoft.com/office/drawing/2014/main" id="{0406F318-9FB6-4C8C-90EA-EE2078541E2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81300" y="56187975"/>
          <a:ext cx="2857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495300</xdr:colOff>
      <xdr:row>347</xdr:row>
      <xdr:rowOff>257175</xdr:rowOff>
    </xdr:from>
    <xdr:ext cx="285750" cy="704850"/>
    <xdr:pic>
      <xdr:nvPicPr>
        <xdr:cNvPr id="26" name="Image 35">
          <a:extLst>
            <a:ext uri="{FF2B5EF4-FFF2-40B4-BE49-F238E27FC236}">
              <a16:creationId xmlns:a16="http://schemas.microsoft.com/office/drawing/2014/main" id="{DF0AFFBE-1B58-4CC9-94ED-FD719D86CDCB}"/>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81300" y="56349900"/>
          <a:ext cx="285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85725</xdr:colOff>
      <xdr:row>320</xdr:row>
      <xdr:rowOff>76200</xdr:rowOff>
    </xdr:from>
    <xdr:ext cx="352425" cy="485775"/>
    <xdr:pic>
      <xdr:nvPicPr>
        <xdr:cNvPr id="27" name="Image 2">
          <a:extLst>
            <a:ext uri="{FF2B5EF4-FFF2-40B4-BE49-F238E27FC236}">
              <a16:creationId xmlns:a16="http://schemas.microsoft.com/office/drawing/2014/main" id="{E21378B4-8D09-4C0B-9771-84EECA381EC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419725" y="51892200"/>
          <a:ext cx="35242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57150</xdr:colOff>
      <xdr:row>322</xdr:row>
      <xdr:rowOff>295275</xdr:rowOff>
    </xdr:from>
    <xdr:ext cx="314325" cy="561975"/>
    <xdr:pic>
      <xdr:nvPicPr>
        <xdr:cNvPr id="28" name="Image 37">
          <a:extLst>
            <a:ext uri="{FF2B5EF4-FFF2-40B4-BE49-F238E27FC236}">
              <a16:creationId xmlns:a16="http://schemas.microsoft.com/office/drawing/2014/main" id="{5381DDC5-2E11-46D7-B198-92043D6CC715}"/>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391150" y="52301775"/>
          <a:ext cx="31432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326</xdr:row>
      <xdr:rowOff>0</xdr:rowOff>
    </xdr:from>
    <xdr:ext cx="314325" cy="561975"/>
    <xdr:pic>
      <xdr:nvPicPr>
        <xdr:cNvPr id="29" name="Image 39">
          <a:extLst>
            <a:ext uri="{FF2B5EF4-FFF2-40B4-BE49-F238E27FC236}">
              <a16:creationId xmlns:a16="http://schemas.microsoft.com/office/drawing/2014/main" id="{FCCCE438-A310-4F3C-B6A2-6B89A1565DA2}"/>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334000" y="52787550"/>
          <a:ext cx="31432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328</xdr:row>
      <xdr:rowOff>0</xdr:rowOff>
    </xdr:from>
    <xdr:ext cx="314325" cy="561975"/>
    <xdr:pic>
      <xdr:nvPicPr>
        <xdr:cNvPr id="30" name="Image 40">
          <a:extLst>
            <a:ext uri="{FF2B5EF4-FFF2-40B4-BE49-F238E27FC236}">
              <a16:creationId xmlns:a16="http://schemas.microsoft.com/office/drawing/2014/main" id="{BF1E9308-2566-44C3-9543-79309099E6ED}"/>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334000" y="53111400"/>
          <a:ext cx="31432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330</xdr:row>
      <xdr:rowOff>0</xdr:rowOff>
    </xdr:from>
    <xdr:ext cx="314325" cy="561975"/>
    <xdr:pic>
      <xdr:nvPicPr>
        <xdr:cNvPr id="31" name="Image 41">
          <a:extLst>
            <a:ext uri="{FF2B5EF4-FFF2-40B4-BE49-F238E27FC236}">
              <a16:creationId xmlns:a16="http://schemas.microsoft.com/office/drawing/2014/main" id="{FE4A3E26-1818-464E-A0AB-B0829A5F3F02}"/>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334000" y="53435250"/>
          <a:ext cx="31432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332</xdr:row>
      <xdr:rowOff>0</xdr:rowOff>
    </xdr:from>
    <xdr:ext cx="314325" cy="561975"/>
    <xdr:pic>
      <xdr:nvPicPr>
        <xdr:cNvPr id="32" name="Image 43">
          <a:extLst>
            <a:ext uri="{FF2B5EF4-FFF2-40B4-BE49-F238E27FC236}">
              <a16:creationId xmlns:a16="http://schemas.microsoft.com/office/drawing/2014/main" id="{8158E10F-AEAB-4841-B613-DF9B60F5935A}"/>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334000" y="53759100"/>
          <a:ext cx="31432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38100</xdr:colOff>
      <xdr:row>333</xdr:row>
      <xdr:rowOff>276225</xdr:rowOff>
    </xdr:from>
    <xdr:ext cx="314325" cy="561975"/>
    <xdr:pic>
      <xdr:nvPicPr>
        <xdr:cNvPr id="33" name="Image 44">
          <a:extLst>
            <a:ext uri="{FF2B5EF4-FFF2-40B4-BE49-F238E27FC236}">
              <a16:creationId xmlns:a16="http://schemas.microsoft.com/office/drawing/2014/main" id="{4EC65366-D80D-4C28-8621-DD16EE79E4A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372100" y="54082950"/>
          <a:ext cx="31432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xml><?xml version="1.0" encoding="utf-8"?>
<xdr:wsDr xmlns:xdr="http://schemas.openxmlformats.org/drawingml/2006/spreadsheetDrawing" xmlns:a="http://schemas.openxmlformats.org/drawingml/2006/main">
  <xdr:oneCellAnchor>
    <xdr:from>
      <xdr:col>3</xdr:col>
      <xdr:colOff>0</xdr:colOff>
      <xdr:row>10</xdr:row>
      <xdr:rowOff>128587</xdr:rowOff>
    </xdr:from>
    <xdr:ext cx="65" cy="172227"/>
    <xdr:sp macro="" textlink="">
      <xdr:nvSpPr>
        <xdr:cNvPr id="2" name="ZoneTexte 1">
          <a:extLst>
            <a:ext uri="{FF2B5EF4-FFF2-40B4-BE49-F238E27FC236}">
              <a16:creationId xmlns:a16="http://schemas.microsoft.com/office/drawing/2014/main" id="{D39E3371-9599-4141-BBB1-4F77720BAB31}"/>
            </a:ext>
          </a:extLst>
        </xdr:cNvPr>
        <xdr:cNvSpPr txBox="1"/>
      </xdr:nvSpPr>
      <xdr:spPr>
        <a:xfrm>
          <a:off x="2286000" y="17478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10</xdr:row>
      <xdr:rowOff>128587</xdr:rowOff>
    </xdr:from>
    <xdr:ext cx="65" cy="172227"/>
    <xdr:sp macro="" textlink="">
      <xdr:nvSpPr>
        <xdr:cNvPr id="3" name="ZoneTexte 2">
          <a:extLst>
            <a:ext uri="{FF2B5EF4-FFF2-40B4-BE49-F238E27FC236}">
              <a16:creationId xmlns:a16="http://schemas.microsoft.com/office/drawing/2014/main" id="{F3FC62DF-E723-467C-99C6-D2010D7BC2A2}"/>
            </a:ext>
          </a:extLst>
        </xdr:cNvPr>
        <xdr:cNvSpPr txBox="1"/>
      </xdr:nvSpPr>
      <xdr:spPr>
        <a:xfrm>
          <a:off x="2286000" y="17478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10</xdr:row>
      <xdr:rowOff>128587</xdr:rowOff>
    </xdr:from>
    <xdr:ext cx="65" cy="172227"/>
    <xdr:sp macro="" textlink="">
      <xdr:nvSpPr>
        <xdr:cNvPr id="4" name="ZoneTexte 3">
          <a:extLst>
            <a:ext uri="{FF2B5EF4-FFF2-40B4-BE49-F238E27FC236}">
              <a16:creationId xmlns:a16="http://schemas.microsoft.com/office/drawing/2014/main" id="{0608D0A0-F1AE-4C2B-9290-988B342BBAAE}"/>
            </a:ext>
          </a:extLst>
        </xdr:cNvPr>
        <xdr:cNvSpPr txBox="1"/>
      </xdr:nvSpPr>
      <xdr:spPr>
        <a:xfrm>
          <a:off x="2286000" y="17478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10</xdr:row>
      <xdr:rowOff>128587</xdr:rowOff>
    </xdr:from>
    <xdr:ext cx="65" cy="172227"/>
    <xdr:sp macro="" textlink="">
      <xdr:nvSpPr>
        <xdr:cNvPr id="5" name="ZoneTexte 4">
          <a:extLst>
            <a:ext uri="{FF2B5EF4-FFF2-40B4-BE49-F238E27FC236}">
              <a16:creationId xmlns:a16="http://schemas.microsoft.com/office/drawing/2014/main" id="{2F852092-ACB5-4E37-AA77-9BAF95D8285C}"/>
            </a:ext>
          </a:extLst>
        </xdr:cNvPr>
        <xdr:cNvSpPr txBox="1"/>
      </xdr:nvSpPr>
      <xdr:spPr>
        <a:xfrm>
          <a:off x="2286000" y="17478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10</xdr:row>
      <xdr:rowOff>128587</xdr:rowOff>
    </xdr:from>
    <xdr:ext cx="65" cy="172227"/>
    <xdr:sp macro="" textlink="">
      <xdr:nvSpPr>
        <xdr:cNvPr id="6" name="ZoneTexte 5">
          <a:extLst>
            <a:ext uri="{FF2B5EF4-FFF2-40B4-BE49-F238E27FC236}">
              <a16:creationId xmlns:a16="http://schemas.microsoft.com/office/drawing/2014/main" id="{647889D3-8A51-414A-B0AD-D122EC62A43C}"/>
            </a:ext>
          </a:extLst>
        </xdr:cNvPr>
        <xdr:cNvSpPr txBox="1"/>
      </xdr:nvSpPr>
      <xdr:spPr>
        <a:xfrm>
          <a:off x="2286000" y="17478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10</xdr:row>
      <xdr:rowOff>128587</xdr:rowOff>
    </xdr:from>
    <xdr:ext cx="65" cy="172227"/>
    <xdr:sp macro="" textlink="">
      <xdr:nvSpPr>
        <xdr:cNvPr id="7" name="ZoneTexte 6">
          <a:extLst>
            <a:ext uri="{FF2B5EF4-FFF2-40B4-BE49-F238E27FC236}">
              <a16:creationId xmlns:a16="http://schemas.microsoft.com/office/drawing/2014/main" id="{87FE0FE7-4A5C-4BF0-8ECA-18700D82CFBC}"/>
            </a:ext>
          </a:extLst>
        </xdr:cNvPr>
        <xdr:cNvSpPr txBox="1"/>
      </xdr:nvSpPr>
      <xdr:spPr>
        <a:xfrm>
          <a:off x="2286000" y="17478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10</xdr:row>
      <xdr:rowOff>128587</xdr:rowOff>
    </xdr:from>
    <xdr:ext cx="65" cy="172227"/>
    <xdr:sp macro="" textlink="">
      <xdr:nvSpPr>
        <xdr:cNvPr id="8" name="ZoneTexte 7">
          <a:extLst>
            <a:ext uri="{FF2B5EF4-FFF2-40B4-BE49-F238E27FC236}">
              <a16:creationId xmlns:a16="http://schemas.microsoft.com/office/drawing/2014/main" id="{A8FFB66C-5AD3-4755-B2A0-A98B4B546710}"/>
            </a:ext>
          </a:extLst>
        </xdr:cNvPr>
        <xdr:cNvSpPr txBox="1"/>
      </xdr:nvSpPr>
      <xdr:spPr>
        <a:xfrm>
          <a:off x="2286000" y="17478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10</xdr:row>
      <xdr:rowOff>128587</xdr:rowOff>
    </xdr:from>
    <xdr:ext cx="65" cy="172227"/>
    <xdr:sp macro="" textlink="">
      <xdr:nvSpPr>
        <xdr:cNvPr id="9" name="ZoneTexte 8">
          <a:extLst>
            <a:ext uri="{FF2B5EF4-FFF2-40B4-BE49-F238E27FC236}">
              <a16:creationId xmlns:a16="http://schemas.microsoft.com/office/drawing/2014/main" id="{5F573B53-0F80-4CE9-844B-3204EE083882}"/>
            </a:ext>
          </a:extLst>
        </xdr:cNvPr>
        <xdr:cNvSpPr txBox="1"/>
      </xdr:nvSpPr>
      <xdr:spPr>
        <a:xfrm>
          <a:off x="2286000" y="17478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10</xdr:row>
      <xdr:rowOff>128587</xdr:rowOff>
    </xdr:from>
    <xdr:ext cx="65" cy="172227"/>
    <xdr:sp macro="" textlink="">
      <xdr:nvSpPr>
        <xdr:cNvPr id="10" name="ZoneTexte 9">
          <a:extLst>
            <a:ext uri="{FF2B5EF4-FFF2-40B4-BE49-F238E27FC236}">
              <a16:creationId xmlns:a16="http://schemas.microsoft.com/office/drawing/2014/main" id="{B9031588-D087-49CB-8987-73C25319BE6A}"/>
            </a:ext>
          </a:extLst>
        </xdr:cNvPr>
        <xdr:cNvSpPr txBox="1"/>
      </xdr:nvSpPr>
      <xdr:spPr>
        <a:xfrm>
          <a:off x="2286000" y="17478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xdr:row>
      <xdr:rowOff>128587</xdr:rowOff>
    </xdr:from>
    <xdr:ext cx="65" cy="172227"/>
    <xdr:sp macro="" textlink="">
      <xdr:nvSpPr>
        <xdr:cNvPr id="11" name="ZoneTexte 10">
          <a:extLst>
            <a:ext uri="{FF2B5EF4-FFF2-40B4-BE49-F238E27FC236}">
              <a16:creationId xmlns:a16="http://schemas.microsoft.com/office/drawing/2014/main" id="{356E4F85-AC4C-4993-B3CF-548CAA7D6FF1}"/>
            </a:ext>
          </a:extLst>
        </xdr:cNvPr>
        <xdr:cNvSpPr txBox="1"/>
      </xdr:nvSpPr>
      <xdr:spPr>
        <a:xfrm>
          <a:off x="2286000" y="14239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xdr:row>
      <xdr:rowOff>128587</xdr:rowOff>
    </xdr:from>
    <xdr:ext cx="65" cy="172227"/>
    <xdr:sp macro="" textlink="">
      <xdr:nvSpPr>
        <xdr:cNvPr id="12" name="ZoneTexte 11">
          <a:extLst>
            <a:ext uri="{FF2B5EF4-FFF2-40B4-BE49-F238E27FC236}">
              <a16:creationId xmlns:a16="http://schemas.microsoft.com/office/drawing/2014/main" id="{A02DAA5B-DD6F-4D9C-A4D8-7377E9C00EF7}"/>
            </a:ext>
          </a:extLst>
        </xdr:cNvPr>
        <xdr:cNvSpPr txBox="1"/>
      </xdr:nvSpPr>
      <xdr:spPr>
        <a:xfrm>
          <a:off x="2286000" y="14239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xdr:row>
      <xdr:rowOff>128587</xdr:rowOff>
    </xdr:from>
    <xdr:ext cx="65" cy="172227"/>
    <xdr:sp macro="" textlink="">
      <xdr:nvSpPr>
        <xdr:cNvPr id="13" name="ZoneTexte 12">
          <a:extLst>
            <a:ext uri="{FF2B5EF4-FFF2-40B4-BE49-F238E27FC236}">
              <a16:creationId xmlns:a16="http://schemas.microsoft.com/office/drawing/2014/main" id="{4F51C5E2-4B3F-469B-A79C-1E35B924D70F}"/>
            </a:ext>
          </a:extLst>
        </xdr:cNvPr>
        <xdr:cNvSpPr txBox="1"/>
      </xdr:nvSpPr>
      <xdr:spPr>
        <a:xfrm>
          <a:off x="2286000" y="14239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xdr:row>
      <xdr:rowOff>128587</xdr:rowOff>
    </xdr:from>
    <xdr:ext cx="65" cy="172227"/>
    <xdr:sp macro="" textlink="">
      <xdr:nvSpPr>
        <xdr:cNvPr id="14" name="ZoneTexte 13">
          <a:extLst>
            <a:ext uri="{FF2B5EF4-FFF2-40B4-BE49-F238E27FC236}">
              <a16:creationId xmlns:a16="http://schemas.microsoft.com/office/drawing/2014/main" id="{E71EEBD3-DD49-4E42-A9E1-37A774400259}"/>
            </a:ext>
          </a:extLst>
        </xdr:cNvPr>
        <xdr:cNvSpPr txBox="1"/>
      </xdr:nvSpPr>
      <xdr:spPr>
        <a:xfrm>
          <a:off x="2286000" y="14239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xdr:row>
      <xdr:rowOff>128587</xdr:rowOff>
    </xdr:from>
    <xdr:ext cx="65" cy="172227"/>
    <xdr:sp macro="" textlink="">
      <xdr:nvSpPr>
        <xdr:cNvPr id="15" name="ZoneTexte 14">
          <a:extLst>
            <a:ext uri="{FF2B5EF4-FFF2-40B4-BE49-F238E27FC236}">
              <a16:creationId xmlns:a16="http://schemas.microsoft.com/office/drawing/2014/main" id="{5A31974C-F19B-41A9-9623-1F67E9E8A312}"/>
            </a:ext>
          </a:extLst>
        </xdr:cNvPr>
        <xdr:cNvSpPr txBox="1"/>
      </xdr:nvSpPr>
      <xdr:spPr>
        <a:xfrm>
          <a:off x="2286000" y="14239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xdr:row>
      <xdr:rowOff>128587</xdr:rowOff>
    </xdr:from>
    <xdr:ext cx="65" cy="172227"/>
    <xdr:sp macro="" textlink="">
      <xdr:nvSpPr>
        <xdr:cNvPr id="16" name="ZoneTexte 15">
          <a:extLst>
            <a:ext uri="{FF2B5EF4-FFF2-40B4-BE49-F238E27FC236}">
              <a16:creationId xmlns:a16="http://schemas.microsoft.com/office/drawing/2014/main" id="{FD4DFADA-591F-4359-9B49-7B065774A051}"/>
            </a:ext>
          </a:extLst>
        </xdr:cNvPr>
        <xdr:cNvSpPr txBox="1"/>
      </xdr:nvSpPr>
      <xdr:spPr>
        <a:xfrm>
          <a:off x="2286000" y="14239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xdr:row>
      <xdr:rowOff>128587</xdr:rowOff>
    </xdr:from>
    <xdr:ext cx="65" cy="172227"/>
    <xdr:sp macro="" textlink="">
      <xdr:nvSpPr>
        <xdr:cNvPr id="17" name="ZoneTexte 16">
          <a:extLst>
            <a:ext uri="{FF2B5EF4-FFF2-40B4-BE49-F238E27FC236}">
              <a16:creationId xmlns:a16="http://schemas.microsoft.com/office/drawing/2014/main" id="{1F2F0BFF-000B-4C44-9091-97A3F6C479E0}"/>
            </a:ext>
          </a:extLst>
        </xdr:cNvPr>
        <xdr:cNvSpPr txBox="1"/>
      </xdr:nvSpPr>
      <xdr:spPr>
        <a:xfrm>
          <a:off x="2286000" y="14239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xdr:row>
      <xdr:rowOff>128587</xdr:rowOff>
    </xdr:from>
    <xdr:ext cx="65" cy="172227"/>
    <xdr:sp macro="" textlink="">
      <xdr:nvSpPr>
        <xdr:cNvPr id="18" name="ZoneTexte 17">
          <a:extLst>
            <a:ext uri="{FF2B5EF4-FFF2-40B4-BE49-F238E27FC236}">
              <a16:creationId xmlns:a16="http://schemas.microsoft.com/office/drawing/2014/main" id="{DAB88AB6-2E07-4393-92AF-4D32D2EDB109}"/>
            </a:ext>
          </a:extLst>
        </xdr:cNvPr>
        <xdr:cNvSpPr txBox="1"/>
      </xdr:nvSpPr>
      <xdr:spPr>
        <a:xfrm>
          <a:off x="2286000" y="14239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xdr:row>
      <xdr:rowOff>128587</xdr:rowOff>
    </xdr:from>
    <xdr:ext cx="65" cy="172227"/>
    <xdr:sp macro="" textlink="">
      <xdr:nvSpPr>
        <xdr:cNvPr id="19" name="ZoneTexte 18">
          <a:extLst>
            <a:ext uri="{FF2B5EF4-FFF2-40B4-BE49-F238E27FC236}">
              <a16:creationId xmlns:a16="http://schemas.microsoft.com/office/drawing/2014/main" id="{B1FBA0AF-7790-463C-B61E-F04326B76767}"/>
            </a:ext>
          </a:extLst>
        </xdr:cNvPr>
        <xdr:cNvSpPr txBox="1"/>
      </xdr:nvSpPr>
      <xdr:spPr>
        <a:xfrm>
          <a:off x="2286000" y="14239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10</xdr:row>
      <xdr:rowOff>128587</xdr:rowOff>
    </xdr:from>
    <xdr:ext cx="65" cy="172227"/>
    <xdr:sp macro="" textlink="">
      <xdr:nvSpPr>
        <xdr:cNvPr id="20" name="ZoneTexte 19">
          <a:extLst>
            <a:ext uri="{FF2B5EF4-FFF2-40B4-BE49-F238E27FC236}">
              <a16:creationId xmlns:a16="http://schemas.microsoft.com/office/drawing/2014/main" id="{DBBD720C-2B5A-40EA-B50E-D2A26D29E8E7}"/>
            </a:ext>
          </a:extLst>
        </xdr:cNvPr>
        <xdr:cNvSpPr txBox="1"/>
      </xdr:nvSpPr>
      <xdr:spPr>
        <a:xfrm>
          <a:off x="2286000" y="17478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10</xdr:row>
      <xdr:rowOff>128587</xdr:rowOff>
    </xdr:from>
    <xdr:ext cx="65" cy="172227"/>
    <xdr:sp macro="" textlink="">
      <xdr:nvSpPr>
        <xdr:cNvPr id="21" name="ZoneTexte 20">
          <a:extLst>
            <a:ext uri="{FF2B5EF4-FFF2-40B4-BE49-F238E27FC236}">
              <a16:creationId xmlns:a16="http://schemas.microsoft.com/office/drawing/2014/main" id="{D669F78D-D078-45B7-BE2A-6B3028BE5AFB}"/>
            </a:ext>
          </a:extLst>
        </xdr:cNvPr>
        <xdr:cNvSpPr txBox="1"/>
      </xdr:nvSpPr>
      <xdr:spPr>
        <a:xfrm>
          <a:off x="2286000" y="17478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10</xdr:row>
      <xdr:rowOff>128587</xdr:rowOff>
    </xdr:from>
    <xdr:ext cx="65" cy="172227"/>
    <xdr:sp macro="" textlink="">
      <xdr:nvSpPr>
        <xdr:cNvPr id="22" name="ZoneTexte 21">
          <a:extLst>
            <a:ext uri="{FF2B5EF4-FFF2-40B4-BE49-F238E27FC236}">
              <a16:creationId xmlns:a16="http://schemas.microsoft.com/office/drawing/2014/main" id="{0F5CA2AF-5E04-4655-86D0-9999CD2DC863}"/>
            </a:ext>
          </a:extLst>
        </xdr:cNvPr>
        <xdr:cNvSpPr txBox="1"/>
      </xdr:nvSpPr>
      <xdr:spPr>
        <a:xfrm>
          <a:off x="2286000" y="17478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10</xdr:row>
      <xdr:rowOff>128587</xdr:rowOff>
    </xdr:from>
    <xdr:ext cx="65" cy="172227"/>
    <xdr:sp macro="" textlink="">
      <xdr:nvSpPr>
        <xdr:cNvPr id="23" name="ZoneTexte 22">
          <a:extLst>
            <a:ext uri="{FF2B5EF4-FFF2-40B4-BE49-F238E27FC236}">
              <a16:creationId xmlns:a16="http://schemas.microsoft.com/office/drawing/2014/main" id="{FA79337C-FE6D-44FA-84C0-7D683F33A890}"/>
            </a:ext>
          </a:extLst>
        </xdr:cNvPr>
        <xdr:cNvSpPr txBox="1"/>
      </xdr:nvSpPr>
      <xdr:spPr>
        <a:xfrm>
          <a:off x="2286000" y="17478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10</xdr:row>
      <xdr:rowOff>128587</xdr:rowOff>
    </xdr:from>
    <xdr:ext cx="65" cy="172227"/>
    <xdr:sp macro="" textlink="">
      <xdr:nvSpPr>
        <xdr:cNvPr id="24" name="ZoneTexte 23">
          <a:extLst>
            <a:ext uri="{FF2B5EF4-FFF2-40B4-BE49-F238E27FC236}">
              <a16:creationId xmlns:a16="http://schemas.microsoft.com/office/drawing/2014/main" id="{C8509A3E-87E3-4664-AFCC-E73AED0EA74E}"/>
            </a:ext>
          </a:extLst>
        </xdr:cNvPr>
        <xdr:cNvSpPr txBox="1"/>
      </xdr:nvSpPr>
      <xdr:spPr>
        <a:xfrm>
          <a:off x="2286000" y="17478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10</xdr:row>
      <xdr:rowOff>128587</xdr:rowOff>
    </xdr:from>
    <xdr:ext cx="65" cy="172227"/>
    <xdr:sp macro="" textlink="">
      <xdr:nvSpPr>
        <xdr:cNvPr id="25" name="ZoneTexte 24">
          <a:extLst>
            <a:ext uri="{FF2B5EF4-FFF2-40B4-BE49-F238E27FC236}">
              <a16:creationId xmlns:a16="http://schemas.microsoft.com/office/drawing/2014/main" id="{1051829B-A919-46CB-A5BA-9EE21637F2D6}"/>
            </a:ext>
          </a:extLst>
        </xdr:cNvPr>
        <xdr:cNvSpPr txBox="1"/>
      </xdr:nvSpPr>
      <xdr:spPr>
        <a:xfrm>
          <a:off x="2286000" y="17478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10</xdr:row>
      <xdr:rowOff>128587</xdr:rowOff>
    </xdr:from>
    <xdr:ext cx="65" cy="172227"/>
    <xdr:sp macro="" textlink="">
      <xdr:nvSpPr>
        <xdr:cNvPr id="26" name="ZoneTexte 25">
          <a:extLst>
            <a:ext uri="{FF2B5EF4-FFF2-40B4-BE49-F238E27FC236}">
              <a16:creationId xmlns:a16="http://schemas.microsoft.com/office/drawing/2014/main" id="{794545D5-05D3-4F98-8F68-9E25DB201861}"/>
            </a:ext>
          </a:extLst>
        </xdr:cNvPr>
        <xdr:cNvSpPr txBox="1"/>
      </xdr:nvSpPr>
      <xdr:spPr>
        <a:xfrm>
          <a:off x="2286000" y="17478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10</xdr:row>
      <xdr:rowOff>128587</xdr:rowOff>
    </xdr:from>
    <xdr:ext cx="65" cy="172227"/>
    <xdr:sp macro="" textlink="">
      <xdr:nvSpPr>
        <xdr:cNvPr id="27" name="ZoneTexte 26">
          <a:extLst>
            <a:ext uri="{FF2B5EF4-FFF2-40B4-BE49-F238E27FC236}">
              <a16:creationId xmlns:a16="http://schemas.microsoft.com/office/drawing/2014/main" id="{65475480-01D9-4C4A-BC54-60F5F66B2FA6}"/>
            </a:ext>
          </a:extLst>
        </xdr:cNvPr>
        <xdr:cNvSpPr txBox="1"/>
      </xdr:nvSpPr>
      <xdr:spPr>
        <a:xfrm>
          <a:off x="2286000" y="17478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10</xdr:row>
      <xdr:rowOff>128587</xdr:rowOff>
    </xdr:from>
    <xdr:ext cx="65" cy="172227"/>
    <xdr:sp macro="" textlink="">
      <xdr:nvSpPr>
        <xdr:cNvPr id="28" name="ZoneTexte 27">
          <a:extLst>
            <a:ext uri="{FF2B5EF4-FFF2-40B4-BE49-F238E27FC236}">
              <a16:creationId xmlns:a16="http://schemas.microsoft.com/office/drawing/2014/main" id="{18598BA8-1548-41CC-8F6B-42F3C21A52D7}"/>
            </a:ext>
          </a:extLst>
        </xdr:cNvPr>
        <xdr:cNvSpPr txBox="1"/>
      </xdr:nvSpPr>
      <xdr:spPr>
        <a:xfrm>
          <a:off x="2286000" y="17478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xdr:row>
      <xdr:rowOff>128587</xdr:rowOff>
    </xdr:from>
    <xdr:ext cx="65" cy="172227"/>
    <xdr:sp macro="" textlink="">
      <xdr:nvSpPr>
        <xdr:cNvPr id="29" name="ZoneTexte 28">
          <a:extLst>
            <a:ext uri="{FF2B5EF4-FFF2-40B4-BE49-F238E27FC236}">
              <a16:creationId xmlns:a16="http://schemas.microsoft.com/office/drawing/2014/main" id="{CE604D62-7907-44BE-8C7E-D245CA345DA9}"/>
            </a:ext>
          </a:extLst>
        </xdr:cNvPr>
        <xdr:cNvSpPr txBox="1"/>
      </xdr:nvSpPr>
      <xdr:spPr>
        <a:xfrm>
          <a:off x="2286000" y="14239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xdr:row>
      <xdr:rowOff>128587</xdr:rowOff>
    </xdr:from>
    <xdr:ext cx="65" cy="172227"/>
    <xdr:sp macro="" textlink="">
      <xdr:nvSpPr>
        <xdr:cNvPr id="30" name="ZoneTexte 29">
          <a:extLst>
            <a:ext uri="{FF2B5EF4-FFF2-40B4-BE49-F238E27FC236}">
              <a16:creationId xmlns:a16="http://schemas.microsoft.com/office/drawing/2014/main" id="{BBC5C91A-FA9B-4640-B3D3-8C466B208978}"/>
            </a:ext>
          </a:extLst>
        </xdr:cNvPr>
        <xdr:cNvSpPr txBox="1"/>
      </xdr:nvSpPr>
      <xdr:spPr>
        <a:xfrm>
          <a:off x="2286000" y="14239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xdr:row>
      <xdr:rowOff>128587</xdr:rowOff>
    </xdr:from>
    <xdr:ext cx="65" cy="172227"/>
    <xdr:sp macro="" textlink="">
      <xdr:nvSpPr>
        <xdr:cNvPr id="31" name="ZoneTexte 30">
          <a:extLst>
            <a:ext uri="{FF2B5EF4-FFF2-40B4-BE49-F238E27FC236}">
              <a16:creationId xmlns:a16="http://schemas.microsoft.com/office/drawing/2014/main" id="{856E902C-548B-4E26-BE30-DF1A69D580ED}"/>
            </a:ext>
          </a:extLst>
        </xdr:cNvPr>
        <xdr:cNvSpPr txBox="1"/>
      </xdr:nvSpPr>
      <xdr:spPr>
        <a:xfrm>
          <a:off x="2286000" y="14239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xdr:row>
      <xdr:rowOff>128587</xdr:rowOff>
    </xdr:from>
    <xdr:ext cx="65" cy="172227"/>
    <xdr:sp macro="" textlink="">
      <xdr:nvSpPr>
        <xdr:cNvPr id="32" name="ZoneTexte 31">
          <a:extLst>
            <a:ext uri="{FF2B5EF4-FFF2-40B4-BE49-F238E27FC236}">
              <a16:creationId xmlns:a16="http://schemas.microsoft.com/office/drawing/2014/main" id="{25C2B269-B40E-4E79-B226-550C63B9E1DA}"/>
            </a:ext>
          </a:extLst>
        </xdr:cNvPr>
        <xdr:cNvSpPr txBox="1"/>
      </xdr:nvSpPr>
      <xdr:spPr>
        <a:xfrm>
          <a:off x="2286000" y="14239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xdr:row>
      <xdr:rowOff>128587</xdr:rowOff>
    </xdr:from>
    <xdr:ext cx="65" cy="172227"/>
    <xdr:sp macro="" textlink="">
      <xdr:nvSpPr>
        <xdr:cNvPr id="33" name="ZoneTexte 32">
          <a:extLst>
            <a:ext uri="{FF2B5EF4-FFF2-40B4-BE49-F238E27FC236}">
              <a16:creationId xmlns:a16="http://schemas.microsoft.com/office/drawing/2014/main" id="{D462974F-58DE-496E-943A-B3555A8167AB}"/>
            </a:ext>
          </a:extLst>
        </xdr:cNvPr>
        <xdr:cNvSpPr txBox="1"/>
      </xdr:nvSpPr>
      <xdr:spPr>
        <a:xfrm>
          <a:off x="2286000" y="14239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xdr:row>
      <xdr:rowOff>128587</xdr:rowOff>
    </xdr:from>
    <xdr:ext cx="65" cy="172227"/>
    <xdr:sp macro="" textlink="">
      <xdr:nvSpPr>
        <xdr:cNvPr id="34" name="ZoneTexte 33">
          <a:extLst>
            <a:ext uri="{FF2B5EF4-FFF2-40B4-BE49-F238E27FC236}">
              <a16:creationId xmlns:a16="http://schemas.microsoft.com/office/drawing/2014/main" id="{A8AB3119-6831-45AB-87F3-6EE233D16317}"/>
            </a:ext>
          </a:extLst>
        </xdr:cNvPr>
        <xdr:cNvSpPr txBox="1"/>
      </xdr:nvSpPr>
      <xdr:spPr>
        <a:xfrm>
          <a:off x="2286000" y="14239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xdr:row>
      <xdr:rowOff>128587</xdr:rowOff>
    </xdr:from>
    <xdr:ext cx="65" cy="172227"/>
    <xdr:sp macro="" textlink="">
      <xdr:nvSpPr>
        <xdr:cNvPr id="35" name="ZoneTexte 34">
          <a:extLst>
            <a:ext uri="{FF2B5EF4-FFF2-40B4-BE49-F238E27FC236}">
              <a16:creationId xmlns:a16="http://schemas.microsoft.com/office/drawing/2014/main" id="{25636A2D-8932-4A48-AC08-E0389EB05776}"/>
            </a:ext>
          </a:extLst>
        </xdr:cNvPr>
        <xdr:cNvSpPr txBox="1"/>
      </xdr:nvSpPr>
      <xdr:spPr>
        <a:xfrm>
          <a:off x="2286000" y="14239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xdr:row>
      <xdr:rowOff>128587</xdr:rowOff>
    </xdr:from>
    <xdr:ext cx="65" cy="172227"/>
    <xdr:sp macro="" textlink="">
      <xdr:nvSpPr>
        <xdr:cNvPr id="36" name="ZoneTexte 35">
          <a:extLst>
            <a:ext uri="{FF2B5EF4-FFF2-40B4-BE49-F238E27FC236}">
              <a16:creationId xmlns:a16="http://schemas.microsoft.com/office/drawing/2014/main" id="{3D3F9E92-E1B3-4FD8-8A1A-7E5F6F4DCFD0}"/>
            </a:ext>
          </a:extLst>
        </xdr:cNvPr>
        <xdr:cNvSpPr txBox="1"/>
      </xdr:nvSpPr>
      <xdr:spPr>
        <a:xfrm>
          <a:off x="2286000" y="14239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xdr:row>
      <xdr:rowOff>128587</xdr:rowOff>
    </xdr:from>
    <xdr:ext cx="65" cy="172227"/>
    <xdr:sp macro="" textlink="">
      <xdr:nvSpPr>
        <xdr:cNvPr id="37" name="ZoneTexte 36">
          <a:extLst>
            <a:ext uri="{FF2B5EF4-FFF2-40B4-BE49-F238E27FC236}">
              <a16:creationId xmlns:a16="http://schemas.microsoft.com/office/drawing/2014/main" id="{E8C3B78F-0CFD-47FA-9277-28E174C20EF5}"/>
            </a:ext>
          </a:extLst>
        </xdr:cNvPr>
        <xdr:cNvSpPr txBox="1"/>
      </xdr:nvSpPr>
      <xdr:spPr>
        <a:xfrm>
          <a:off x="2286000" y="14239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xdr:row>
      <xdr:rowOff>128587</xdr:rowOff>
    </xdr:from>
    <xdr:ext cx="65" cy="172227"/>
    <xdr:sp macro="" textlink="">
      <xdr:nvSpPr>
        <xdr:cNvPr id="38" name="ZoneTexte 37">
          <a:extLst>
            <a:ext uri="{FF2B5EF4-FFF2-40B4-BE49-F238E27FC236}">
              <a16:creationId xmlns:a16="http://schemas.microsoft.com/office/drawing/2014/main" id="{C6C460AB-3027-4952-8503-021355157718}"/>
            </a:ext>
          </a:extLst>
        </xdr:cNvPr>
        <xdr:cNvSpPr txBox="1"/>
      </xdr:nvSpPr>
      <xdr:spPr>
        <a:xfrm>
          <a:off x="2286000" y="14239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xdr:row>
      <xdr:rowOff>128587</xdr:rowOff>
    </xdr:from>
    <xdr:ext cx="65" cy="172227"/>
    <xdr:sp macro="" textlink="">
      <xdr:nvSpPr>
        <xdr:cNvPr id="39" name="ZoneTexte 38">
          <a:extLst>
            <a:ext uri="{FF2B5EF4-FFF2-40B4-BE49-F238E27FC236}">
              <a16:creationId xmlns:a16="http://schemas.microsoft.com/office/drawing/2014/main" id="{BFC01AE5-03A4-4993-B658-88DD82F3E139}"/>
            </a:ext>
          </a:extLst>
        </xdr:cNvPr>
        <xdr:cNvSpPr txBox="1"/>
      </xdr:nvSpPr>
      <xdr:spPr>
        <a:xfrm>
          <a:off x="2286000" y="14239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xdr:row>
      <xdr:rowOff>128587</xdr:rowOff>
    </xdr:from>
    <xdr:ext cx="65" cy="172227"/>
    <xdr:sp macro="" textlink="">
      <xdr:nvSpPr>
        <xdr:cNvPr id="40" name="ZoneTexte 39">
          <a:extLst>
            <a:ext uri="{FF2B5EF4-FFF2-40B4-BE49-F238E27FC236}">
              <a16:creationId xmlns:a16="http://schemas.microsoft.com/office/drawing/2014/main" id="{DB4DA43D-B0E4-42CF-B651-55CB9E6BAB7A}"/>
            </a:ext>
          </a:extLst>
        </xdr:cNvPr>
        <xdr:cNvSpPr txBox="1"/>
      </xdr:nvSpPr>
      <xdr:spPr>
        <a:xfrm>
          <a:off x="2286000" y="14239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xdr:row>
      <xdr:rowOff>128587</xdr:rowOff>
    </xdr:from>
    <xdr:ext cx="65" cy="172227"/>
    <xdr:sp macro="" textlink="">
      <xdr:nvSpPr>
        <xdr:cNvPr id="41" name="ZoneTexte 40">
          <a:extLst>
            <a:ext uri="{FF2B5EF4-FFF2-40B4-BE49-F238E27FC236}">
              <a16:creationId xmlns:a16="http://schemas.microsoft.com/office/drawing/2014/main" id="{281B4AD8-9A4A-4CE4-A6C5-FDB98AE61BFE}"/>
            </a:ext>
          </a:extLst>
        </xdr:cNvPr>
        <xdr:cNvSpPr txBox="1"/>
      </xdr:nvSpPr>
      <xdr:spPr>
        <a:xfrm>
          <a:off x="2286000" y="14239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xdr:row>
      <xdr:rowOff>128587</xdr:rowOff>
    </xdr:from>
    <xdr:ext cx="65" cy="172227"/>
    <xdr:sp macro="" textlink="">
      <xdr:nvSpPr>
        <xdr:cNvPr id="42" name="ZoneTexte 41">
          <a:extLst>
            <a:ext uri="{FF2B5EF4-FFF2-40B4-BE49-F238E27FC236}">
              <a16:creationId xmlns:a16="http://schemas.microsoft.com/office/drawing/2014/main" id="{238B6870-7A9C-4234-AEC4-C435C9AF0940}"/>
            </a:ext>
          </a:extLst>
        </xdr:cNvPr>
        <xdr:cNvSpPr txBox="1"/>
      </xdr:nvSpPr>
      <xdr:spPr>
        <a:xfrm>
          <a:off x="2286000" y="14239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xdr:row>
      <xdr:rowOff>128587</xdr:rowOff>
    </xdr:from>
    <xdr:ext cx="65" cy="172227"/>
    <xdr:sp macro="" textlink="">
      <xdr:nvSpPr>
        <xdr:cNvPr id="43" name="ZoneTexte 42">
          <a:extLst>
            <a:ext uri="{FF2B5EF4-FFF2-40B4-BE49-F238E27FC236}">
              <a16:creationId xmlns:a16="http://schemas.microsoft.com/office/drawing/2014/main" id="{8A067B91-2710-4589-8FD5-E364CD7E2311}"/>
            </a:ext>
          </a:extLst>
        </xdr:cNvPr>
        <xdr:cNvSpPr txBox="1"/>
      </xdr:nvSpPr>
      <xdr:spPr>
        <a:xfrm>
          <a:off x="2286000" y="14239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xdr:row>
      <xdr:rowOff>128587</xdr:rowOff>
    </xdr:from>
    <xdr:ext cx="65" cy="172227"/>
    <xdr:sp macro="" textlink="">
      <xdr:nvSpPr>
        <xdr:cNvPr id="44" name="ZoneTexte 43">
          <a:extLst>
            <a:ext uri="{FF2B5EF4-FFF2-40B4-BE49-F238E27FC236}">
              <a16:creationId xmlns:a16="http://schemas.microsoft.com/office/drawing/2014/main" id="{6D0A8B26-D59F-4BC7-B8D0-E742D8891389}"/>
            </a:ext>
          </a:extLst>
        </xdr:cNvPr>
        <xdr:cNvSpPr txBox="1"/>
      </xdr:nvSpPr>
      <xdr:spPr>
        <a:xfrm>
          <a:off x="2286000" y="14239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xdr:row>
      <xdr:rowOff>128587</xdr:rowOff>
    </xdr:from>
    <xdr:ext cx="65" cy="172227"/>
    <xdr:sp macro="" textlink="">
      <xdr:nvSpPr>
        <xdr:cNvPr id="45" name="ZoneTexte 44">
          <a:extLst>
            <a:ext uri="{FF2B5EF4-FFF2-40B4-BE49-F238E27FC236}">
              <a16:creationId xmlns:a16="http://schemas.microsoft.com/office/drawing/2014/main" id="{2B132A3D-A0C2-4F62-8CA8-58236970C934}"/>
            </a:ext>
          </a:extLst>
        </xdr:cNvPr>
        <xdr:cNvSpPr txBox="1"/>
      </xdr:nvSpPr>
      <xdr:spPr>
        <a:xfrm>
          <a:off x="2286000" y="14239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xdr:row>
      <xdr:rowOff>128587</xdr:rowOff>
    </xdr:from>
    <xdr:ext cx="65" cy="172227"/>
    <xdr:sp macro="" textlink="">
      <xdr:nvSpPr>
        <xdr:cNvPr id="46" name="ZoneTexte 45">
          <a:extLst>
            <a:ext uri="{FF2B5EF4-FFF2-40B4-BE49-F238E27FC236}">
              <a16:creationId xmlns:a16="http://schemas.microsoft.com/office/drawing/2014/main" id="{9D482565-797C-4948-B762-A79385A8BD08}"/>
            </a:ext>
          </a:extLst>
        </xdr:cNvPr>
        <xdr:cNvSpPr txBox="1"/>
      </xdr:nvSpPr>
      <xdr:spPr>
        <a:xfrm>
          <a:off x="2286000" y="14239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xdr:row>
      <xdr:rowOff>128587</xdr:rowOff>
    </xdr:from>
    <xdr:ext cx="65" cy="172227"/>
    <xdr:sp macro="" textlink="">
      <xdr:nvSpPr>
        <xdr:cNvPr id="47" name="ZoneTexte 46">
          <a:extLst>
            <a:ext uri="{FF2B5EF4-FFF2-40B4-BE49-F238E27FC236}">
              <a16:creationId xmlns:a16="http://schemas.microsoft.com/office/drawing/2014/main" id="{AF060234-60D3-4E30-80DB-1599FCB3B185}"/>
            </a:ext>
          </a:extLst>
        </xdr:cNvPr>
        <xdr:cNvSpPr txBox="1"/>
      </xdr:nvSpPr>
      <xdr:spPr>
        <a:xfrm>
          <a:off x="2286000" y="1585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xdr:row>
      <xdr:rowOff>128587</xdr:rowOff>
    </xdr:from>
    <xdr:ext cx="65" cy="172227"/>
    <xdr:sp macro="" textlink="">
      <xdr:nvSpPr>
        <xdr:cNvPr id="48" name="ZoneTexte 47">
          <a:extLst>
            <a:ext uri="{FF2B5EF4-FFF2-40B4-BE49-F238E27FC236}">
              <a16:creationId xmlns:a16="http://schemas.microsoft.com/office/drawing/2014/main" id="{96AD3813-3186-44AE-AFB9-B086517A3A8A}"/>
            </a:ext>
          </a:extLst>
        </xdr:cNvPr>
        <xdr:cNvSpPr txBox="1"/>
      </xdr:nvSpPr>
      <xdr:spPr>
        <a:xfrm>
          <a:off x="2286000" y="1585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xdr:row>
      <xdr:rowOff>128587</xdr:rowOff>
    </xdr:from>
    <xdr:ext cx="65" cy="172227"/>
    <xdr:sp macro="" textlink="">
      <xdr:nvSpPr>
        <xdr:cNvPr id="49" name="ZoneTexte 48">
          <a:extLst>
            <a:ext uri="{FF2B5EF4-FFF2-40B4-BE49-F238E27FC236}">
              <a16:creationId xmlns:a16="http://schemas.microsoft.com/office/drawing/2014/main" id="{F350D9D7-F47A-4F68-B540-F86ACBAD1CA5}"/>
            </a:ext>
          </a:extLst>
        </xdr:cNvPr>
        <xdr:cNvSpPr txBox="1"/>
      </xdr:nvSpPr>
      <xdr:spPr>
        <a:xfrm>
          <a:off x="2286000" y="1585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xdr:row>
      <xdr:rowOff>128587</xdr:rowOff>
    </xdr:from>
    <xdr:ext cx="65" cy="172227"/>
    <xdr:sp macro="" textlink="">
      <xdr:nvSpPr>
        <xdr:cNvPr id="50" name="ZoneTexte 49">
          <a:extLst>
            <a:ext uri="{FF2B5EF4-FFF2-40B4-BE49-F238E27FC236}">
              <a16:creationId xmlns:a16="http://schemas.microsoft.com/office/drawing/2014/main" id="{0FF44EA0-CFDB-46A5-87FB-0D2FB3E0E5DB}"/>
            </a:ext>
          </a:extLst>
        </xdr:cNvPr>
        <xdr:cNvSpPr txBox="1"/>
      </xdr:nvSpPr>
      <xdr:spPr>
        <a:xfrm>
          <a:off x="2286000" y="1585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xdr:row>
      <xdr:rowOff>128587</xdr:rowOff>
    </xdr:from>
    <xdr:ext cx="65" cy="172227"/>
    <xdr:sp macro="" textlink="">
      <xdr:nvSpPr>
        <xdr:cNvPr id="51" name="ZoneTexte 50">
          <a:extLst>
            <a:ext uri="{FF2B5EF4-FFF2-40B4-BE49-F238E27FC236}">
              <a16:creationId xmlns:a16="http://schemas.microsoft.com/office/drawing/2014/main" id="{951134BC-20F6-4E3B-BC67-26ED8F63514A}"/>
            </a:ext>
          </a:extLst>
        </xdr:cNvPr>
        <xdr:cNvSpPr txBox="1"/>
      </xdr:nvSpPr>
      <xdr:spPr>
        <a:xfrm>
          <a:off x="2286000" y="1585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xdr:row>
      <xdr:rowOff>128587</xdr:rowOff>
    </xdr:from>
    <xdr:ext cx="65" cy="172227"/>
    <xdr:sp macro="" textlink="">
      <xdr:nvSpPr>
        <xdr:cNvPr id="52" name="ZoneTexte 51">
          <a:extLst>
            <a:ext uri="{FF2B5EF4-FFF2-40B4-BE49-F238E27FC236}">
              <a16:creationId xmlns:a16="http://schemas.microsoft.com/office/drawing/2014/main" id="{586384F0-6927-4F8C-BA45-1F46BB2E3552}"/>
            </a:ext>
          </a:extLst>
        </xdr:cNvPr>
        <xdr:cNvSpPr txBox="1"/>
      </xdr:nvSpPr>
      <xdr:spPr>
        <a:xfrm>
          <a:off x="2286000" y="1585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xdr:row>
      <xdr:rowOff>128587</xdr:rowOff>
    </xdr:from>
    <xdr:ext cx="65" cy="172227"/>
    <xdr:sp macro="" textlink="">
      <xdr:nvSpPr>
        <xdr:cNvPr id="53" name="ZoneTexte 52">
          <a:extLst>
            <a:ext uri="{FF2B5EF4-FFF2-40B4-BE49-F238E27FC236}">
              <a16:creationId xmlns:a16="http://schemas.microsoft.com/office/drawing/2014/main" id="{81147F0D-2351-4644-A1F3-F0D60C71F0CC}"/>
            </a:ext>
          </a:extLst>
        </xdr:cNvPr>
        <xdr:cNvSpPr txBox="1"/>
      </xdr:nvSpPr>
      <xdr:spPr>
        <a:xfrm>
          <a:off x="2286000" y="1585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xdr:row>
      <xdr:rowOff>128587</xdr:rowOff>
    </xdr:from>
    <xdr:ext cx="65" cy="172227"/>
    <xdr:sp macro="" textlink="">
      <xdr:nvSpPr>
        <xdr:cNvPr id="54" name="ZoneTexte 53">
          <a:extLst>
            <a:ext uri="{FF2B5EF4-FFF2-40B4-BE49-F238E27FC236}">
              <a16:creationId xmlns:a16="http://schemas.microsoft.com/office/drawing/2014/main" id="{C3A1B481-AB92-41CE-B3E2-8507E5D16A86}"/>
            </a:ext>
          </a:extLst>
        </xdr:cNvPr>
        <xdr:cNvSpPr txBox="1"/>
      </xdr:nvSpPr>
      <xdr:spPr>
        <a:xfrm>
          <a:off x="2286000" y="1585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xdr:row>
      <xdr:rowOff>128587</xdr:rowOff>
    </xdr:from>
    <xdr:ext cx="65" cy="172227"/>
    <xdr:sp macro="" textlink="">
      <xdr:nvSpPr>
        <xdr:cNvPr id="55" name="ZoneTexte 54">
          <a:extLst>
            <a:ext uri="{FF2B5EF4-FFF2-40B4-BE49-F238E27FC236}">
              <a16:creationId xmlns:a16="http://schemas.microsoft.com/office/drawing/2014/main" id="{D37B54D8-3BE4-4ABC-984F-C90F3D316B3F}"/>
            </a:ext>
          </a:extLst>
        </xdr:cNvPr>
        <xdr:cNvSpPr txBox="1"/>
      </xdr:nvSpPr>
      <xdr:spPr>
        <a:xfrm>
          <a:off x="2286000" y="1585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xdr:row>
      <xdr:rowOff>128587</xdr:rowOff>
    </xdr:from>
    <xdr:ext cx="65" cy="172227"/>
    <xdr:sp macro="" textlink="">
      <xdr:nvSpPr>
        <xdr:cNvPr id="56" name="ZoneTexte 55">
          <a:extLst>
            <a:ext uri="{FF2B5EF4-FFF2-40B4-BE49-F238E27FC236}">
              <a16:creationId xmlns:a16="http://schemas.microsoft.com/office/drawing/2014/main" id="{91B27B14-A666-45D1-9DA3-D3D348DCA4AB}"/>
            </a:ext>
          </a:extLst>
        </xdr:cNvPr>
        <xdr:cNvSpPr txBox="1"/>
      </xdr:nvSpPr>
      <xdr:spPr>
        <a:xfrm>
          <a:off x="2286000" y="14239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xdr:row>
      <xdr:rowOff>128587</xdr:rowOff>
    </xdr:from>
    <xdr:ext cx="65" cy="172227"/>
    <xdr:sp macro="" textlink="">
      <xdr:nvSpPr>
        <xdr:cNvPr id="57" name="ZoneTexte 56">
          <a:extLst>
            <a:ext uri="{FF2B5EF4-FFF2-40B4-BE49-F238E27FC236}">
              <a16:creationId xmlns:a16="http://schemas.microsoft.com/office/drawing/2014/main" id="{0A2A273D-033F-49F8-A461-940A219241F7}"/>
            </a:ext>
          </a:extLst>
        </xdr:cNvPr>
        <xdr:cNvSpPr txBox="1"/>
      </xdr:nvSpPr>
      <xdr:spPr>
        <a:xfrm>
          <a:off x="2286000" y="14239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xdr:row>
      <xdr:rowOff>128587</xdr:rowOff>
    </xdr:from>
    <xdr:ext cx="65" cy="172227"/>
    <xdr:sp macro="" textlink="">
      <xdr:nvSpPr>
        <xdr:cNvPr id="58" name="ZoneTexte 57">
          <a:extLst>
            <a:ext uri="{FF2B5EF4-FFF2-40B4-BE49-F238E27FC236}">
              <a16:creationId xmlns:a16="http://schemas.microsoft.com/office/drawing/2014/main" id="{63E0DDB6-6FD1-4CBF-B342-BACBF223CD1E}"/>
            </a:ext>
          </a:extLst>
        </xdr:cNvPr>
        <xdr:cNvSpPr txBox="1"/>
      </xdr:nvSpPr>
      <xdr:spPr>
        <a:xfrm>
          <a:off x="2286000" y="14239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xdr:row>
      <xdr:rowOff>128587</xdr:rowOff>
    </xdr:from>
    <xdr:ext cx="65" cy="172227"/>
    <xdr:sp macro="" textlink="">
      <xdr:nvSpPr>
        <xdr:cNvPr id="59" name="ZoneTexte 58">
          <a:extLst>
            <a:ext uri="{FF2B5EF4-FFF2-40B4-BE49-F238E27FC236}">
              <a16:creationId xmlns:a16="http://schemas.microsoft.com/office/drawing/2014/main" id="{FDF2ED7B-1328-4F92-AD91-69762D48E3EC}"/>
            </a:ext>
          </a:extLst>
        </xdr:cNvPr>
        <xdr:cNvSpPr txBox="1"/>
      </xdr:nvSpPr>
      <xdr:spPr>
        <a:xfrm>
          <a:off x="2286000" y="14239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xdr:row>
      <xdr:rowOff>128587</xdr:rowOff>
    </xdr:from>
    <xdr:ext cx="65" cy="172227"/>
    <xdr:sp macro="" textlink="">
      <xdr:nvSpPr>
        <xdr:cNvPr id="60" name="ZoneTexte 59">
          <a:extLst>
            <a:ext uri="{FF2B5EF4-FFF2-40B4-BE49-F238E27FC236}">
              <a16:creationId xmlns:a16="http://schemas.microsoft.com/office/drawing/2014/main" id="{75B34EC3-10A5-4A9A-82D3-AA0D1CFFF24F}"/>
            </a:ext>
          </a:extLst>
        </xdr:cNvPr>
        <xdr:cNvSpPr txBox="1"/>
      </xdr:nvSpPr>
      <xdr:spPr>
        <a:xfrm>
          <a:off x="2286000" y="14239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xdr:row>
      <xdr:rowOff>128587</xdr:rowOff>
    </xdr:from>
    <xdr:ext cx="65" cy="172227"/>
    <xdr:sp macro="" textlink="">
      <xdr:nvSpPr>
        <xdr:cNvPr id="61" name="ZoneTexte 60">
          <a:extLst>
            <a:ext uri="{FF2B5EF4-FFF2-40B4-BE49-F238E27FC236}">
              <a16:creationId xmlns:a16="http://schemas.microsoft.com/office/drawing/2014/main" id="{1C6A16E7-9C95-48C4-ADBE-186FB17D2186}"/>
            </a:ext>
          </a:extLst>
        </xdr:cNvPr>
        <xdr:cNvSpPr txBox="1"/>
      </xdr:nvSpPr>
      <xdr:spPr>
        <a:xfrm>
          <a:off x="2286000" y="14239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xdr:row>
      <xdr:rowOff>128587</xdr:rowOff>
    </xdr:from>
    <xdr:ext cx="65" cy="172227"/>
    <xdr:sp macro="" textlink="">
      <xdr:nvSpPr>
        <xdr:cNvPr id="62" name="ZoneTexte 61">
          <a:extLst>
            <a:ext uri="{FF2B5EF4-FFF2-40B4-BE49-F238E27FC236}">
              <a16:creationId xmlns:a16="http://schemas.microsoft.com/office/drawing/2014/main" id="{FEA44779-B474-4F93-A566-F10ECF48A2DB}"/>
            </a:ext>
          </a:extLst>
        </xdr:cNvPr>
        <xdr:cNvSpPr txBox="1"/>
      </xdr:nvSpPr>
      <xdr:spPr>
        <a:xfrm>
          <a:off x="2286000" y="14239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xdr:row>
      <xdr:rowOff>128587</xdr:rowOff>
    </xdr:from>
    <xdr:ext cx="65" cy="172227"/>
    <xdr:sp macro="" textlink="">
      <xdr:nvSpPr>
        <xdr:cNvPr id="63" name="ZoneTexte 62">
          <a:extLst>
            <a:ext uri="{FF2B5EF4-FFF2-40B4-BE49-F238E27FC236}">
              <a16:creationId xmlns:a16="http://schemas.microsoft.com/office/drawing/2014/main" id="{23F2D67C-C402-4C1D-971A-C146FCDD6754}"/>
            </a:ext>
          </a:extLst>
        </xdr:cNvPr>
        <xdr:cNvSpPr txBox="1"/>
      </xdr:nvSpPr>
      <xdr:spPr>
        <a:xfrm>
          <a:off x="2286000" y="14239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xdr:row>
      <xdr:rowOff>128587</xdr:rowOff>
    </xdr:from>
    <xdr:ext cx="65" cy="172227"/>
    <xdr:sp macro="" textlink="">
      <xdr:nvSpPr>
        <xdr:cNvPr id="64" name="ZoneTexte 63">
          <a:extLst>
            <a:ext uri="{FF2B5EF4-FFF2-40B4-BE49-F238E27FC236}">
              <a16:creationId xmlns:a16="http://schemas.microsoft.com/office/drawing/2014/main" id="{DE89FFB7-E737-44C2-BADF-F8092D1322F4}"/>
            </a:ext>
          </a:extLst>
        </xdr:cNvPr>
        <xdr:cNvSpPr txBox="1"/>
      </xdr:nvSpPr>
      <xdr:spPr>
        <a:xfrm>
          <a:off x="2286000" y="14239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xdr:row>
      <xdr:rowOff>128587</xdr:rowOff>
    </xdr:from>
    <xdr:ext cx="65" cy="172227"/>
    <xdr:sp macro="" textlink="">
      <xdr:nvSpPr>
        <xdr:cNvPr id="65" name="ZoneTexte 64">
          <a:extLst>
            <a:ext uri="{FF2B5EF4-FFF2-40B4-BE49-F238E27FC236}">
              <a16:creationId xmlns:a16="http://schemas.microsoft.com/office/drawing/2014/main" id="{1D1C3496-1489-455E-B85D-09721A839051}"/>
            </a:ext>
          </a:extLst>
        </xdr:cNvPr>
        <xdr:cNvSpPr txBox="1"/>
      </xdr:nvSpPr>
      <xdr:spPr>
        <a:xfrm>
          <a:off x="2286000" y="14239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xdr:row>
      <xdr:rowOff>128587</xdr:rowOff>
    </xdr:from>
    <xdr:ext cx="65" cy="172227"/>
    <xdr:sp macro="" textlink="">
      <xdr:nvSpPr>
        <xdr:cNvPr id="66" name="ZoneTexte 65">
          <a:extLst>
            <a:ext uri="{FF2B5EF4-FFF2-40B4-BE49-F238E27FC236}">
              <a16:creationId xmlns:a16="http://schemas.microsoft.com/office/drawing/2014/main" id="{A8A8FB6E-97FB-47E0-B011-4C0EE5189744}"/>
            </a:ext>
          </a:extLst>
        </xdr:cNvPr>
        <xdr:cNvSpPr txBox="1"/>
      </xdr:nvSpPr>
      <xdr:spPr>
        <a:xfrm>
          <a:off x="2286000" y="14239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xdr:row>
      <xdr:rowOff>128587</xdr:rowOff>
    </xdr:from>
    <xdr:ext cx="65" cy="172227"/>
    <xdr:sp macro="" textlink="">
      <xdr:nvSpPr>
        <xdr:cNvPr id="67" name="ZoneTexte 66">
          <a:extLst>
            <a:ext uri="{FF2B5EF4-FFF2-40B4-BE49-F238E27FC236}">
              <a16:creationId xmlns:a16="http://schemas.microsoft.com/office/drawing/2014/main" id="{16D35DAA-6646-4B28-A234-CA8535EE23F0}"/>
            </a:ext>
          </a:extLst>
        </xdr:cNvPr>
        <xdr:cNvSpPr txBox="1"/>
      </xdr:nvSpPr>
      <xdr:spPr>
        <a:xfrm>
          <a:off x="2286000" y="14239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xdr:row>
      <xdr:rowOff>128587</xdr:rowOff>
    </xdr:from>
    <xdr:ext cx="65" cy="172227"/>
    <xdr:sp macro="" textlink="">
      <xdr:nvSpPr>
        <xdr:cNvPr id="68" name="ZoneTexte 67">
          <a:extLst>
            <a:ext uri="{FF2B5EF4-FFF2-40B4-BE49-F238E27FC236}">
              <a16:creationId xmlns:a16="http://schemas.microsoft.com/office/drawing/2014/main" id="{E6A46314-52F1-49A8-BC16-2D96BA5D753B}"/>
            </a:ext>
          </a:extLst>
        </xdr:cNvPr>
        <xdr:cNvSpPr txBox="1"/>
      </xdr:nvSpPr>
      <xdr:spPr>
        <a:xfrm>
          <a:off x="2286000" y="14239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xdr:row>
      <xdr:rowOff>128587</xdr:rowOff>
    </xdr:from>
    <xdr:ext cx="65" cy="172227"/>
    <xdr:sp macro="" textlink="">
      <xdr:nvSpPr>
        <xdr:cNvPr id="69" name="ZoneTexte 68">
          <a:extLst>
            <a:ext uri="{FF2B5EF4-FFF2-40B4-BE49-F238E27FC236}">
              <a16:creationId xmlns:a16="http://schemas.microsoft.com/office/drawing/2014/main" id="{3B3EE716-EF5F-4C62-BB42-8A59BB72D234}"/>
            </a:ext>
          </a:extLst>
        </xdr:cNvPr>
        <xdr:cNvSpPr txBox="1"/>
      </xdr:nvSpPr>
      <xdr:spPr>
        <a:xfrm>
          <a:off x="2286000" y="14239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xdr:row>
      <xdr:rowOff>128587</xdr:rowOff>
    </xdr:from>
    <xdr:ext cx="65" cy="172227"/>
    <xdr:sp macro="" textlink="">
      <xdr:nvSpPr>
        <xdr:cNvPr id="70" name="ZoneTexte 69">
          <a:extLst>
            <a:ext uri="{FF2B5EF4-FFF2-40B4-BE49-F238E27FC236}">
              <a16:creationId xmlns:a16="http://schemas.microsoft.com/office/drawing/2014/main" id="{1FC7E4F8-6C7E-4E98-8DED-85A2F4468CE4}"/>
            </a:ext>
          </a:extLst>
        </xdr:cNvPr>
        <xdr:cNvSpPr txBox="1"/>
      </xdr:nvSpPr>
      <xdr:spPr>
        <a:xfrm>
          <a:off x="2286000" y="14239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xdr:row>
      <xdr:rowOff>128587</xdr:rowOff>
    </xdr:from>
    <xdr:ext cx="65" cy="172227"/>
    <xdr:sp macro="" textlink="">
      <xdr:nvSpPr>
        <xdr:cNvPr id="71" name="ZoneTexte 70">
          <a:extLst>
            <a:ext uri="{FF2B5EF4-FFF2-40B4-BE49-F238E27FC236}">
              <a16:creationId xmlns:a16="http://schemas.microsoft.com/office/drawing/2014/main" id="{DBCEBA8B-70A4-4D2B-8915-091FA90D6870}"/>
            </a:ext>
          </a:extLst>
        </xdr:cNvPr>
        <xdr:cNvSpPr txBox="1"/>
      </xdr:nvSpPr>
      <xdr:spPr>
        <a:xfrm>
          <a:off x="2286000" y="14239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xdr:row>
      <xdr:rowOff>128587</xdr:rowOff>
    </xdr:from>
    <xdr:ext cx="65" cy="172227"/>
    <xdr:sp macro="" textlink="">
      <xdr:nvSpPr>
        <xdr:cNvPr id="72" name="ZoneTexte 71">
          <a:extLst>
            <a:ext uri="{FF2B5EF4-FFF2-40B4-BE49-F238E27FC236}">
              <a16:creationId xmlns:a16="http://schemas.microsoft.com/office/drawing/2014/main" id="{149CF4FE-DD6A-4C3A-82A9-83F738C89B70}"/>
            </a:ext>
          </a:extLst>
        </xdr:cNvPr>
        <xdr:cNvSpPr txBox="1"/>
      </xdr:nvSpPr>
      <xdr:spPr>
        <a:xfrm>
          <a:off x="2286000" y="14239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xdr:row>
      <xdr:rowOff>128587</xdr:rowOff>
    </xdr:from>
    <xdr:ext cx="65" cy="172227"/>
    <xdr:sp macro="" textlink="">
      <xdr:nvSpPr>
        <xdr:cNvPr id="73" name="ZoneTexte 72">
          <a:extLst>
            <a:ext uri="{FF2B5EF4-FFF2-40B4-BE49-F238E27FC236}">
              <a16:creationId xmlns:a16="http://schemas.microsoft.com/office/drawing/2014/main" id="{F9B31A05-BD9F-45D5-9DA7-0A1412CA94A3}"/>
            </a:ext>
          </a:extLst>
        </xdr:cNvPr>
        <xdr:cNvSpPr txBox="1"/>
      </xdr:nvSpPr>
      <xdr:spPr>
        <a:xfrm>
          <a:off x="2286000" y="14239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xdr:row>
      <xdr:rowOff>128587</xdr:rowOff>
    </xdr:from>
    <xdr:ext cx="65" cy="172227"/>
    <xdr:sp macro="" textlink="">
      <xdr:nvSpPr>
        <xdr:cNvPr id="74" name="ZoneTexte 73">
          <a:extLst>
            <a:ext uri="{FF2B5EF4-FFF2-40B4-BE49-F238E27FC236}">
              <a16:creationId xmlns:a16="http://schemas.microsoft.com/office/drawing/2014/main" id="{18656FB9-EF22-44D8-8F99-7F3C62A7C5E2}"/>
            </a:ext>
          </a:extLst>
        </xdr:cNvPr>
        <xdr:cNvSpPr txBox="1"/>
      </xdr:nvSpPr>
      <xdr:spPr>
        <a:xfrm>
          <a:off x="2286000" y="14239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xdr:row>
      <xdr:rowOff>128587</xdr:rowOff>
    </xdr:from>
    <xdr:ext cx="65" cy="172227"/>
    <xdr:sp macro="" textlink="">
      <xdr:nvSpPr>
        <xdr:cNvPr id="75" name="ZoneTexte 74">
          <a:extLst>
            <a:ext uri="{FF2B5EF4-FFF2-40B4-BE49-F238E27FC236}">
              <a16:creationId xmlns:a16="http://schemas.microsoft.com/office/drawing/2014/main" id="{964D720B-35B9-4040-BD3F-3B29125DAACA}"/>
            </a:ext>
          </a:extLst>
        </xdr:cNvPr>
        <xdr:cNvSpPr txBox="1"/>
      </xdr:nvSpPr>
      <xdr:spPr>
        <a:xfrm>
          <a:off x="2286000" y="14239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xdr:row>
      <xdr:rowOff>128587</xdr:rowOff>
    </xdr:from>
    <xdr:ext cx="65" cy="172227"/>
    <xdr:sp macro="" textlink="">
      <xdr:nvSpPr>
        <xdr:cNvPr id="76" name="ZoneTexte 75">
          <a:extLst>
            <a:ext uri="{FF2B5EF4-FFF2-40B4-BE49-F238E27FC236}">
              <a16:creationId xmlns:a16="http://schemas.microsoft.com/office/drawing/2014/main" id="{F712FF01-F010-4F90-8412-00200F89FD0D}"/>
            </a:ext>
          </a:extLst>
        </xdr:cNvPr>
        <xdr:cNvSpPr txBox="1"/>
      </xdr:nvSpPr>
      <xdr:spPr>
        <a:xfrm>
          <a:off x="2286000" y="14239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xdr:row>
      <xdr:rowOff>128587</xdr:rowOff>
    </xdr:from>
    <xdr:ext cx="65" cy="172227"/>
    <xdr:sp macro="" textlink="">
      <xdr:nvSpPr>
        <xdr:cNvPr id="77" name="ZoneTexte 76">
          <a:extLst>
            <a:ext uri="{FF2B5EF4-FFF2-40B4-BE49-F238E27FC236}">
              <a16:creationId xmlns:a16="http://schemas.microsoft.com/office/drawing/2014/main" id="{618D2E2E-68A6-49E7-AA60-2DED588D2CB2}"/>
            </a:ext>
          </a:extLst>
        </xdr:cNvPr>
        <xdr:cNvSpPr txBox="1"/>
      </xdr:nvSpPr>
      <xdr:spPr>
        <a:xfrm>
          <a:off x="2286000" y="14239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xdr:row>
      <xdr:rowOff>128587</xdr:rowOff>
    </xdr:from>
    <xdr:ext cx="65" cy="172227"/>
    <xdr:sp macro="" textlink="">
      <xdr:nvSpPr>
        <xdr:cNvPr id="78" name="ZoneTexte 77">
          <a:extLst>
            <a:ext uri="{FF2B5EF4-FFF2-40B4-BE49-F238E27FC236}">
              <a16:creationId xmlns:a16="http://schemas.microsoft.com/office/drawing/2014/main" id="{742A5043-F04F-4679-9B40-2296122A7ADA}"/>
            </a:ext>
          </a:extLst>
        </xdr:cNvPr>
        <xdr:cNvSpPr txBox="1"/>
      </xdr:nvSpPr>
      <xdr:spPr>
        <a:xfrm>
          <a:off x="2286000" y="14239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xdr:row>
      <xdr:rowOff>128587</xdr:rowOff>
    </xdr:from>
    <xdr:ext cx="65" cy="172227"/>
    <xdr:sp macro="" textlink="">
      <xdr:nvSpPr>
        <xdr:cNvPr id="79" name="ZoneTexte 78">
          <a:extLst>
            <a:ext uri="{FF2B5EF4-FFF2-40B4-BE49-F238E27FC236}">
              <a16:creationId xmlns:a16="http://schemas.microsoft.com/office/drawing/2014/main" id="{76DA96BB-CDD1-4385-9811-BF05F36102C0}"/>
            </a:ext>
          </a:extLst>
        </xdr:cNvPr>
        <xdr:cNvSpPr txBox="1"/>
      </xdr:nvSpPr>
      <xdr:spPr>
        <a:xfrm>
          <a:off x="2286000" y="14239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xdr:row>
      <xdr:rowOff>128587</xdr:rowOff>
    </xdr:from>
    <xdr:ext cx="65" cy="172227"/>
    <xdr:sp macro="" textlink="">
      <xdr:nvSpPr>
        <xdr:cNvPr id="80" name="ZoneTexte 79">
          <a:extLst>
            <a:ext uri="{FF2B5EF4-FFF2-40B4-BE49-F238E27FC236}">
              <a16:creationId xmlns:a16="http://schemas.microsoft.com/office/drawing/2014/main" id="{D27E0F87-D82E-4B43-99F4-FED8088CAAF7}"/>
            </a:ext>
          </a:extLst>
        </xdr:cNvPr>
        <xdr:cNvSpPr txBox="1"/>
      </xdr:nvSpPr>
      <xdr:spPr>
        <a:xfrm>
          <a:off x="2286000" y="14239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xdr:row>
      <xdr:rowOff>128587</xdr:rowOff>
    </xdr:from>
    <xdr:ext cx="65" cy="172227"/>
    <xdr:sp macro="" textlink="">
      <xdr:nvSpPr>
        <xdr:cNvPr id="81" name="ZoneTexte 80">
          <a:extLst>
            <a:ext uri="{FF2B5EF4-FFF2-40B4-BE49-F238E27FC236}">
              <a16:creationId xmlns:a16="http://schemas.microsoft.com/office/drawing/2014/main" id="{66380F5C-5733-48C3-AB56-4511BD44DD41}"/>
            </a:ext>
          </a:extLst>
        </xdr:cNvPr>
        <xdr:cNvSpPr txBox="1"/>
      </xdr:nvSpPr>
      <xdr:spPr>
        <a:xfrm>
          <a:off x="2286000" y="14239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xdr:row>
      <xdr:rowOff>128587</xdr:rowOff>
    </xdr:from>
    <xdr:ext cx="65" cy="172227"/>
    <xdr:sp macro="" textlink="">
      <xdr:nvSpPr>
        <xdr:cNvPr id="82" name="ZoneTexte 81">
          <a:extLst>
            <a:ext uri="{FF2B5EF4-FFF2-40B4-BE49-F238E27FC236}">
              <a16:creationId xmlns:a16="http://schemas.microsoft.com/office/drawing/2014/main" id="{A1C75E21-6291-4BC8-B63F-C471AC33D803}"/>
            </a:ext>
          </a:extLst>
        </xdr:cNvPr>
        <xdr:cNvSpPr txBox="1"/>
      </xdr:nvSpPr>
      <xdr:spPr>
        <a:xfrm>
          <a:off x="2286000" y="14239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xdr:row>
      <xdr:rowOff>128587</xdr:rowOff>
    </xdr:from>
    <xdr:ext cx="65" cy="172227"/>
    <xdr:sp macro="" textlink="">
      <xdr:nvSpPr>
        <xdr:cNvPr id="83" name="ZoneTexte 82">
          <a:extLst>
            <a:ext uri="{FF2B5EF4-FFF2-40B4-BE49-F238E27FC236}">
              <a16:creationId xmlns:a16="http://schemas.microsoft.com/office/drawing/2014/main" id="{DDB5CB8A-2A0F-4DEE-983A-5188AFFD93B0}"/>
            </a:ext>
          </a:extLst>
        </xdr:cNvPr>
        <xdr:cNvSpPr txBox="1"/>
      </xdr:nvSpPr>
      <xdr:spPr>
        <a:xfrm>
          <a:off x="2286000" y="14239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xdr:row>
      <xdr:rowOff>128587</xdr:rowOff>
    </xdr:from>
    <xdr:ext cx="65" cy="172227"/>
    <xdr:sp macro="" textlink="">
      <xdr:nvSpPr>
        <xdr:cNvPr id="84" name="ZoneTexte 83">
          <a:extLst>
            <a:ext uri="{FF2B5EF4-FFF2-40B4-BE49-F238E27FC236}">
              <a16:creationId xmlns:a16="http://schemas.microsoft.com/office/drawing/2014/main" id="{240B072D-D10B-4DF4-BE13-B753886DD4A9}"/>
            </a:ext>
          </a:extLst>
        </xdr:cNvPr>
        <xdr:cNvSpPr txBox="1"/>
      </xdr:nvSpPr>
      <xdr:spPr>
        <a:xfrm>
          <a:off x="2286000" y="14239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xdr:row>
      <xdr:rowOff>128587</xdr:rowOff>
    </xdr:from>
    <xdr:ext cx="65" cy="172227"/>
    <xdr:sp macro="" textlink="">
      <xdr:nvSpPr>
        <xdr:cNvPr id="85" name="ZoneTexte 84">
          <a:extLst>
            <a:ext uri="{FF2B5EF4-FFF2-40B4-BE49-F238E27FC236}">
              <a16:creationId xmlns:a16="http://schemas.microsoft.com/office/drawing/2014/main" id="{DD6C0C70-D179-4510-A8ED-4BA90FF2758F}"/>
            </a:ext>
          </a:extLst>
        </xdr:cNvPr>
        <xdr:cNvSpPr txBox="1"/>
      </xdr:nvSpPr>
      <xdr:spPr>
        <a:xfrm>
          <a:off x="2286000" y="14239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xdr:row>
      <xdr:rowOff>128587</xdr:rowOff>
    </xdr:from>
    <xdr:ext cx="65" cy="172227"/>
    <xdr:sp macro="" textlink="">
      <xdr:nvSpPr>
        <xdr:cNvPr id="86" name="ZoneTexte 85">
          <a:extLst>
            <a:ext uri="{FF2B5EF4-FFF2-40B4-BE49-F238E27FC236}">
              <a16:creationId xmlns:a16="http://schemas.microsoft.com/office/drawing/2014/main" id="{88B861DB-417A-44DC-977C-EFBC33925B26}"/>
            </a:ext>
          </a:extLst>
        </xdr:cNvPr>
        <xdr:cNvSpPr txBox="1"/>
      </xdr:nvSpPr>
      <xdr:spPr>
        <a:xfrm>
          <a:off x="2286000" y="14239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xdr:row>
      <xdr:rowOff>128587</xdr:rowOff>
    </xdr:from>
    <xdr:ext cx="65" cy="172227"/>
    <xdr:sp macro="" textlink="">
      <xdr:nvSpPr>
        <xdr:cNvPr id="87" name="ZoneTexte 86">
          <a:extLst>
            <a:ext uri="{FF2B5EF4-FFF2-40B4-BE49-F238E27FC236}">
              <a16:creationId xmlns:a16="http://schemas.microsoft.com/office/drawing/2014/main" id="{418EF598-1A77-44A8-A59C-C9143DF0D5F6}"/>
            </a:ext>
          </a:extLst>
        </xdr:cNvPr>
        <xdr:cNvSpPr txBox="1"/>
      </xdr:nvSpPr>
      <xdr:spPr>
        <a:xfrm>
          <a:off x="2286000" y="14239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xdr:row>
      <xdr:rowOff>128587</xdr:rowOff>
    </xdr:from>
    <xdr:ext cx="65" cy="172227"/>
    <xdr:sp macro="" textlink="">
      <xdr:nvSpPr>
        <xdr:cNvPr id="88" name="ZoneTexte 87">
          <a:extLst>
            <a:ext uri="{FF2B5EF4-FFF2-40B4-BE49-F238E27FC236}">
              <a16:creationId xmlns:a16="http://schemas.microsoft.com/office/drawing/2014/main" id="{EA2713DC-CDD3-40F3-B080-168A2B32D40E}"/>
            </a:ext>
          </a:extLst>
        </xdr:cNvPr>
        <xdr:cNvSpPr txBox="1"/>
      </xdr:nvSpPr>
      <xdr:spPr>
        <a:xfrm>
          <a:off x="2286000" y="14239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xdr:row>
      <xdr:rowOff>128587</xdr:rowOff>
    </xdr:from>
    <xdr:ext cx="65" cy="172227"/>
    <xdr:sp macro="" textlink="">
      <xdr:nvSpPr>
        <xdr:cNvPr id="89" name="ZoneTexte 88">
          <a:extLst>
            <a:ext uri="{FF2B5EF4-FFF2-40B4-BE49-F238E27FC236}">
              <a16:creationId xmlns:a16="http://schemas.microsoft.com/office/drawing/2014/main" id="{B91921BB-7648-4244-A624-0BD0720A9A98}"/>
            </a:ext>
          </a:extLst>
        </xdr:cNvPr>
        <xdr:cNvSpPr txBox="1"/>
      </xdr:nvSpPr>
      <xdr:spPr>
        <a:xfrm>
          <a:off x="2286000" y="14239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xdr:row>
      <xdr:rowOff>128587</xdr:rowOff>
    </xdr:from>
    <xdr:ext cx="65" cy="172227"/>
    <xdr:sp macro="" textlink="">
      <xdr:nvSpPr>
        <xdr:cNvPr id="90" name="ZoneTexte 89">
          <a:extLst>
            <a:ext uri="{FF2B5EF4-FFF2-40B4-BE49-F238E27FC236}">
              <a16:creationId xmlns:a16="http://schemas.microsoft.com/office/drawing/2014/main" id="{537375F2-09F8-4BC4-90C1-FDCB95B36CC1}"/>
            </a:ext>
          </a:extLst>
        </xdr:cNvPr>
        <xdr:cNvSpPr txBox="1"/>
      </xdr:nvSpPr>
      <xdr:spPr>
        <a:xfrm>
          <a:off x="2286000" y="14239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xdr:row>
      <xdr:rowOff>128587</xdr:rowOff>
    </xdr:from>
    <xdr:ext cx="65" cy="172227"/>
    <xdr:sp macro="" textlink="">
      <xdr:nvSpPr>
        <xdr:cNvPr id="91" name="ZoneTexte 90">
          <a:extLst>
            <a:ext uri="{FF2B5EF4-FFF2-40B4-BE49-F238E27FC236}">
              <a16:creationId xmlns:a16="http://schemas.microsoft.com/office/drawing/2014/main" id="{87A9E664-EAA5-4290-9823-F3631CED6EEC}"/>
            </a:ext>
          </a:extLst>
        </xdr:cNvPr>
        <xdr:cNvSpPr txBox="1"/>
      </xdr:nvSpPr>
      <xdr:spPr>
        <a:xfrm>
          <a:off x="2286000" y="14239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xdr:row>
      <xdr:rowOff>128587</xdr:rowOff>
    </xdr:from>
    <xdr:ext cx="65" cy="172227"/>
    <xdr:sp macro="" textlink="">
      <xdr:nvSpPr>
        <xdr:cNvPr id="92" name="ZoneTexte 91">
          <a:extLst>
            <a:ext uri="{FF2B5EF4-FFF2-40B4-BE49-F238E27FC236}">
              <a16:creationId xmlns:a16="http://schemas.microsoft.com/office/drawing/2014/main" id="{E3E586FD-FC6E-437C-BF08-459F08BD068E}"/>
            </a:ext>
          </a:extLst>
        </xdr:cNvPr>
        <xdr:cNvSpPr txBox="1"/>
      </xdr:nvSpPr>
      <xdr:spPr>
        <a:xfrm>
          <a:off x="2286000" y="14239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xdr:row>
      <xdr:rowOff>128587</xdr:rowOff>
    </xdr:from>
    <xdr:ext cx="65" cy="172227"/>
    <xdr:sp macro="" textlink="">
      <xdr:nvSpPr>
        <xdr:cNvPr id="93" name="ZoneTexte 92">
          <a:extLst>
            <a:ext uri="{FF2B5EF4-FFF2-40B4-BE49-F238E27FC236}">
              <a16:creationId xmlns:a16="http://schemas.microsoft.com/office/drawing/2014/main" id="{E09A5ACB-CBE6-4674-B2F0-D61C823C4B80}"/>
            </a:ext>
          </a:extLst>
        </xdr:cNvPr>
        <xdr:cNvSpPr txBox="1"/>
      </xdr:nvSpPr>
      <xdr:spPr>
        <a:xfrm>
          <a:off x="2286000" y="14239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xdr:row>
      <xdr:rowOff>128587</xdr:rowOff>
    </xdr:from>
    <xdr:ext cx="65" cy="172227"/>
    <xdr:sp macro="" textlink="">
      <xdr:nvSpPr>
        <xdr:cNvPr id="94" name="ZoneTexte 93">
          <a:extLst>
            <a:ext uri="{FF2B5EF4-FFF2-40B4-BE49-F238E27FC236}">
              <a16:creationId xmlns:a16="http://schemas.microsoft.com/office/drawing/2014/main" id="{7D7F5BFB-A5B7-4E53-A101-5CAACD179698}"/>
            </a:ext>
          </a:extLst>
        </xdr:cNvPr>
        <xdr:cNvSpPr txBox="1"/>
      </xdr:nvSpPr>
      <xdr:spPr>
        <a:xfrm>
          <a:off x="2286000" y="14239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xdr:row>
      <xdr:rowOff>128587</xdr:rowOff>
    </xdr:from>
    <xdr:ext cx="65" cy="172227"/>
    <xdr:sp macro="" textlink="">
      <xdr:nvSpPr>
        <xdr:cNvPr id="95" name="ZoneTexte 94">
          <a:extLst>
            <a:ext uri="{FF2B5EF4-FFF2-40B4-BE49-F238E27FC236}">
              <a16:creationId xmlns:a16="http://schemas.microsoft.com/office/drawing/2014/main" id="{6DBC2D92-A80D-48F0-ADB8-46B7785C9395}"/>
            </a:ext>
          </a:extLst>
        </xdr:cNvPr>
        <xdr:cNvSpPr txBox="1"/>
      </xdr:nvSpPr>
      <xdr:spPr>
        <a:xfrm>
          <a:off x="2286000" y="14239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xdr:row>
      <xdr:rowOff>128587</xdr:rowOff>
    </xdr:from>
    <xdr:ext cx="65" cy="172227"/>
    <xdr:sp macro="" textlink="">
      <xdr:nvSpPr>
        <xdr:cNvPr id="96" name="ZoneTexte 95">
          <a:extLst>
            <a:ext uri="{FF2B5EF4-FFF2-40B4-BE49-F238E27FC236}">
              <a16:creationId xmlns:a16="http://schemas.microsoft.com/office/drawing/2014/main" id="{DA1E8781-90E9-4683-BF40-3D078D9B7B97}"/>
            </a:ext>
          </a:extLst>
        </xdr:cNvPr>
        <xdr:cNvSpPr txBox="1"/>
      </xdr:nvSpPr>
      <xdr:spPr>
        <a:xfrm>
          <a:off x="2286000" y="14239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xdr:row>
      <xdr:rowOff>128587</xdr:rowOff>
    </xdr:from>
    <xdr:ext cx="65" cy="172227"/>
    <xdr:sp macro="" textlink="">
      <xdr:nvSpPr>
        <xdr:cNvPr id="97" name="ZoneTexte 96">
          <a:extLst>
            <a:ext uri="{FF2B5EF4-FFF2-40B4-BE49-F238E27FC236}">
              <a16:creationId xmlns:a16="http://schemas.microsoft.com/office/drawing/2014/main" id="{A4587A51-D05C-46C9-B837-90E1D4372786}"/>
            </a:ext>
          </a:extLst>
        </xdr:cNvPr>
        <xdr:cNvSpPr txBox="1"/>
      </xdr:nvSpPr>
      <xdr:spPr>
        <a:xfrm>
          <a:off x="2286000" y="14239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xdr:row>
      <xdr:rowOff>128587</xdr:rowOff>
    </xdr:from>
    <xdr:ext cx="65" cy="172227"/>
    <xdr:sp macro="" textlink="">
      <xdr:nvSpPr>
        <xdr:cNvPr id="98" name="ZoneTexte 97">
          <a:extLst>
            <a:ext uri="{FF2B5EF4-FFF2-40B4-BE49-F238E27FC236}">
              <a16:creationId xmlns:a16="http://schemas.microsoft.com/office/drawing/2014/main" id="{B66D70F7-3A8D-47E8-96BF-4DA8B611339C}"/>
            </a:ext>
          </a:extLst>
        </xdr:cNvPr>
        <xdr:cNvSpPr txBox="1"/>
      </xdr:nvSpPr>
      <xdr:spPr>
        <a:xfrm>
          <a:off x="2286000" y="14239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xdr:row>
      <xdr:rowOff>128587</xdr:rowOff>
    </xdr:from>
    <xdr:ext cx="65" cy="172227"/>
    <xdr:sp macro="" textlink="">
      <xdr:nvSpPr>
        <xdr:cNvPr id="99" name="ZoneTexte 98">
          <a:extLst>
            <a:ext uri="{FF2B5EF4-FFF2-40B4-BE49-F238E27FC236}">
              <a16:creationId xmlns:a16="http://schemas.microsoft.com/office/drawing/2014/main" id="{8C6443D2-A600-4A2F-B160-483E8450840A}"/>
            </a:ext>
          </a:extLst>
        </xdr:cNvPr>
        <xdr:cNvSpPr txBox="1"/>
      </xdr:nvSpPr>
      <xdr:spPr>
        <a:xfrm>
          <a:off x="2286000" y="14239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xdr:row>
      <xdr:rowOff>128587</xdr:rowOff>
    </xdr:from>
    <xdr:ext cx="65" cy="172227"/>
    <xdr:sp macro="" textlink="">
      <xdr:nvSpPr>
        <xdr:cNvPr id="100" name="ZoneTexte 99">
          <a:extLst>
            <a:ext uri="{FF2B5EF4-FFF2-40B4-BE49-F238E27FC236}">
              <a16:creationId xmlns:a16="http://schemas.microsoft.com/office/drawing/2014/main" id="{DE4D156D-9630-414F-A727-AF1A41A95AED}"/>
            </a:ext>
          </a:extLst>
        </xdr:cNvPr>
        <xdr:cNvSpPr txBox="1"/>
      </xdr:nvSpPr>
      <xdr:spPr>
        <a:xfrm>
          <a:off x="2286000" y="14239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11</xdr:row>
      <xdr:rowOff>128587</xdr:rowOff>
    </xdr:from>
    <xdr:ext cx="65" cy="172227"/>
    <xdr:sp macro="" textlink="">
      <xdr:nvSpPr>
        <xdr:cNvPr id="101" name="ZoneTexte 100">
          <a:extLst>
            <a:ext uri="{FF2B5EF4-FFF2-40B4-BE49-F238E27FC236}">
              <a16:creationId xmlns:a16="http://schemas.microsoft.com/office/drawing/2014/main" id="{7872E16D-1113-4169-B5D4-28DC561412B5}"/>
            </a:ext>
          </a:extLst>
        </xdr:cNvPr>
        <xdr:cNvSpPr txBox="1"/>
      </xdr:nvSpPr>
      <xdr:spPr>
        <a:xfrm>
          <a:off x="2286000" y="1909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11</xdr:row>
      <xdr:rowOff>128587</xdr:rowOff>
    </xdr:from>
    <xdr:ext cx="65" cy="172227"/>
    <xdr:sp macro="" textlink="">
      <xdr:nvSpPr>
        <xdr:cNvPr id="102" name="ZoneTexte 101">
          <a:extLst>
            <a:ext uri="{FF2B5EF4-FFF2-40B4-BE49-F238E27FC236}">
              <a16:creationId xmlns:a16="http://schemas.microsoft.com/office/drawing/2014/main" id="{E589931B-52A0-4D0A-9E98-87672BC68B2D}"/>
            </a:ext>
          </a:extLst>
        </xdr:cNvPr>
        <xdr:cNvSpPr txBox="1"/>
      </xdr:nvSpPr>
      <xdr:spPr>
        <a:xfrm>
          <a:off x="2286000" y="1909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11</xdr:row>
      <xdr:rowOff>128587</xdr:rowOff>
    </xdr:from>
    <xdr:ext cx="65" cy="172227"/>
    <xdr:sp macro="" textlink="">
      <xdr:nvSpPr>
        <xdr:cNvPr id="103" name="ZoneTexte 102">
          <a:extLst>
            <a:ext uri="{FF2B5EF4-FFF2-40B4-BE49-F238E27FC236}">
              <a16:creationId xmlns:a16="http://schemas.microsoft.com/office/drawing/2014/main" id="{4C0EFB6B-1BB0-4F5E-8EA0-0EFA7D54F386}"/>
            </a:ext>
          </a:extLst>
        </xdr:cNvPr>
        <xdr:cNvSpPr txBox="1"/>
      </xdr:nvSpPr>
      <xdr:spPr>
        <a:xfrm>
          <a:off x="2286000" y="1909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11</xdr:row>
      <xdr:rowOff>128587</xdr:rowOff>
    </xdr:from>
    <xdr:ext cx="65" cy="172227"/>
    <xdr:sp macro="" textlink="">
      <xdr:nvSpPr>
        <xdr:cNvPr id="104" name="ZoneTexte 103">
          <a:extLst>
            <a:ext uri="{FF2B5EF4-FFF2-40B4-BE49-F238E27FC236}">
              <a16:creationId xmlns:a16="http://schemas.microsoft.com/office/drawing/2014/main" id="{BD3944A6-737A-4AEC-AFA2-353F9D84D3C6}"/>
            </a:ext>
          </a:extLst>
        </xdr:cNvPr>
        <xdr:cNvSpPr txBox="1"/>
      </xdr:nvSpPr>
      <xdr:spPr>
        <a:xfrm>
          <a:off x="2286000" y="1909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11</xdr:row>
      <xdr:rowOff>128587</xdr:rowOff>
    </xdr:from>
    <xdr:ext cx="65" cy="172227"/>
    <xdr:sp macro="" textlink="">
      <xdr:nvSpPr>
        <xdr:cNvPr id="105" name="ZoneTexte 104">
          <a:extLst>
            <a:ext uri="{FF2B5EF4-FFF2-40B4-BE49-F238E27FC236}">
              <a16:creationId xmlns:a16="http://schemas.microsoft.com/office/drawing/2014/main" id="{8FB3EE12-3AAC-4E9B-A82B-5CD74128E842}"/>
            </a:ext>
          </a:extLst>
        </xdr:cNvPr>
        <xdr:cNvSpPr txBox="1"/>
      </xdr:nvSpPr>
      <xdr:spPr>
        <a:xfrm>
          <a:off x="2286000" y="1909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11</xdr:row>
      <xdr:rowOff>128587</xdr:rowOff>
    </xdr:from>
    <xdr:ext cx="65" cy="172227"/>
    <xdr:sp macro="" textlink="">
      <xdr:nvSpPr>
        <xdr:cNvPr id="106" name="ZoneTexte 105">
          <a:extLst>
            <a:ext uri="{FF2B5EF4-FFF2-40B4-BE49-F238E27FC236}">
              <a16:creationId xmlns:a16="http://schemas.microsoft.com/office/drawing/2014/main" id="{CEC2A093-B917-45D7-95EE-301AC9BFD683}"/>
            </a:ext>
          </a:extLst>
        </xdr:cNvPr>
        <xdr:cNvSpPr txBox="1"/>
      </xdr:nvSpPr>
      <xdr:spPr>
        <a:xfrm>
          <a:off x="2286000" y="1909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11</xdr:row>
      <xdr:rowOff>128587</xdr:rowOff>
    </xdr:from>
    <xdr:ext cx="65" cy="172227"/>
    <xdr:sp macro="" textlink="">
      <xdr:nvSpPr>
        <xdr:cNvPr id="107" name="ZoneTexte 106">
          <a:extLst>
            <a:ext uri="{FF2B5EF4-FFF2-40B4-BE49-F238E27FC236}">
              <a16:creationId xmlns:a16="http://schemas.microsoft.com/office/drawing/2014/main" id="{3F54E2C4-0D31-4011-A15E-7D6B2A5DC3A7}"/>
            </a:ext>
          </a:extLst>
        </xdr:cNvPr>
        <xdr:cNvSpPr txBox="1"/>
      </xdr:nvSpPr>
      <xdr:spPr>
        <a:xfrm>
          <a:off x="2286000" y="1909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11</xdr:row>
      <xdr:rowOff>128587</xdr:rowOff>
    </xdr:from>
    <xdr:ext cx="65" cy="172227"/>
    <xdr:sp macro="" textlink="">
      <xdr:nvSpPr>
        <xdr:cNvPr id="108" name="ZoneTexte 107">
          <a:extLst>
            <a:ext uri="{FF2B5EF4-FFF2-40B4-BE49-F238E27FC236}">
              <a16:creationId xmlns:a16="http://schemas.microsoft.com/office/drawing/2014/main" id="{137DCB87-2F18-4F5C-B637-29180522D9BC}"/>
            </a:ext>
          </a:extLst>
        </xdr:cNvPr>
        <xdr:cNvSpPr txBox="1"/>
      </xdr:nvSpPr>
      <xdr:spPr>
        <a:xfrm>
          <a:off x="2286000" y="1909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11</xdr:row>
      <xdr:rowOff>128587</xdr:rowOff>
    </xdr:from>
    <xdr:ext cx="65" cy="172227"/>
    <xdr:sp macro="" textlink="">
      <xdr:nvSpPr>
        <xdr:cNvPr id="109" name="ZoneTexte 108">
          <a:extLst>
            <a:ext uri="{FF2B5EF4-FFF2-40B4-BE49-F238E27FC236}">
              <a16:creationId xmlns:a16="http://schemas.microsoft.com/office/drawing/2014/main" id="{D21AA121-2F98-4C50-A879-12A7C6F4F184}"/>
            </a:ext>
          </a:extLst>
        </xdr:cNvPr>
        <xdr:cNvSpPr txBox="1"/>
      </xdr:nvSpPr>
      <xdr:spPr>
        <a:xfrm>
          <a:off x="2286000" y="1909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11</xdr:row>
      <xdr:rowOff>128587</xdr:rowOff>
    </xdr:from>
    <xdr:ext cx="65" cy="172227"/>
    <xdr:sp macro="" textlink="">
      <xdr:nvSpPr>
        <xdr:cNvPr id="110" name="ZoneTexte 109">
          <a:extLst>
            <a:ext uri="{FF2B5EF4-FFF2-40B4-BE49-F238E27FC236}">
              <a16:creationId xmlns:a16="http://schemas.microsoft.com/office/drawing/2014/main" id="{743F846C-249F-4544-BFC3-C7069B16CD91}"/>
            </a:ext>
          </a:extLst>
        </xdr:cNvPr>
        <xdr:cNvSpPr txBox="1"/>
      </xdr:nvSpPr>
      <xdr:spPr>
        <a:xfrm>
          <a:off x="2286000" y="1909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11</xdr:row>
      <xdr:rowOff>128587</xdr:rowOff>
    </xdr:from>
    <xdr:ext cx="65" cy="172227"/>
    <xdr:sp macro="" textlink="">
      <xdr:nvSpPr>
        <xdr:cNvPr id="111" name="ZoneTexte 110">
          <a:extLst>
            <a:ext uri="{FF2B5EF4-FFF2-40B4-BE49-F238E27FC236}">
              <a16:creationId xmlns:a16="http://schemas.microsoft.com/office/drawing/2014/main" id="{A72383B7-E155-4BC2-8341-266A2B143D67}"/>
            </a:ext>
          </a:extLst>
        </xdr:cNvPr>
        <xdr:cNvSpPr txBox="1"/>
      </xdr:nvSpPr>
      <xdr:spPr>
        <a:xfrm>
          <a:off x="2286000" y="1909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11</xdr:row>
      <xdr:rowOff>128587</xdr:rowOff>
    </xdr:from>
    <xdr:ext cx="65" cy="172227"/>
    <xdr:sp macro="" textlink="">
      <xdr:nvSpPr>
        <xdr:cNvPr id="112" name="ZoneTexte 111">
          <a:extLst>
            <a:ext uri="{FF2B5EF4-FFF2-40B4-BE49-F238E27FC236}">
              <a16:creationId xmlns:a16="http://schemas.microsoft.com/office/drawing/2014/main" id="{7887F0CB-C907-4AF1-8353-BDFA5F9AFDC8}"/>
            </a:ext>
          </a:extLst>
        </xdr:cNvPr>
        <xdr:cNvSpPr txBox="1"/>
      </xdr:nvSpPr>
      <xdr:spPr>
        <a:xfrm>
          <a:off x="2286000" y="1909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11</xdr:row>
      <xdr:rowOff>128587</xdr:rowOff>
    </xdr:from>
    <xdr:ext cx="65" cy="172227"/>
    <xdr:sp macro="" textlink="">
      <xdr:nvSpPr>
        <xdr:cNvPr id="113" name="ZoneTexte 112">
          <a:extLst>
            <a:ext uri="{FF2B5EF4-FFF2-40B4-BE49-F238E27FC236}">
              <a16:creationId xmlns:a16="http://schemas.microsoft.com/office/drawing/2014/main" id="{C9072569-CA98-451B-8089-C80BC8DD9848}"/>
            </a:ext>
          </a:extLst>
        </xdr:cNvPr>
        <xdr:cNvSpPr txBox="1"/>
      </xdr:nvSpPr>
      <xdr:spPr>
        <a:xfrm>
          <a:off x="2286000" y="1909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11</xdr:row>
      <xdr:rowOff>128587</xdr:rowOff>
    </xdr:from>
    <xdr:ext cx="65" cy="172227"/>
    <xdr:sp macro="" textlink="">
      <xdr:nvSpPr>
        <xdr:cNvPr id="114" name="ZoneTexte 113">
          <a:extLst>
            <a:ext uri="{FF2B5EF4-FFF2-40B4-BE49-F238E27FC236}">
              <a16:creationId xmlns:a16="http://schemas.microsoft.com/office/drawing/2014/main" id="{D601789F-D6A8-484C-8059-F5FEA40AF94C}"/>
            </a:ext>
          </a:extLst>
        </xdr:cNvPr>
        <xdr:cNvSpPr txBox="1"/>
      </xdr:nvSpPr>
      <xdr:spPr>
        <a:xfrm>
          <a:off x="2286000" y="1909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11</xdr:row>
      <xdr:rowOff>128587</xdr:rowOff>
    </xdr:from>
    <xdr:ext cx="65" cy="172227"/>
    <xdr:sp macro="" textlink="">
      <xdr:nvSpPr>
        <xdr:cNvPr id="115" name="ZoneTexte 114">
          <a:extLst>
            <a:ext uri="{FF2B5EF4-FFF2-40B4-BE49-F238E27FC236}">
              <a16:creationId xmlns:a16="http://schemas.microsoft.com/office/drawing/2014/main" id="{04551311-08AB-4F6F-9606-3A3D5D3780F6}"/>
            </a:ext>
          </a:extLst>
        </xdr:cNvPr>
        <xdr:cNvSpPr txBox="1"/>
      </xdr:nvSpPr>
      <xdr:spPr>
        <a:xfrm>
          <a:off x="2286000" y="1909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11</xdr:row>
      <xdr:rowOff>128587</xdr:rowOff>
    </xdr:from>
    <xdr:ext cx="65" cy="172227"/>
    <xdr:sp macro="" textlink="">
      <xdr:nvSpPr>
        <xdr:cNvPr id="116" name="ZoneTexte 115">
          <a:extLst>
            <a:ext uri="{FF2B5EF4-FFF2-40B4-BE49-F238E27FC236}">
              <a16:creationId xmlns:a16="http://schemas.microsoft.com/office/drawing/2014/main" id="{2F2D4C58-FEC5-4065-8C0A-D035EEB234BE}"/>
            </a:ext>
          </a:extLst>
        </xdr:cNvPr>
        <xdr:cNvSpPr txBox="1"/>
      </xdr:nvSpPr>
      <xdr:spPr>
        <a:xfrm>
          <a:off x="2286000" y="1909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11</xdr:row>
      <xdr:rowOff>128587</xdr:rowOff>
    </xdr:from>
    <xdr:ext cx="65" cy="172227"/>
    <xdr:sp macro="" textlink="">
      <xdr:nvSpPr>
        <xdr:cNvPr id="117" name="ZoneTexte 116">
          <a:extLst>
            <a:ext uri="{FF2B5EF4-FFF2-40B4-BE49-F238E27FC236}">
              <a16:creationId xmlns:a16="http://schemas.microsoft.com/office/drawing/2014/main" id="{CD58D550-C06B-44E1-98F1-F59AE3A250EC}"/>
            </a:ext>
          </a:extLst>
        </xdr:cNvPr>
        <xdr:cNvSpPr txBox="1"/>
      </xdr:nvSpPr>
      <xdr:spPr>
        <a:xfrm>
          <a:off x="2286000" y="1909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11</xdr:row>
      <xdr:rowOff>128587</xdr:rowOff>
    </xdr:from>
    <xdr:ext cx="65" cy="172227"/>
    <xdr:sp macro="" textlink="">
      <xdr:nvSpPr>
        <xdr:cNvPr id="118" name="ZoneTexte 117">
          <a:extLst>
            <a:ext uri="{FF2B5EF4-FFF2-40B4-BE49-F238E27FC236}">
              <a16:creationId xmlns:a16="http://schemas.microsoft.com/office/drawing/2014/main" id="{76924BBC-2D83-4807-8316-9E0ADBB59D69}"/>
            </a:ext>
          </a:extLst>
        </xdr:cNvPr>
        <xdr:cNvSpPr txBox="1"/>
      </xdr:nvSpPr>
      <xdr:spPr>
        <a:xfrm>
          <a:off x="2286000" y="1909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19</xdr:col>
      <xdr:colOff>184151</xdr:colOff>
      <xdr:row>13</xdr:row>
      <xdr:rowOff>60325</xdr:rowOff>
    </xdr:from>
    <xdr:ext cx="543001" cy="581106"/>
    <xdr:pic>
      <xdr:nvPicPr>
        <xdr:cNvPr id="2" name="Image 1">
          <a:extLst>
            <a:ext uri="{FF2B5EF4-FFF2-40B4-BE49-F238E27FC236}">
              <a16:creationId xmlns:a16="http://schemas.microsoft.com/office/drawing/2014/main" id="{BC08777D-2E18-49CD-A142-ACC87173562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662151" y="2165350"/>
          <a:ext cx="543001" cy="581106"/>
        </a:xfrm>
        <a:prstGeom prst="rect">
          <a:avLst/>
        </a:prstGeom>
      </xdr:spPr>
    </xdr:pic>
    <xdr:clientData/>
  </xdr:oneCellAnchor>
  <xdr:oneCellAnchor>
    <xdr:from>
      <xdr:col>21</xdr:col>
      <xdr:colOff>146050</xdr:colOff>
      <xdr:row>13</xdr:row>
      <xdr:rowOff>69851</xdr:rowOff>
    </xdr:from>
    <xdr:ext cx="571580" cy="562053"/>
    <xdr:pic>
      <xdr:nvPicPr>
        <xdr:cNvPr id="3" name="Image 2">
          <a:extLst>
            <a:ext uri="{FF2B5EF4-FFF2-40B4-BE49-F238E27FC236}">
              <a16:creationId xmlns:a16="http://schemas.microsoft.com/office/drawing/2014/main" id="{13A34ED0-17B3-4E65-8D7C-4AA6E17BD16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148050" y="2174876"/>
          <a:ext cx="571580" cy="562053"/>
        </a:xfrm>
        <a:prstGeom prst="rect">
          <a:avLst/>
        </a:prstGeom>
      </xdr:spPr>
    </xdr:pic>
    <xdr:clientData/>
  </xdr:oneCellAnchor>
  <xdr:oneCellAnchor>
    <xdr:from>
      <xdr:col>22</xdr:col>
      <xdr:colOff>136526</xdr:colOff>
      <xdr:row>13</xdr:row>
      <xdr:rowOff>31751</xdr:rowOff>
    </xdr:from>
    <xdr:ext cx="562053" cy="562053"/>
    <xdr:pic>
      <xdr:nvPicPr>
        <xdr:cNvPr id="4" name="Image 3">
          <a:extLst>
            <a:ext uri="{FF2B5EF4-FFF2-40B4-BE49-F238E27FC236}">
              <a16:creationId xmlns:a16="http://schemas.microsoft.com/office/drawing/2014/main" id="{A678FA5E-323E-4752-8441-FA0B884C364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6900526" y="2136776"/>
          <a:ext cx="562053" cy="562053"/>
        </a:xfrm>
        <a:prstGeom prst="rect">
          <a:avLst/>
        </a:prstGeom>
      </xdr:spPr>
    </xdr:pic>
    <xdr:clientData/>
  </xdr:oneCellAnchor>
  <xdr:oneCellAnchor>
    <xdr:from>
      <xdr:col>27</xdr:col>
      <xdr:colOff>114300</xdr:colOff>
      <xdr:row>25</xdr:row>
      <xdr:rowOff>104776</xdr:rowOff>
    </xdr:from>
    <xdr:ext cx="1724025" cy="682744"/>
    <xdr:pic>
      <xdr:nvPicPr>
        <xdr:cNvPr id="5" name="Image 4">
          <a:extLst>
            <a:ext uri="{FF2B5EF4-FFF2-40B4-BE49-F238E27FC236}">
              <a16:creationId xmlns:a16="http://schemas.microsoft.com/office/drawing/2014/main" id="{79668105-80AE-4289-9A54-72B74DA53C34}"/>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0688300" y="4152901"/>
          <a:ext cx="1724025" cy="68274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27</xdr:col>
      <xdr:colOff>171450</xdr:colOff>
      <xdr:row>24</xdr:row>
      <xdr:rowOff>19050</xdr:rowOff>
    </xdr:from>
    <xdr:ext cx="1562100" cy="618619"/>
    <xdr:pic>
      <xdr:nvPicPr>
        <xdr:cNvPr id="6" name="Image 5">
          <a:extLst>
            <a:ext uri="{FF2B5EF4-FFF2-40B4-BE49-F238E27FC236}">
              <a16:creationId xmlns:a16="http://schemas.microsoft.com/office/drawing/2014/main" id="{CC3E3F6F-9ED8-4B12-A597-9A17EC883D42}"/>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0745450" y="3905250"/>
          <a:ext cx="1562100" cy="61861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26</xdr:col>
      <xdr:colOff>0</xdr:colOff>
      <xdr:row>13</xdr:row>
      <xdr:rowOff>0</xdr:rowOff>
    </xdr:from>
    <xdr:ext cx="647700" cy="647700"/>
    <xdr:pic>
      <xdr:nvPicPr>
        <xdr:cNvPr id="7" name="Image 6" descr="Mango sur Google Android 12L">
          <a:extLst>
            <a:ext uri="{FF2B5EF4-FFF2-40B4-BE49-F238E27FC236}">
              <a16:creationId xmlns:a16="http://schemas.microsoft.com/office/drawing/2014/main" id="{4D39683A-93E7-4304-9E3F-2E19663EE812}"/>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9812000" y="2105025"/>
          <a:ext cx="647700" cy="647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24</xdr:col>
      <xdr:colOff>323850</xdr:colOff>
      <xdr:row>13</xdr:row>
      <xdr:rowOff>47625</xdr:rowOff>
    </xdr:from>
    <xdr:ext cx="504895" cy="562053"/>
    <xdr:pic>
      <xdr:nvPicPr>
        <xdr:cNvPr id="8" name="Image 7">
          <a:extLst>
            <a:ext uri="{FF2B5EF4-FFF2-40B4-BE49-F238E27FC236}">
              <a16:creationId xmlns:a16="http://schemas.microsoft.com/office/drawing/2014/main" id="{483D500D-D6BA-4BC5-B698-6B2D915AFCB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8611850" y="2152650"/>
          <a:ext cx="504895" cy="562053"/>
        </a:xfrm>
        <a:prstGeom prst="rect">
          <a:avLst/>
        </a:prstGeom>
      </xdr:spPr>
    </xdr:pic>
    <xdr:clientData/>
  </xdr:oneCellAnchor>
  <xdr:oneCellAnchor>
    <xdr:from>
      <xdr:col>18</xdr:col>
      <xdr:colOff>0</xdr:colOff>
      <xdr:row>13</xdr:row>
      <xdr:rowOff>0</xdr:rowOff>
    </xdr:from>
    <xdr:ext cx="571580" cy="571580"/>
    <xdr:pic>
      <xdr:nvPicPr>
        <xdr:cNvPr id="9" name="Image 8">
          <a:extLst>
            <a:ext uri="{FF2B5EF4-FFF2-40B4-BE49-F238E27FC236}">
              <a16:creationId xmlns:a16="http://schemas.microsoft.com/office/drawing/2014/main" id="{62D0F8F6-232E-4280-A776-53110915B3D7}"/>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3716000" y="2105025"/>
          <a:ext cx="571580" cy="571580"/>
        </a:xfrm>
        <a:prstGeom prst="rect">
          <a:avLst/>
        </a:prstGeom>
      </xdr:spPr>
    </xdr:pic>
    <xdr:clientData/>
  </xdr:oneCellAnchor>
  <xdr:oneCellAnchor>
    <xdr:from>
      <xdr:col>17</xdr:col>
      <xdr:colOff>0</xdr:colOff>
      <xdr:row>13</xdr:row>
      <xdr:rowOff>0</xdr:rowOff>
    </xdr:from>
    <xdr:ext cx="562053" cy="562053"/>
    <xdr:pic>
      <xdr:nvPicPr>
        <xdr:cNvPr id="10" name="Image 9">
          <a:extLst>
            <a:ext uri="{FF2B5EF4-FFF2-40B4-BE49-F238E27FC236}">
              <a16:creationId xmlns:a16="http://schemas.microsoft.com/office/drawing/2014/main" id="{7D5F8DD0-78DB-4DDE-9945-B255741AF768}"/>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2954000" y="2105025"/>
          <a:ext cx="562053" cy="562053"/>
        </a:xfrm>
        <a:prstGeom prst="rect">
          <a:avLst/>
        </a:prstGeom>
      </xdr:spPr>
    </xdr:pic>
    <xdr:clientData/>
  </xdr:oneCellAnchor>
  <xdr:oneCellAnchor>
    <xdr:from>
      <xdr:col>21</xdr:col>
      <xdr:colOff>0</xdr:colOff>
      <xdr:row>20</xdr:row>
      <xdr:rowOff>0</xdr:rowOff>
    </xdr:from>
    <xdr:ext cx="5595489" cy="911225"/>
    <xdr:pic>
      <xdr:nvPicPr>
        <xdr:cNvPr id="11" name="Image 10">
          <a:extLst>
            <a:ext uri="{FF2B5EF4-FFF2-40B4-BE49-F238E27FC236}">
              <a16:creationId xmlns:a16="http://schemas.microsoft.com/office/drawing/2014/main" id="{2639F556-E799-41A1-8541-2B66328AF4F2}"/>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6002000" y="3238500"/>
          <a:ext cx="5595489" cy="911225"/>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20</xdr:col>
      <xdr:colOff>763718</xdr:colOff>
      <xdr:row>221</xdr:row>
      <xdr:rowOff>0</xdr:rowOff>
    </xdr:from>
    <xdr:ext cx="2173313" cy="1787785"/>
    <xdr:pic>
      <xdr:nvPicPr>
        <xdr:cNvPr id="2" name="Picture 1">
          <a:extLst>
            <a:ext uri="{FF2B5EF4-FFF2-40B4-BE49-F238E27FC236}">
              <a16:creationId xmlns:a16="http://schemas.microsoft.com/office/drawing/2014/main" id="{1256FB97-43F4-4799-8BE2-74E65C20861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03718" y="35785425"/>
          <a:ext cx="2173313" cy="1787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981075</xdr:colOff>
      <xdr:row>188</xdr:row>
      <xdr:rowOff>12701</xdr:rowOff>
    </xdr:from>
    <xdr:ext cx="8797925" cy="1460499"/>
    <xdr:pic>
      <xdr:nvPicPr>
        <xdr:cNvPr id="3" name="Image 2">
          <a:extLst>
            <a:ext uri="{FF2B5EF4-FFF2-40B4-BE49-F238E27FC236}">
              <a16:creationId xmlns:a16="http://schemas.microsoft.com/office/drawing/2014/main" id="{DFF94581-D550-4798-AED8-6E2C05A0553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0" y="30454601"/>
          <a:ext cx="8797925" cy="1460499"/>
        </a:xfrm>
        <a:prstGeom prst="rect">
          <a:avLst/>
        </a:prstGeom>
      </xdr:spPr>
    </xdr:pic>
    <xdr:clientData/>
  </xdr:oneCellAnchor>
  <xdr:oneCellAnchor>
    <xdr:from>
      <xdr:col>2</xdr:col>
      <xdr:colOff>50801</xdr:colOff>
      <xdr:row>198</xdr:row>
      <xdr:rowOff>203201</xdr:rowOff>
    </xdr:from>
    <xdr:ext cx="7645399" cy="6718299"/>
    <xdr:pic>
      <xdr:nvPicPr>
        <xdr:cNvPr id="4" name="Image 3">
          <a:extLst>
            <a:ext uri="{FF2B5EF4-FFF2-40B4-BE49-F238E27FC236}">
              <a16:creationId xmlns:a16="http://schemas.microsoft.com/office/drawing/2014/main" id="{CC26D4A1-4472-4D8A-A3CC-F85A24A9B0E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574801" y="32226251"/>
          <a:ext cx="7645399" cy="6718299"/>
        </a:xfrm>
        <a:prstGeom prst="rect">
          <a:avLst/>
        </a:prstGeom>
      </xdr:spPr>
    </xdr:pic>
    <xdr:clientData/>
  </xdr:one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www.excel-downloads.com/forum/111720-space.html" TargetMode="External"/><Relationship Id="rId7" Type="http://schemas.openxmlformats.org/officeDocument/2006/relationships/printerSettings" Target="../printerSettings/printerSettings1.bin"/><Relationship Id="rId2" Type="http://schemas.openxmlformats.org/officeDocument/2006/relationships/hyperlink" Target="https://www.google.com/search?client=firefox-b-d&amp;q=Copier+une+feuille+de+calcul+%C3%A0+l%27int%C3%A9rieur+d%27un+classeur" TargetMode="External"/><Relationship Id="rId1" Type="http://schemas.openxmlformats.org/officeDocument/2006/relationships/hyperlink" Target="https://www.google.com/search?client=firefox-b-d&amp;q=r%C3%A8gle+de+trois" TargetMode="External"/><Relationship Id="rId6" Type="http://schemas.openxmlformats.org/officeDocument/2006/relationships/hyperlink" Target="https://www.google.fr/search?q=piffom%C3%A9trie&amp;ie=utf-8&amp;oe=utf-8&amp;client=firefox-b&amp;gfe_rd=cr&amp;dcr=0&amp;ei=yYrYWZrKMYfAaMTIipgK" TargetMode="External"/><Relationship Id="rId5" Type="http://schemas.openxmlformats.org/officeDocument/2006/relationships/hyperlink" Target="https://www.google.fr/search?q=piffom%C3%A9trie&amp;ie=utf-8&amp;oe=utf-8&amp;client=firefox-b&amp;gfe_rd=cr&amp;dcr=0&amp;ei=yYrYWZrKMYfAaMTIipgK" TargetMode="External"/><Relationship Id="rId4" Type="http://schemas.openxmlformats.org/officeDocument/2006/relationships/hyperlink" Target="http://www.excel-downloads.com/remository/Download/Professionnels/Planification-et-gestion-de-projets/SPACE.html"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www.uprt.fr/mesimages/fichiers-uprt/hop-alimentation/hop-photos-quantit%C3%A9s.pdf" TargetMode="External"/><Relationship Id="rId1" Type="http://schemas.openxmlformats.org/officeDocument/2006/relationships/hyperlink" Target="http://www.diet-life.fr/visuellement-100-calories/"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s://www.facebook.com/leboucher.joel?ref=br_rs" TargetMode="External"/><Relationship Id="rId13" Type="http://schemas.openxmlformats.org/officeDocument/2006/relationships/comments" Target="../comments1.xml"/><Relationship Id="rId3" Type="http://schemas.openxmlformats.org/officeDocument/2006/relationships/hyperlink" Target="http://www.aliments.org/poids.htm" TargetMode="External"/><Relationship Id="rId7" Type="http://schemas.openxmlformats.org/officeDocument/2006/relationships/hyperlink" Target="https://www.facebook.com/UPRT.fr/?ref=settings" TargetMode="External"/><Relationship Id="rId12" Type="http://schemas.openxmlformats.org/officeDocument/2006/relationships/vmlDrawing" Target="../drawings/vmlDrawing1.vml"/><Relationship Id="rId2" Type="http://schemas.openxmlformats.org/officeDocument/2006/relationships/hyperlink" Target="http://www.1001cocktails.com/magazine/savoir-faire/cocktails-a-etages" TargetMode="External"/><Relationship Id="rId1" Type="http://schemas.openxmlformats.org/officeDocument/2006/relationships/hyperlink" Target="http://fr.answers.yahoo.com/question/index?qid=20090730080951AAKkgPl" TargetMode="External"/><Relationship Id="rId6" Type="http://schemas.openxmlformats.org/officeDocument/2006/relationships/hyperlink" Target="http://www.cuisinealafrancaise.com/fr/2-poids-et-mesures" TargetMode="External"/><Relationship Id="rId11" Type="http://schemas.openxmlformats.org/officeDocument/2006/relationships/drawing" Target="../drawings/drawing3.xml"/><Relationship Id="rId5" Type="http://schemas.openxmlformats.org/officeDocument/2006/relationships/hyperlink" Target="http://www.crenoexpert.fr/flipbooks/expproduit/TABLEAUX-CALIBRES-FRUITS-2.pdf" TargetMode="External"/><Relationship Id="rId10" Type="http://schemas.openxmlformats.org/officeDocument/2006/relationships/printerSettings" Target="../printerSettings/printerSettings10.bin"/><Relationship Id="rId4" Type="http://schemas.openxmlformats.org/officeDocument/2006/relationships/hyperlink" Target="http://www.nubel.be/fra/manual/liste_des_denrees_alimentaires.asp" TargetMode="External"/><Relationship Id="rId9" Type="http://schemas.openxmlformats.org/officeDocument/2006/relationships/hyperlink" Target="http://www.uprt.fr/detail.php?id=6&amp;titre=plan-du-site" TargetMode="Externa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8" Type="http://schemas.openxmlformats.org/officeDocument/2006/relationships/hyperlink" Target="https://fr.wiktionary.org/wiki/Cat%C3%A9gorie:Lexique_en_fran%C3%A7ais_de_la_boucherie" TargetMode="External"/><Relationship Id="rId3" Type="http://schemas.openxmlformats.org/officeDocument/2006/relationships/hyperlink" Target="http://devenir.patissier.free.fr/cours-CAP-vocabulaire-professionnel-eleve.pdf" TargetMode="External"/><Relationship Id="rId7" Type="http://schemas.openxmlformats.org/officeDocument/2006/relationships/hyperlink" Target="https://www.unamur.be/services/sevrexe/prodoc/documents-mission-accompagnement-prodoc-AL/verbes-actions" TargetMode="External"/><Relationship Id="rId12" Type="http://schemas.openxmlformats.org/officeDocument/2006/relationships/printerSettings" Target="../printerSettings/printerSettings12.bin"/><Relationship Id="rId2" Type="http://schemas.openxmlformats.org/officeDocument/2006/relationships/hyperlink" Target="https://www.passionpatisserie.fr/lexique" TargetMode="External"/><Relationship Id="rId1" Type="http://schemas.openxmlformats.org/officeDocument/2006/relationships/hyperlink" Target="http://www.juliemyrtille.com/lexique_du_patissier/" TargetMode="External"/><Relationship Id="rId6" Type="http://schemas.openxmlformats.org/officeDocument/2006/relationships/hyperlink" Target="https://www.encoreungateau.com/pourquoi-un-blog-de-patisserie/vocabulaire-du-patissier/" TargetMode="External"/><Relationship Id="rId11" Type="http://schemas.openxmlformats.org/officeDocument/2006/relationships/hyperlink" Target="https://www.editions-bpi.fr/produit/60/9782857084242/La%20cuisine%20de%20collectivite" TargetMode="External"/><Relationship Id="rId5" Type="http://schemas.openxmlformats.org/officeDocument/2006/relationships/hyperlink" Target="https://devenirpatissier.fr/vocabulaire-professionnel/" TargetMode="External"/><Relationship Id="rId10" Type="http://schemas.openxmlformats.org/officeDocument/2006/relationships/hyperlink" Target="https://www.amazon.fr/Fiches-techniques-cuisine-Annette-Domergues/dp/B0014KUK0A/ref=sr_1_4?s=books&amp;ie=UTF8&amp;qid=1516880530&amp;sr=1-4" TargetMode="External"/><Relationship Id="rId4" Type="http://schemas.openxmlformats.org/officeDocument/2006/relationships/hyperlink" Target="http://technologiepatisserie.blogspot.com/p/le-vocabulaire-professionnel-en.html" TargetMode="External"/><Relationship Id="rId9" Type="http://schemas.openxmlformats.org/officeDocument/2006/relationships/hyperlink" Target="https://pdfhall.com/le-dictionnaire-du-boucher-1s2-lambert_5bda93d3097c47a4028b45c4.html" TargetMode="External"/></Relationships>
</file>

<file path=xl/worksheets/_rels/sheet19.xml.rels><?xml version="1.0" encoding="UTF-8" standalone="yes"?>
<Relationships xmlns="http://schemas.openxmlformats.org/package/2006/relationships"><Relationship Id="rId8" Type="http://schemas.openxmlformats.org/officeDocument/2006/relationships/hyperlink" Target="https://emojiterra.com/fr/liste-fr/" TargetMode="External"/><Relationship Id="rId13" Type="http://schemas.openxmlformats.org/officeDocument/2006/relationships/hyperlink" Target="https://fr.emojiguide.com/nourriture-boissons/" TargetMode="External"/><Relationship Id="rId3" Type="http://schemas.openxmlformats.org/officeDocument/2006/relationships/hyperlink" Target="https://www.facebook.com/GetEmoji/" TargetMode="External"/><Relationship Id="rId7" Type="http://schemas.openxmlformats.org/officeDocument/2006/relationships/hyperlink" Target="https://www.excel-exercice.com/ajouter-des-emojis-emoticones-dans-vos-formules-feuilles-graphiques/" TargetMode="External"/><Relationship Id="rId12" Type="http://schemas.openxmlformats.org/officeDocument/2006/relationships/hyperlink" Target="https://www.emojiall.com/fr/all-emojis" TargetMode="External"/><Relationship Id="rId2" Type="http://schemas.openxmlformats.org/officeDocument/2006/relationships/hyperlink" Target="https://emojipedia.org/" TargetMode="External"/><Relationship Id="rId1" Type="http://schemas.openxmlformats.org/officeDocument/2006/relationships/hyperlink" Target="https://www.excel-exercice.com/ajouter-des-emojis-emoticones-dans-vos-formules-feuilles-graphiques/" TargetMode="External"/><Relationship Id="rId6" Type="http://schemas.openxmlformats.org/officeDocument/2006/relationships/hyperlink" Target="https://www.youtube.com/watch?v=6YvO8zQjX6Y" TargetMode="External"/><Relationship Id="rId11" Type="http://schemas.openxmlformats.org/officeDocument/2006/relationships/hyperlink" Target="https://www.caracteres-speciaux.org/" TargetMode="External"/><Relationship Id="rId5" Type="http://schemas.openxmlformats.org/officeDocument/2006/relationships/hyperlink" Target="https://emojipedia.org/food-drink/" TargetMode="External"/><Relationship Id="rId15" Type="http://schemas.openxmlformats.org/officeDocument/2006/relationships/drawing" Target="../drawings/drawing5.xml"/><Relationship Id="rId10" Type="http://schemas.openxmlformats.org/officeDocument/2006/relationships/hyperlink" Target="https://emojis.wiki/fr/" TargetMode="External"/><Relationship Id="rId4" Type="http://schemas.openxmlformats.org/officeDocument/2006/relationships/hyperlink" Target="http://www.get-emoji.com/" TargetMode="External"/><Relationship Id="rId9" Type="http://schemas.openxmlformats.org/officeDocument/2006/relationships/hyperlink" Target="https://wprock.fr/t/emoji/" TargetMode="External"/><Relationship Id="rId14" Type="http://schemas.openxmlformats.org/officeDocument/2006/relationships/hyperlink" Target="https://emojiguide.org/fr/"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3mfrance.fr/3M/fr_FR/post-it-notes/ideas/collaborate/" TargetMode="Externa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s://www.clubic.com/telecharger-fiche189780-greenshot.html" TargetMode="External"/><Relationship Id="rId1" Type="http://schemas.openxmlformats.org/officeDocument/2006/relationships/hyperlink" Target="http://www.mdf-xlpages.com/modules/publisher/item.php?itemid=91" TargetMode="External"/><Relationship Id="rId4" Type="http://schemas.openxmlformats.org/officeDocument/2006/relationships/drawing" Target="../drawings/drawing6.xml"/></Relationships>
</file>

<file path=xl/worksheets/_rels/sheet21.xml.rels><?xml version="1.0" encoding="UTF-8" standalone="yes"?>
<Relationships xmlns="http://schemas.openxmlformats.org/package/2006/relationships"><Relationship Id="rId26" Type="http://schemas.openxmlformats.org/officeDocument/2006/relationships/hyperlink" Target="https://www.youtube.com/watch?v=t9BfPsVC5hk" TargetMode="External"/><Relationship Id="rId21" Type="http://schemas.openxmlformats.org/officeDocument/2006/relationships/hyperlink" Target="https://www.youtube.com/watch?v=_JzUgEGWuk0" TargetMode="External"/><Relationship Id="rId42" Type="http://schemas.openxmlformats.org/officeDocument/2006/relationships/hyperlink" Target="https://www.youtube.com/watch?v=jjhrpq-f-74&amp;t=102s" TargetMode="External"/><Relationship Id="rId47" Type="http://schemas.openxmlformats.org/officeDocument/2006/relationships/hyperlink" Target="https://www.excel-exercice.com/bordures/" TargetMode="External"/><Relationship Id="rId63" Type="http://schemas.openxmlformats.org/officeDocument/2006/relationships/hyperlink" Target="https://www.informatique-bureautique.com/moodle/mod/page/view.php?id=5026" TargetMode="External"/><Relationship Id="rId68" Type="http://schemas.openxmlformats.org/officeDocument/2006/relationships/hyperlink" Target="https://www.youtube.com/c/TutoDeRien/playlists" TargetMode="External"/><Relationship Id="rId2" Type="http://schemas.openxmlformats.org/officeDocument/2006/relationships/hyperlink" Target="https://support.microsoft.com/fr-fr/office/modifier-une-macro-ed9e8c3d-58fd-47a1-83eb-bdee680376bb" TargetMode="External"/><Relationship Id="rId16" Type="http://schemas.openxmlformats.org/officeDocument/2006/relationships/hyperlink" Target="https://cellulexcel.blogspot.com/p/somme.html" TargetMode="External"/><Relationship Id="rId29" Type="http://schemas.openxmlformats.org/officeDocument/2006/relationships/hyperlink" Target="https://www.youtube.com/watch?v=ign5pz_-R_I" TargetMode="External"/><Relationship Id="rId11" Type="http://schemas.openxmlformats.org/officeDocument/2006/relationships/hyperlink" Target="https://www.youtube.com/watch?v=Xvb1pAnQrts" TargetMode="External"/><Relationship Id="rId24" Type="http://schemas.openxmlformats.org/officeDocument/2006/relationships/hyperlink" Target="https://www.youtube.com/watch?v=PbUvODhmdxI" TargetMode="External"/><Relationship Id="rId32" Type="http://schemas.openxmlformats.org/officeDocument/2006/relationships/hyperlink" Target="https://www.youtube.com/watch?v=EbpC3cs2aTA" TargetMode="External"/><Relationship Id="rId37" Type="http://schemas.openxmlformats.org/officeDocument/2006/relationships/hyperlink" Target="https://www.youtube.com/watch?v=_uhXSrAkHXc" TargetMode="External"/><Relationship Id="rId40" Type="http://schemas.openxmlformats.org/officeDocument/2006/relationships/hyperlink" Target="https://www.excel-exercice.com/analyser-vos-formules-avec-f9/" TargetMode="External"/><Relationship Id="rId45" Type="http://schemas.openxmlformats.org/officeDocument/2006/relationships/hyperlink" Target="https://www.youtube.com/channel/UCmkKGwRm5LYN6zpgTVvNpdA/videos" TargetMode="External"/><Relationship Id="rId53" Type="http://schemas.openxmlformats.org/officeDocument/2006/relationships/hyperlink" Target="https://www.superprof.fr/blog/conseils-pratiques-en-maths/" TargetMode="External"/><Relationship Id="rId58" Type="http://schemas.openxmlformats.org/officeDocument/2006/relationships/hyperlink" Target="https://www.youtube.com/watch?v=li4XNespLxg" TargetMode="External"/><Relationship Id="rId66" Type="http://schemas.openxmlformats.org/officeDocument/2006/relationships/hyperlink" Target="https://www.youtube.com/user/ExcelExercice/videos" TargetMode="External"/><Relationship Id="rId74" Type="http://schemas.openxmlformats.org/officeDocument/2006/relationships/hyperlink" Target="https://www.excel-pratique.com/fr/fonctions-complementaires.php" TargetMode="External"/><Relationship Id="rId5" Type="http://schemas.openxmlformats.org/officeDocument/2006/relationships/hyperlink" Target="https://commentouvrir.com/extension/xlsm" TargetMode="External"/><Relationship Id="rId61" Type="http://schemas.openxmlformats.org/officeDocument/2006/relationships/hyperlink" Target="https://www.youtube.com/watch?v=HoP5kZ-f-EA&amp;ab_channel=excelexercice" TargetMode="External"/><Relationship Id="rId19" Type="http://schemas.openxmlformats.org/officeDocument/2006/relationships/hyperlink" Target="https://fr.extendoffice.com/documents/excel/1155-excel-count-sum-cells-by-color.html" TargetMode="External"/><Relationship Id="rId14" Type="http://schemas.openxmlformats.org/officeDocument/2006/relationships/hyperlink" Target="https://cellulexcel.blogspot.com/p/blog-page_22.html" TargetMode="External"/><Relationship Id="rId22" Type="http://schemas.openxmlformats.org/officeDocument/2006/relationships/hyperlink" Target="https://www.youtube.com/watch?v=xFOMtm4wRtE" TargetMode="External"/><Relationship Id="rId27" Type="http://schemas.openxmlformats.org/officeDocument/2006/relationships/hyperlink" Target="https://www.youtube.com/watch?v=wXenlFqrWWY" TargetMode="External"/><Relationship Id="rId30" Type="http://schemas.openxmlformats.org/officeDocument/2006/relationships/hyperlink" Target="https://www.youtube.com/watch?v=S_rTf5wWhr8" TargetMode="External"/><Relationship Id="rId35" Type="http://schemas.openxmlformats.org/officeDocument/2006/relationships/hyperlink" Target="https://www.youtube.com/watch?v=EbpC3cs2aTA" TargetMode="External"/><Relationship Id="rId43" Type="http://schemas.openxmlformats.org/officeDocument/2006/relationships/hyperlink" Target="https://www.youtube.com/c/ExcelFormation/videos" TargetMode="External"/><Relationship Id="rId48" Type="http://schemas.openxmlformats.org/officeDocument/2006/relationships/hyperlink" Target="https://www.excel-exercice.com/manipulation/" TargetMode="External"/><Relationship Id="rId56" Type="http://schemas.openxmlformats.org/officeDocument/2006/relationships/hyperlink" Target="https://forums.commentcamarche.net/forum/bureautique-25" TargetMode="External"/><Relationship Id="rId64" Type="http://schemas.openxmlformats.org/officeDocument/2006/relationships/hyperlink" Target="https://www.youtube.com/watch?v=yk_ypXvUaHo" TargetMode="External"/><Relationship Id="rId69" Type="http://schemas.openxmlformats.org/officeDocument/2006/relationships/hyperlink" Target="https://support.microsoft.com/fr-fr/excel" TargetMode="External"/><Relationship Id="rId8" Type="http://schemas.openxmlformats.org/officeDocument/2006/relationships/hyperlink" Target="https://www.youtube.com/watch?v=Cxs3l7_EI4I" TargetMode="External"/><Relationship Id="rId51" Type="http://schemas.openxmlformats.org/officeDocument/2006/relationships/hyperlink" Target="https://www.youtube.com/watch?v=cYONvEoCCF4" TargetMode="External"/><Relationship Id="rId72" Type="http://schemas.openxmlformats.org/officeDocument/2006/relationships/hyperlink" Target="https://support.office.com/fr-fr/article/d%C3%A9placer-ou-copier-des-feuilles-de-calcul-ou-des-donn%C3%A9es-de-feuille-de-calcul-47207967-bbb2-4e95-9b5c-3c174aa69328" TargetMode="External"/><Relationship Id="rId3" Type="http://schemas.openxmlformats.org/officeDocument/2006/relationships/hyperlink" Target="https://support.microsoft.com/fr-fr/office/enregistrer-une-macro-24a026ef-3145-4bf8-a5f2-2fc7889ff74a" TargetMode="External"/><Relationship Id="rId12" Type="http://schemas.openxmlformats.org/officeDocument/2006/relationships/hyperlink" Target="https://www.youtube.com/watch?v=eML_TISUYpw&amp;t=31s" TargetMode="External"/><Relationship Id="rId17" Type="http://schemas.openxmlformats.org/officeDocument/2006/relationships/hyperlink" Target="https://www.cours-gratuit.com/tutoriel-excel/tutoriel-excel-comment-compter-et-additionner-les-cellules-par-couleur" TargetMode="External"/><Relationship Id="rId25" Type="http://schemas.openxmlformats.org/officeDocument/2006/relationships/hyperlink" Target="https://www.youtube.com/watch?v=ljG0dl6aZOk" TargetMode="External"/><Relationship Id="rId33" Type="http://schemas.openxmlformats.org/officeDocument/2006/relationships/hyperlink" Target="https://www.youtube.com/watch?v=xyjZP4GMmSc" TargetMode="External"/><Relationship Id="rId38" Type="http://schemas.openxmlformats.org/officeDocument/2006/relationships/hyperlink" Target="https://www.excel-exercice.com/colorier-une-ligne-entiere/" TargetMode="External"/><Relationship Id="rId46" Type="http://schemas.openxmlformats.org/officeDocument/2006/relationships/hyperlink" Target="https://www.youtube.com/watch?v=um737ZwwwoU" TargetMode="External"/><Relationship Id="rId59" Type="http://schemas.openxmlformats.org/officeDocument/2006/relationships/hyperlink" Target="https://www.youtube.com/watch?v=YfGrccEQGKk" TargetMode="External"/><Relationship Id="rId67" Type="http://schemas.openxmlformats.org/officeDocument/2006/relationships/hyperlink" Target="https://www.youtube.com/channel/UCK4qfUuh9kpBByJFIMBPTtA/playlists" TargetMode="External"/><Relationship Id="rId20" Type="http://schemas.openxmlformats.org/officeDocument/2006/relationships/hyperlink" Target="https://www.excelformation.fr/formats-fichiers-excel.html" TargetMode="External"/><Relationship Id="rId41" Type="http://schemas.openxmlformats.org/officeDocument/2006/relationships/hyperlink" Target="https://cellulexcel.blogspot.com/p/excel-trucs-astuces.html" TargetMode="External"/><Relationship Id="rId54" Type="http://schemas.openxmlformats.org/officeDocument/2006/relationships/hyperlink" Target="https://www.ionos.fr/digitalguide/web-marketing/vendre-sur-internet/fonction-si-excel/" TargetMode="External"/><Relationship Id="rId62" Type="http://schemas.openxmlformats.org/officeDocument/2006/relationships/hyperlink" Target="https://support.office.com/fr-fr/article/combiner-le-texte-de-deux-cellules-ou-plus-en-une-cellule-81ba0946-ce78-42ed-b3c3-21340eb164a6" TargetMode="External"/><Relationship Id="rId70" Type="http://schemas.openxmlformats.org/officeDocument/2006/relationships/hyperlink" Target="https://www.youtube.com/c/K%C3%A9vinBrundu/videos" TargetMode="External"/><Relationship Id="rId75" Type="http://schemas.openxmlformats.org/officeDocument/2006/relationships/hyperlink" Target="http://excel.engalere.com/tags/" TargetMode="External"/><Relationship Id="rId1" Type="http://schemas.openxmlformats.org/officeDocument/2006/relationships/hyperlink" Target="https://www.excel-exercice.com/fichier-xls-ou-xlsx/" TargetMode="External"/><Relationship Id="rId6" Type="http://schemas.openxmlformats.org/officeDocument/2006/relationships/hyperlink" Target="https://www.youtube.com/watch?v=21oGa9Q92s4" TargetMode="External"/><Relationship Id="rId15" Type="http://schemas.openxmlformats.org/officeDocument/2006/relationships/hyperlink" Target="https://mccascabel.fr/carnet-de-recettes-personnalise/" TargetMode="External"/><Relationship Id="rId23" Type="http://schemas.openxmlformats.org/officeDocument/2006/relationships/hyperlink" Target="https://www.excel-exercice.com/colorier-une-ligne-entiere/" TargetMode="External"/><Relationship Id="rId28" Type="http://schemas.openxmlformats.org/officeDocument/2006/relationships/hyperlink" Target="https://www.youtube.com/watch?v=OQJzipM0rgU" TargetMode="External"/><Relationship Id="rId36" Type="http://schemas.openxmlformats.org/officeDocument/2006/relationships/hyperlink" Target="https://www.youtube.com/watch?v=zFR8-vdbebo" TargetMode="External"/><Relationship Id="rId49" Type="http://schemas.openxmlformats.org/officeDocument/2006/relationships/hyperlink" Target="https://www.excel-exercice.com/add-in/" TargetMode="External"/><Relationship Id="rId57" Type="http://schemas.openxmlformats.org/officeDocument/2006/relationships/hyperlink" Target="https://www.excel-exercice.com/trouver-les-liens-externes-dun-classeur/" TargetMode="External"/><Relationship Id="rId10" Type="http://schemas.openxmlformats.org/officeDocument/2006/relationships/hyperlink" Target="https://www.youtube.com/watch?v=ZEL3mVdUCcg" TargetMode="External"/><Relationship Id="rId31" Type="http://schemas.openxmlformats.org/officeDocument/2006/relationships/hyperlink" Target="https://www.youtube.com/watch?v=XB7PbjxQgiQ" TargetMode="External"/><Relationship Id="rId44" Type="http://schemas.openxmlformats.org/officeDocument/2006/relationships/hyperlink" Target="https://www.youtube.com/watch?v=OZoAZHIP-kk&amp;t=630s" TargetMode="External"/><Relationship Id="rId52" Type="http://schemas.openxmlformats.org/officeDocument/2006/relationships/hyperlink" Target="https://www.excel-exercice.com/" TargetMode="External"/><Relationship Id="rId60" Type="http://schemas.openxmlformats.org/officeDocument/2006/relationships/hyperlink" Target="http://www.mdf-xlpages.com/modules/publisher/item.php?itemid=91" TargetMode="External"/><Relationship Id="rId65" Type="http://schemas.openxmlformats.org/officeDocument/2006/relationships/hyperlink" Target="https://www.excel-exercice.com/somme-si-ens/" TargetMode="External"/><Relationship Id="rId73" Type="http://schemas.openxmlformats.org/officeDocument/2006/relationships/hyperlink" Target="https://support.office.com/fr-fr/article/puis-je-copier-une-feuille-de-calcul-du-classeur-actuel-5d8109a7-cba1-474f-b835-11cd89da99c0" TargetMode="External"/><Relationship Id="rId4" Type="http://schemas.openxmlformats.org/officeDocument/2006/relationships/hyperlink" Target="https://www.pcastuces.com/pratique/astuces/5664.htm" TargetMode="External"/><Relationship Id="rId9" Type="http://schemas.openxmlformats.org/officeDocument/2006/relationships/hyperlink" Target="https://www.youtube.com/c/lecompagnoninfo/videos" TargetMode="External"/><Relationship Id="rId13" Type="http://schemas.openxmlformats.org/officeDocument/2006/relationships/hyperlink" Target="https://www.youtube.com/watch?v=KK9rJpuHmZA" TargetMode="External"/><Relationship Id="rId18" Type="http://schemas.openxmlformats.org/officeDocument/2006/relationships/hyperlink" Target="https://www.youtube.com/watch?v=7amIEwzFoF0" TargetMode="External"/><Relationship Id="rId39" Type="http://schemas.openxmlformats.org/officeDocument/2006/relationships/hyperlink" Target="https://www.excel-exercice.com/creer-la-table-des-matieres-dun-classeur/" TargetMode="External"/><Relationship Id="rId34" Type="http://schemas.openxmlformats.org/officeDocument/2006/relationships/hyperlink" Target="https://www.youtube.com/watch?v=UnkKrv53fiA" TargetMode="External"/><Relationship Id="rId50" Type="http://schemas.openxmlformats.org/officeDocument/2006/relationships/hyperlink" Target="https://www.excel-exercice.com/nouveaute/" TargetMode="External"/><Relationship Id="rId55" Type="http://schemas.openxmlformats.org/officeDocument/2006/relationships/hyperlink" Target="https://www.ionos.fr/digitalguide/web-marketing/vendre-sur-internet/alternatives-gratuites-a-microsoft-excel/" TargetMode="External"/><Relationship Id="rId76" Type="http://schemas.openxmlformats.org/officeDocument/2006/relationships/printerSettings" Target="../printerSettings/printerSettings14.bin"/><Relationship Id="rId7" Type="http://schemas.openxmlformats.org/officeDocument/2006/relationships/hyperlink" Target="https://www.youtube.com/channel/UCoTqCeSunCB3-puwIicURbw" TargetMode="External"/><Relationship Id="rId71" Type="http://schemas.openxmlformats.org/officeDocument/2006/relationships/hyperlink" Target="https://www.youtube.com/watch?v=e2kzRDcW5iI"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s://encycolorpedia.com/websafe" TargetMode="External"/><Relationship Id="rId7" Type="http://schemas.openxmlformats.org/officeDocument/2006/relationships/printerSettings" Target="../printerSettings/printerSettings15.bin"/><Relationship Id="rId2" Type="http://schemas.openxmlformats.org/officeDocument/2006/relationships/hyperlink" Target="http://dmcritchie.mvps.org/excel/colors.htm" TargetMode="External"/><Relationship Id="rId1" Type="http://schemas.openxmlformats.org/officeDocument/2006/relationships/hyperlink" Target="http://translate.google.fr/translate?hl=fr&amp;langpair=en|fr&amp;u=http://dmcritchie.mvps.org/excel/colors.htm" TargetMode="External"/><Relationship Id="rId6" Type="http://schemas.openxmlformats.org/officeDocument/2006/relationships/hyperlink" Target="https://encycolorpedia.com/paints" TargetMode="External"/><Relationship Id="rId5" Type="http://schemas.openxmlformats.org/officeDocument/2006/relationships/hyperlink" Target="https://encycolorpedia.com/named" TargetMode="External"/><Relationship Id="rId4" Type="http://schemas.openxmlformats.org/officeDocument/2006/relationships/hyperlink" Target="https://encycolorpedia.com/html"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6DAC0D-D020-4BB8-BCF6-32384AFADFAF}">
  <dimension ref="A1:AI300"/>
  <sheetViews>
    <sheetView showZeros="0" tabSelected="1" showWhiteSpace="0" zoomScale="75" zoomScaleNormal="75" zoomScalePageLayoutView="58" workbookViewId="0">
      <selection activeCell="T5" sqref="T5"/>
    </sheetView>
  </sheetViews>
  <sheetFormatPr baseColWidth="10" defaultRowHeight="15"/>
  <cols>
    <col min="1" max="1" width="14.5703125" style="988" customWidth="1"/>
    <col min="2" max="2" width="11.42578125" style="988"/>
    <col min="3" max="3" width="18.42578125" style="988" customWidth="1"/>
    <col min="4" max="4" width="26.7109375" style="988" customWidth="1"/>
    <col min="5" max="5" width="21.5703125" style="988" customWidth="1"/>
    <col min="6" max="6" width="21.28515625" style="988" customWidth="1"/>
    <col min="7" max="7" width="30.28515625" style="988" customWidth="1"/>
    <col min="8" max="8" width="15.7109375" style="988" customWidth="1"/>
    <col min="9" max="9" width="17.85546875" style="988" bestFit="1" customWidth="1"/>
    <col min="10" max="10" width="15.7109375" style="988" customWidth="1"/>
    <col min="11" max="11" width="16.85546875" style="988" customWidth="1"/>
    <col min="12" max="12" width="15.42578125" style="362" customWidth="1"/>
    <col min="13" max="13" width="24.28515625" style="362" customWidth="1"/>
    <col min="14" max="15" width="17" style="362" customWidth="1"/>
    <col min="16" max="16" width="13.7109375" style="362" bestFit="1" customWidth="1"/>
    <col min="17" max="17" width="11.42578125" style="987"/>
    <col min="18" max="18" width="7.140625" style="987" customWidth="1"/>
    <col min="19" max="19" width="19.5703125" style="987" customWidth="1"/>
    <col min="20" max="20" width="10.140625" style="987" customWidth="1"/>
    <col min="21" max="21" width="17.5703125" style="987" bestFit="1" customWidth="1"/>
    <col min="22" max="22" width="19.7109375" style="987" customWidth="1"/>
    <col min="23" max="23" width="18.28515625" style="987" customWidth="1"/>
    <col min="24" max="24" width="13.7109375" style="987" customWidth="1"/>
    <col min="25" max="16384" width="11.42578125" style="987"/>
  </cols>
  <sheetData>
    <row r="1" spans="1:35" ht="27.75" customHeight="1">
      <c r="A1" s="992"/>
      <c r="B1" s="992"/>
      <c r="C1" s="992"/>
      <c r="D1" s="992"/>
      <c r="E1" s="992"/>
      <c r="F1" s="990"/>
      <c r="G1" s="990"/>
      <c r="H1" s="990"/>
      <c r="I1" s="990"/>
      <c r="J1" s="992"/>
      <c r="K1" s="992"/>
      <c r="L1" s="1111"/>
      <c r="M1" s="990"/>
      <c r="N1" s="990"/>
      <c r="O1" s="990"/>
      <c r="P1" s="990"/>
      <c r="Q1" s="990"/>
      <c r="R1" s="990"/>
      <c r="S1" s="990"/>
      <c r="T1" s="990"/>
      <c r="U1" s="990"/>
      <c r="V1" s="990"/>
      <c r="W1" s="990"/>
      <c r="X1" s="990"/>
    </row>
    <row r="2" spans="1:35" s="989" customFormat="1" ht="40.5" customHeight="1">
      <c r="A2" s="992"/>
      <c r="B2" s="1215" t="str">
        <f ca="1">MID(CELL("filename",A1),FIND("[",CELL("filename",A1))+1,SUM(FIND({"[";"]"},CELL("filename",A1))*{-1;1})-6)</f>
        <v>ff-2-A-collectivite.poids.portion</v>
      </c>
      <c r="C2" s="992"/>
      <c r="D2" s="992"/>
      <c r="E2" s="992"/>
      <c r="F2" s="992"/>
      <c r="G2" s="1214"/>
      <c r="H2" s="1214" t="s">
        <v>573</v>
      </c>
      <c r="I2" s="1214"/>
      <c r="J2" s="1214"/>
      <c r="K2" s="1111"/>
      <c r="L2" s="1111"/>
      <c r="M2" s="1111"/>
      <c r="N2" s="1111"/>
      <c r="O2" s="1111"/>
      <c r="P2" s="1029"/>
      <c r="Q2" s="992"/>
      <c r="R2" s="992"/>
      <c r="S2" s="992"/>
      <c r="T2" s="992"/>
      <c r="U2" s="992"/>
      <c r="V2" s="992"/>
      <c r="W2" s="1029"/>
      <c r="X2" s="1029"/>
    </row>
    <row r="3" spans="1:35" s="989" customFormat="1" ht="40.5" customHeight="1">
      <c r="A3" s="992"/>
      <c r="B3" s="992"/>
      <c r="C3" s="992"/>
      <c r="D3" s="992"/>
      <c r="E3" s="992"/>
      <c r="F3" s="992"/>
      <c r="G3" s="1214"/>
      <c r="H3" s="1029" t="s">
        <v>572</v>
      </c>
      <c r="I3" s="1029"/>
      <c r="J3" s="1214"/>
      <c r="K3" s="992"/>
      <c r="L3" s="1111"/>
      <c r="M3" s="1213" t="s">
        <v>6721</v>
      </c>
      <c r="N3" s="1212"/>
      <c r="O3" s="1212"/>
      <c r="P3" s="1029"/>
      <c r="Q3" s="992"/>
      <c r="R3" s="992"/>
      <c r="S3" s="992"/>
      <c r="T3" s="992"/>
      <c r="U3" s="992"/>
      <c r="V3" s="992"/>
      <c r="W3" s="1029"/>
      <c r="X3" s="1029"/>
    </row>
    <row r="4" spans="1:35" s="989" customFormat="1" ht="40.5" customHeight="1">
      <c r="A4" s="992"/>
      <c r="B4" s="992"/>
      <c r="C4" s="992"/>
      <c r="D4" s="992"/>
      <c r="E4" s="992"/>
      <c r="F4" s="992"/>
      <c r="G4" s="1029"/>
      <c r="H4" s="1029" t="s">
        <v>571</v>
      </c>
      <c r="I4" s="1029"/>
      <c r="J4" s="1029"/>
      <c r="K4" s="992"/>
      <c r="L4" s="1111"/>
      <c r="M4" s="1203" t="s">
        <v>570</v>
      </c>
      <c r="N4" s="1211"/>
      <c r="O4" s="1211"/>
      <c r="P4" s="1029"/>
      <c r="Q4" s="992"/>
      <c r="R4" s="992"/>
      <c r="S4" s="992"/>
      <c r="T4" s="992"/>
      <c r="U4" s="992"/>
      <c r="V4" s="992"/>
      <c r="W4" s="1029"/>
      <c r="X4" s="1029"/>
    </row>
    <row r="5" spans="1:35" s="989" customFormat="1" ht="40.5" customHeight="1">
      <c r="A5" s="992"/>
      <c r="B5" s="992"/>
      <c r="C5" s="992"/>
      <c r="D5" s="992"/>
      <c r="E5" s="992"/>
      <c r="F5" s="992"/>
      <c r="G5" s="1029"/>
      <c r="H5" s="1029"/>
      <c r="I5" s="1029"/>
      <c r="J5" s="1029"/>
      <c r="K5" s="992"/>
      <c r="L5" s="1111"/>
      <c r="M5" s="1210" t="s">
        <v>569</v>
      </c>
      <c r="N5" s="1029"/>
      <c r="O5" s="1029"/>
      <c r="P5" s="1029"/>
      <c r="Q5" s="992"/>
      <c r="R5" s="992"/>
      <c r="S5" s="992"/>
      <c r="T5" s="992"/>
      <c r="U5" s="992"/>
      <c r="V5" s="992"/>
      <c r="W5" s="1029"/>
      <c r="X5" s="1029"/>
    </row>
    <row r="6" spans="1:35" s="989" customFormat="1" ht="40.5" customHeight="1">
      <c r="A6" s="992"/>
      <c r="B6" s="992"/>
      <c r="C6" s="992"/>
      <c r="D6" s="992"/>
      <c r="E6" s="992"/>
      <c r="F6" s="992"/>
      <c r="G6" s="1029"/>
      <c r="H6" s="1189"/>
      <c r="I6" s="1029"/>
      <c r="J6" s="1029"/>
      <c r="K6" s="992"/>
      <c r="L6" s="992"/>
      <c r="M6" s="992"/>
      <c r="N6" s="992"/>
      <c r="O6" s="992"/>
      <c r="P6" s="992"/>
      <c r="Q6" s="992"/>
      <c r="R6" s="992"/>
      <c r="S6" s="992"/>
      <c r="T6" s="992"/>
      <c r="U6" s="992"/>
      <c r="V6" s="992"/>
      <c r="W6" s="1029"/>
      <c r="X6" s="1029"/>
    </row>
    <row r="7" spans="1:35" s="989" customFormat="1" ht="40.5" customHeight="1">
      <c r="A7" s="992"/>
      <c r="B7" s="1209" t="s">
        <v>568</v>
      </c>
      <c r="C7" s="1207"/>
      <c r="D7" s="1207"/>
      <c r="E7" s="1207"/>
      <c r="F7" s="1207"/>
      <c r="G7" s="1207"/>
      <c r="H7" s="1207"/>
      <c r="I7" s="1208" t="str">
        <f ca="1">CELL("nomfichier")</f>
        <v>E:\0-UPRT\1-UPRT.FR-SITE-WEB\ff-fiches-fabrications\ff-fiches-fabrication-maj-08-2020\[ff-2-A-collectivite.poids.portion.xlsx]Nota</v>
      </c>
      <c r="J7" s="1207"/>
      <c r="K7" s="1207"/>
      <c r="L7" s="1206"/>
      <c r="M7" s="1205"/>
      <c r="N7" s="1204"/>
      <c r="O7" s="1204"/>
      <c r="P7" s="1111"/>
      <c r="Q7" s="992"/>
      <c r="R7" s="992"/>
      <c r="S7" s="1029"/>
      <c r="T7" s="1189"/>
      <c r="U7" s="992"/>
      <c r="V7" s="992"/>
      <c r="W7" s="1029"/>
      <c r="X7" s="1029"/>
    </row>
    <row r="8" spans="1:35" ht="40.5" customHeight="1">
      <c r="A8" s="1106"/>
      <c r="B8" s="1148"/>
      <c r="C8" s="1107"/>
      <c r="D8" s="1106"/>
      <c r="E8" s="1106"/>
      <c r="F8" s="1106"/>
      <c r="G8" s="1106"/>
      <c r="H8" s="1106"/>
      <c r="I8" s="1147"/>
      <c r="J8" s="1106"/>
      <c r="K8" s="1106"/>
      <c r="L8" s="1147"/>
      <c r="M8" s="1147"/>
      <c r="N8" s="1147"/>
      <c r="O8" s="1147"/>
      <c r="P8" s="1147"/>
      <c r="Q8" s="1105"/>
      <c r="R8" s="1105"/>
      <c r="S8" s="1105"/>
      <c r="T8" s="1105"/>
      <c r="U8" s="1105"/>
      <c r="V8" s="1105"/>
      <c r="W8" s="1022"/>
      <c r="X8" s="1105"/>
      <c r="Y8" s="989"/>
      <c r="Z8" s="989"/>
      <c r="AA8" s="989"/>
      <c r="AB8" s="989"/>
      <c r="AC8" s="989"/>
      <c r="AD8" s="989"/>
      <c r="AE8" s="989"/>
      <c r="AF8" s="989"/>
      <c r="AG8" s="989"/>
      <c r="AH8" s="989"/>
      <c r="AI8" s="989"/>
    </row>
    <row r="9" spans="1:35" ht="51.75" customHeight="1">
      <c r="A9" s="3460" t="s">
        <v>422</v>
      </c>
      <c r="B9" s="992"/>
      <c r="C9" s="992"/>
      <c r="D9" s="992"/>
      <c r="E9" s="992"/>
      <c r="F9" s="992"/>
      <c r="G9" s="992"/>
      <c r="H9" s="992"/>
      <c r="I9" s="992"/>
      <c r="J9" s="992"/>
      <c r="K9" s="992"/>
      <c r="L9" s="1111"/>
      <c r="M9" s="1111"/>
      <c r="N9" s="1111"/>
      <c r="O9" s="1111"/>
      <c r="P9" s="1111"/>
      <c r="Q9" s="990"/>
      <c r="R9" s="990"/>
      <c r="S9" s="990"/>
      <c r="T9" s="990"/>
      <c r="U9" s="990"/>
      <c r="V9" s="990"/>
      <c r="W9" s="3465" t="s">
        <v>422</v>
      </c>
      <c r="X9" s="1146"/>
    </row>
    <row r="10" spans="1:35" ht="40.5" customHeight="1">
      <c r="A10" s="3460"/>
      <c r="B10" s="1202" t="s">
        <v>567</v>
      </c>
      <c r="C10" s="1038"/>
      <c r="D10" s="1038"/>
      <c r="E10" s="1038"/>
      <c r="F10" s="1038"/>
      <c r="G10" s="1038"/>
      <c r="H10" s="992"/>
      <c r="I10" s="1111"/>
      <c r="J10" s="992"/>
      <c r="K10" s="992"/>
      <c r="L10" s="1203" t="s">
        <v>566</v>
      </c>
      <c r="M10" s="1111"/>
      <c r="N10" s="1111"/>
      <c r="O10" s="1111"/>
      <c r="P10" s="1111"/>
      <c r="Q10" s="990"/>
      <c r="R10" s="990"/>
      <c r="S10" s="990"/>
      <c r="T10" s="990"/>
      <c r="U10" s="1111"/>
      <c r="V10" s="1111"/>
      <c r="W10" s="3465"/>
      <c r="X10" s="1146"/>
    </row>
    <row r="11" spans="1:35" ht="40.5" customHeight="1">
      <c r="A11" s="992"/>
      <c r="B11" s="1202" t="s">
        <v>565</v>
      </c>
      <c r="C11" s="1200"/>
      <c r="D11" s="1038"/>
      <c r="E11" s="1038"/>
      <c r="F11" s="1038"/>
      <c r="G11" s="1038"/>
      <c r="H11" s="992"/>
      <c r="I11" s="1111"/>
      <c r="J11" s="992"/>
      <c r="K11" s="992"/>
      <c r="L11" s="1111"/>
      <c r="M11" s="1111"/>
      <c r="N11" s="1111"/>
      <c r="O11" s="1111"/>
      <c r="P11" s="1111"/>
      <c r="Q11" s="990"/>
      <c r="R11" s="990"/>
      <c r="S11" s="990"/>
      <c r="T11" s="990"/>
      <c r="U11" s="1111"/>
      <c r="V11" s="1111"/>
      <c r="W11" s="1111"/>
      <c r="X11" s="1111"/>
    </row>
    <row r="12" spans="1:35" s="989" customFormat="1" ht="40.5" customHeight="1">
      <c r="A12" s="992"/>
      <c r="B12" s="1040"/>
      <c r="C12" s="1200"/>
      <c r="D12" s="1038"/>
      <c r="E12" s="1038"/>
      <c r="F12" s="1038"/>
      <c r="G12" s="1038"/>
      <c r="H12" s="992"/>
      <c r="I12" s="1111"/>
      <c r="J12" s="992"/>
      <c r="K12" s="992"/>
      <c r="L12" s="1111"/>
      <c r="M12" s="1111"/>
      <c r="N12" s="1111"/>
      <c r="O12" s="1111"/>
      <c r="P12" s="1111"/>
      <c r="Q12" s="990"/>
      <c r="R12" s="990"/>
      <c r="S12" s="990"/>
      <c r="T12" s="990"/>
      <c r="U12" s="1111"/>
      <c r="V12" s="1111"/>
      <c r="W12" s="1111"/>
      <c r="X12" s="1111"/>
    </row>
    <row r="13" spans="1:35" s="989" customFormat="1" ht="40.5" customHeight="1">
      <c r="A13" s="992"/>
      <c r="B13" s="1040" t="s">
        <v>564</v>
      </c>
      <c r="C13" s="1200"/>
      <c r="D13" s="1038"/>
      <c r="E13" s="1038"/>
      <c r="F13" s="1038"/>
      <c r="G13" s="1038"/>
      <c r="H13" s="992"/>
      <c r="I13" s="1111"/>
      <c r="J13" s="992"/>
      <c r="K13" s="992"/>
      <c r="L13" s="1111"/>
      <c r="M13" s="1111"/>
      <c r="N13" s="1111"/>
      <c r="O13" s="1111"/>
      <c r="P13" s="1111"/>
      <c r="Q13" s="990"/>
      <c r="R13" s="990"/>
      <c r="S13" s="990"/>
      <c r="T13" s="990"/>
      <c r="U13" s="1111"/>
      <c r="V13" s="1111"/>
      <c r="W13" s="1111"/>
      <c r="X13" s="1111"/>
    </row>
    <row r="14" spans="1:35" s="989" customFormat="1" ht="40.5" customHeight="1">
      <c r="A14" s="992"/>
      <c r="B14" s="1040"/>
      <c r="C14" s="1200"/>
      <c r="D14" s="1038"/>
      <c r="E14" s="1038"/>
      <c r="F14" s="1038"/>
      <c r="G14" s="1038"/>
      <c r="H14" s="992"/>
      <c r="I14" s="1111"/>
      <c r="J14" s="992"/>
      <c r="K14" s="992"/>
      <c r="L14" s="1111"/>
      <c r="M14" s="1111"/>
      <c r="N14" s="1111"/>
      <c r="O14" s="1111"/>
      <c r="P14" s="1111"/>
      <c r="Q14" s="990"/>
      <c r="R14" s="990"/>
      <c r="S14" s="990"/>
      <c r="T14" s="990"/>
      <c r="U14" s="990"/>
      <c r="V14" s="990"/>
      <c r="W14" s="1004"/>
      <c r="X14" s="990"/>
    </row>
    <row r="15" spans="1:35" s="989" customFormat="1" ht="40.5" customHeight="1">
      <c r="A15" s="992"/>
      <c r="B15" s="1040" t="s">
        <v>563</v>
      </c>
      <c r="C15" s="1200"/>
      <c r="D15" s="1038"/>
      <c r="E15" s="1038"/>
      <c r="F15" s="1038"/>
      <c r="G15" s="1038"/>
      <c r="H15" s="992"/>
      <c r="I15" s="1111"/>
      <c r="J15" s="992"/>
      <c r="K15" s="992"/>
      <c r="L15" s="1111"/>
      <c r="M15" s="1111"/>
      <c r="N15" s="1111"/>
      <c r="O15" s="1111"/>
      <c r="P15" s="1111"/>
      <c r="Q15" s="990"/>
      <c r="R15" s="990"/>
      <c r="S15" s="990"/>
      <c r="T15" s="990"/>
      <c r="U15" s="990"/>
      <c r="V15" s="990"/>
      <c r="W15" s="1004"/>
      <c r="X15" s="990"/>
    </row>
    <row r="16" spans="1:35" s="989" customFormat="1" ht="40.5" customHeight="1">
      <c r="A16" s="992"/>
      <c r="B16" s="1040" t="s">
        <v>562</v>
      </c>
      <c r="C16" s="1200"/>
      <c r="D16" s="1038"/>
      <c r="E16" s="1038"/>
      <c r="F16" s="1038"/>
      <c r="G16" s="1038"/>
      <c r="H16" s="992"/>
      <c r="I16" s="1111"/>
      <c r="J16" s="992"/>
      <c r="K16" s="992"/>
      <c r="L16" s="1111"/>
      <c r="M16" s="1111"/>
      <c r="N16" s="1111"/>
      <c r="O16" s="1111"/>
      <c r="P16" s="1111"/>
      <c r="Q16" s="990"/>
      <c r="R16" s="990"/>
      <c r="S16" s="990"/>
      <c r="T16" s="990"/>
      <c r="U16" s="990"/>
      <c r="V16" s="990"/>
      <c r="W16" s="1004"/>
      <c r="X16" s="990"/>
    </row>
    <row r="17" spans="1:35" s="989" customFormat="1" ht="40.5" customHeight="1">
      <c r="A17" s="992"/>
      <c r="B17" s="1040"/>
      <c r="C17" s="1200"/>
      <c r="D17" s="1038"/>
      <c r="E17" s="1038"/>
      <c r="F17" s="1038"/>
      <c r="G17" s="1038"/>
      <c r="H17" s="992"/>
      <c r="I17" s="1111"/>
      <c r="J17" s="992"/>
      <c r="K17" s="992"/>
      <c r="L17" s="1111"/>
      <c r="M17" s="1111"/>
      <c r="N17" s="1111"/>
      <c r="O17" s="1111"/>
      <c r="P17" s="1111"/>
      <c r="Q17" s="990"/>
      <c r="R17" s="990"/>
      <c r="S17" s="990"/>
      <c r="T17" s="990"/>
      <c r="U17" s="990"/>
      <c r="V17" s="990"/>
      <c r="W17" s="1004"/>
      <c r="X17" s="990"/>
    </row>
    <row r="18" spans="1:35" s="989" customFormat="1" ht="40.5" customHeight="1">
      <c r="A18" s="992"/>
      <c r="B18" s="1040" t="s">
        <v>561</v>
      </c>
      <c r="C18" s="1200"/>
      <c r="D18" s="1038"/>
      <c r="E18" s="1038"/>
      <c r="F18" s="1038"/>
      <c r="G18" s="1038"/>
      <c r="H18" s="992"/>
      <c r="I18" s="1111"/>
      <c r="J18" s="992"/>
      <c r="K18" s="992"/>
      <c r="L18" s="1111"/>
      <c r="M18" s="1111"/>
      <c r="N18" s="1111"/>
      <c r="O18" s="1111"/>
      <c r="P18" s="1111"/>
      <c r="Q18" s="990"/>
      <c r="R18" s="990"/>
      <c r="S18" s="990"/>
      <c r="T18" s="990"/>
      <c r="U18" s="990"/>
      <c r="V18" s="990"/>
      <c r="W18" s="1004"/>
      <c r="X18" s="990"/>
    </row>
    <row r="19" spans="1:35" s="989" customFormat="1" ht="40.5" customHeight="1">
      <c r="A19" s="992"/>
      <c r="B19" s="1040" t="s">
        <v>560</v>
      </c>
      <c r="C19" s="1200"/>
      <c r="D19" s="1038"/>
      <c r="E19" s="1038"/>
      <c r="F19" s="1038"/>
      <c r="G19" s="1038"/>
      <c r="H19" s="992"/>
      <c r="I19" s="1111"/>
      <c r="J19" s="992"/>
      <c r="K19" s="992"/>
      <c r="L19" s="1111"/>
      <c r="M19" s="1111"/>
      <c r="N19" s="1111"/>
      <c r="O19" s="1111"/>
      <c r="P19" s="1111"/>
      <c r="Q19" s="990"/>
      <c r="R19" s="990"/>
      <c r="S19" s="990"/>
      <c r="T19" s="990"/>
      <c r="U19" s="990"/>
      <c r="V19" s="990"/>
      <c r="W19" s="1004"/>
      <c r="X19" s="990"/>
    </row>
    <row r="20" spans="1:35" s="989" customFormat="1" ht="40.5" customHeight="1">
      <c r="A20" s="992"/>
      <c r="B20" s="1040"/>
      <c r="C20" s="1200"/>
      <c r="D20" s="1038"/>
      <c r="E20" s="1038"/>
      <c r="F20" s="1038"/>
      <c r="G20" s="1038"/>
      <c r="H20" s="992"/>
      <c r="I20" s="1111"/>
      <c r="J20" s="992"/>
      <c r="K20" s="992"/>
      <c r="L20" s="1111"/>
      <c r="M20" s="1111"/>
      <c r="N20" s="1111"/>
      <c r="O20" s="1111"/>
      <c r="P20" s="1111"/>
      <c r="Q20" s="990"/>
      <c r="R20" s="990"/>
      <c r="S20" s="990"/>
      <c r="T20" s="990"/>
      <c r="U20" s="990"/>
      <c r="V20" s="990"/>
      <c r="W20" s="1004"/>
      <c r="X20" s="990"/>
    </row>
    <row r="21" spans="1:35" s="989" customFormat="1" ht="40.5" customHeight="1">
      <c r="A21" s="992"/>
      <c r="B21" s="1040" t="s">
        <v>559</v>
      </c>
      <c r="C21" s="1200"/>
      <c r="D21" s="1038"/>
      <c r="E21" s="1038"/>
      <c r="F21" s="1038"/>
      <c r="G21" s="1038"/>
      <c r="H21" s="992"/>
      <c r="I21" s="1111"/>
      <c r="J21" s="992"/>
      <c r="K21" s="992"/>
      <c r="L21" s="1111"/>
      <c r="M21" s="1111"/>
      <c r="N21" s="1111"/>
      <c r="O21" s="1111"/>
      <c r="P21" s="1111"/>
      <c r="Q21" s="990"/>
      <c r="R21" s="990"/>
      <c r="S21" s="990"/>
      <c r="T21" s="990"/>
      <c r="U21" s="990"/>
      <c r="V21" s="990"/>
      <c r="W21" s="1004"/>
      <c r="X21" s="990"/>
    </row>
    <row r="22" spans="1:35" s="989" customFormat="1" ht="40.5" customHeight="1">
      <c r="A22" s="992"/>
      <c r="B22" s="1040" t="s">
        <v>558</v>
      </c>
      <c r="C22" s="1200"/>
      <c r="D22" s="1038"/>
      <c r="E22" s="1038"/>
      <c r="F22" s="1038"/>
      <c r="G22" s="1038"/>
      <c r="H22" s="992"/>
      <c r="I22" s="1111"/>
      <c r="J22" s="992"/>
      <c r="K22" s="992"/>
      <c r="L22" s="1111"/>
      <c r="M22" s="1111"/>
      <c r="N22" s="1111"/>
      <c r="O22" s="1111"/>
      <c r="P22" s="1111"/>
      <c r="Q22" s="990"/>
      <c r="R22" s="990"/>
      <c r="S22" s="990"/>
      <c r="T22" s="990"/>
      <c r="U22" s="990"/>
      <c r="V22" s="990"/>
      <c r="W22" s="1004"/>
      <c r="X22" s="990"/>
    </row>
    <row r="23" spans="1:35" s="989" customFormat="1" ht="40.5" customHeight="1">
      <c r="A23" s="992"/>
      <c r="B23" s="1040" t="s">
        <v>557</v>
      </c>
      <c r="C23" s="1200"/>
      <c r="D23" s="1038"/>
      <c r="E23" s="1038"/>
      <c r="F23" s="1038"/>
      <c r="G23" s="1038"/>
      <c r="H23" s="992"/>
      <c r="I23" s="1111"/>
      <c r="J23" s="992"/>
      <c r="K23" s="992"/>
      <c r="L23" s="1111"/>
      <c r="M23" s="1111"/>
      <c r="N23" s="1111"/>
      <c r="O23" s="1111"/>
      <c r="P23" s="1111"/>
      <c r="Q23" s="990"/>
      <c r="R23" s="990"/>
      <c r="S23" s="990"/>
      <c r="T23" s="990"/>
      <c r="U23" s="990"/>
      <c r="V23" s="990"/>
      <c r="W23" s="1004"/>
      <c r="X23" s="990"/>
    </row>
    <row r="24" spans="1:35" ht="40.5" customHeight="1">
      <c r="A24" s="992"/>
      <c r="B24" s="1040" t="s">
        <v>556</v>
      </c>
      <c r="C24" s="1200"/>
      <c r="D24" s="1038"/>
      <c r="E24" s="1038"/>
      <c r="F24" s="1038"/>
      <c r="G24" s="1038"/>
      <c r="H24" s="992"/>
      <c r="I24" s="1111"/>
      <c r="J24" s="992"/>
      <c r="K24" s="992"/>
      <c r="L24" s="1111"/>
      <c r="M24" s="1111"/>
      <c r="N24" s="1111"/>
      <c r="O24" s="1111"/>
      <c r="P24" s="1111"/>
      <c r="Q24" s="990"/>
      <c r="R24" s="990"/>
      <c r="S24" s="990"/>
      <c r="T24" s="990"/>
      <c r="U24" s="990"/>
      <c r="V24" s="990"/>
      <c r="W24" s="1004"/>
      <c r="X24" s="990"/>
    </row>
    <row r="25" spans="1:35" ht="40.5" customHeight="1">
      <c r="A25" s="992"/>
      <c r="B25" s="1201"/>
      <c r="C25" s="1200"/>
      <c r="D25" s="1038"/>
      <c r="E25" s="1038"/>
      <c r="F25" s="1038"/>
      <c r="G25" s="1038"/>
      <c r="H25" s="992"/>
      <c r="I25" s="1111"/>
      <c r="J25" s="992"/>
      <c r="K25" s="992"/>
      <c r="L25" s="1111"/>
      <c r="M25" s="1111"/>
      <c r="N25" s="1111"/>
      <c r="O25" s="1111"/>
      <c r="P25" s="1111"/>
      <c r="Q25" s="990"/>
      <c r="R25" s="990"/>
      <c r="S25" s="990"/>
      <c r="T25" s="990"/>
      <c r="U25" s="990"/>
      <c r="V25" s="990"/>
      <c r="W25" s="1004"/>
      <c r="X25" s="990"/>
    </row>
    <row r="26" spans="1:35" ht="40.5" customHeight="1">
      <c r="A26" s="992"/>
      <c r="B26" s="1040" t="s">
        <v>555</v>
      </c>
      <c r="C26" s="1200"/>
      <c r="D26" s="1038"/>
      <c r="E26" s="1038"/>
      <c r="F26" s="1038"/>
      <c r="G26" s="1038"/>
      <c r="H26" s="992"/>
      <c r="I26" s="1111"/>
      <c r="J26" s="992"/>
      <c r="K26" s="992"/>
      <c r="L26" s="1111"/>
      <c r="M26" s="1111"/>
      <c r="N26" s="1111"/>
      <c r="O26" s="1111"/>
      <c r="P26" s="1111"/>
      <c r="Q26" s="990"/>
      <c r="R26" s="990"/>
      <c r="S26" s="990"/>
      <c r="T26" s="990"/>
      <c r="U26" s="990"/>
      <c r="V26" s="990"/>
      <c r="W26" s="1004"/>
      <c r="X26" s="990"/>
    </row>
    <row r="27" spans="1:35" ht="40.5" customHeight="1">
      <c r="A27" s="992"/>
      <c r="B27" s="1040"/>
      <c r="C27" s="1200"/>
      <c r="D27" s="1038"/>
      <c r="E27" s="1038"/>
      <c r="F27" s="1038"/>
      <c r="G27" s="1038"/>
      <c r="H27" s="992"/>
      <c r="I27" s="1111"/>
      <c r="J27" s="992"/>
      <c r="K27" s="992"/>
      <c r="L27" s="1111"/>
      <c r="M27" s="1111"/>
      <c r="N27" s="1111"/>
      <c r="O27" s="1111"/>
      <c r="P27" s="1111"/>
      <c r="Q27" s="990"/>
      <c r="R27" s="990"/>
      <c r="S27" s="990"/>
      <c r="T27" s="990"/>
      <c r="U27" s="990"/>
      <c r="V27" s="990"/>
      <c r="W27" s="1004"/>
      <c r="X27" s="990"/>
    </row>
    <row r="28" spans="1:35" ht="40.5" customHeight="1">
      <c r="A28" s="992"/>
      <c r="B28" s="1040" t="s">
        <v>554</v>
      </c>
      <c r="C28" s="1200"/>
      <c r="D28" s="1038"/>
      <c r="E28" s="1038"/>
      <c r="F28" s="1038"/>
      <c r="G28" s="1038"/>
      <c r="H28" s="992"/>
      <c r="I28" s="1111"/>
      <c r="J28" s="992"/>
      <c r="K28" s="992"/>
      <c r="L28" s="1111"/>
      <c r="M28" s="1111"/>
      <c r="N28" s="1111"/>
      <c r="O28" s="1111"/>
      <c r="P28" s="1111"/>
      <c r="Q28" s="990"/>
      <c r="R28" s="990"/>
      <c r="S28" s="990"/>
      <c r="T28" s="990"/>
      <c r="U28" s="990"/>
      <c r="V28" s="990"/>
      <c r="W28" s="1004"/>
      <c r="X28" s="990"/>
      <c r="Y28" s="989"/>
      <c r="Z28" s="989"/>
      <c r="AA28" s="989"/>
      <c r="AB28" s="989"/>
      <c r="AC28" s="989"/>
      <c r="AD28" s="989"/>
      <c r="AE28" s="989"/>
      <c r="AF28" s="989"/>
      <c r="AG28" s="989"/>
      <c r="AH28" s="989"/>
      <c r="AI28" s="989"/>
    </row>
    <row r="29" spans="1:35" ht="40.5" customHeight="1">
      <c r="A29" s="992"/>
      <c r="B29" s="1199"/>
      <c r="C29" s="1189"/>
      <c r="D29" s="992"/>
      <c r="E29" s="992"/>
      <c r="F29" s="992"/>
      <c r="G29" s="992"/>
      <c r="H29" s="992"/>
      <c r="I29" s="1111"/>
      <c r="J29" s="992"/>
      <c r="K29" s="992"/>
      <c r="L29" s="1111"/>
      <c r="M29" s="1111"/>
      <c r="N29" s="1111"/>
      <c r="O29" s="1111"/>
      <c r="P29" s="1111"/>
      <c r="Q29" s="990"/>
      <c r="R29" s="990"/>
      <c r="S29" s="990"/>
      <c r="T29" s="990"/>
      <c r="U29" s="990"/>
      <c r="V29" s="990"/>
      <c r="W29" s="1004"/>
      <c r="X29" s="990"/>
      <c r="Y29" s="989"/>
      <c r="Z29" s="989"/>
      <c r="AA29" s="989"/>
      <c r="AB29" s="989"/>
      <c r="AC29" s="989"/>
      <c r="AD29" s="989"/>
      <c r="AE29" s="989"/>
      <c r="AF29" s="989"/>
      <c r="AG29" s="989"/>
      <c r="AH29" s="989"/>
      <c r="AI29" s="989"/>
    </row>
    <row r="30" spans="1:35" ht="40.5" customHeight="1">
      <c r="A30" s="992"/>
      <c r="B30" s="1198" t="s">
        <v>334</v>
      </c>
      <c r="C30" s="3463" t="s">
        <v>553</v>
      </c>
      <c r="D30" s="3463"/>
      <c r="E30" s="3463"/>
      <c r="F30" s="3463"/>
      <c r="G30" s="3463"/>
      <c r="H30" s="3463"/>
      <c r="I30" s="3463"/>
      <c r="J30" s="3463"/>
      <c r="K30" s="1197"/>
      <c r="L30" s="1196"/>
      <c r="M30" s="1196"/>
      <c r="N30" s="1196"/>
      <c r="O30" s="1111"/>
      <c r="P30" s="1111"/>
      <c r="Q30" s="990"/>
      <c r="R30" s="990"/>
      <c r="S30" s="990"/>
      <c r="T30" s="990"/>
      <c r="U30" s="990"/>
      <c r="V30" s="990"/>
      <c r="W30" s="1004"/>
      <c r="X30" s="990"/>
      <c r="Y30" s="989"/>
      <c r="Z30" s="989"/>
      <c r="AA30" s="989"/>
      <c r="AB30" s="989"/>
      <c r="AC30" s="989"/>
      <c r="AD30" s="989"/>
      <c r="AE30" s="989"/>
      <c r="AF30" s="989"/>
      <c r="AG30" s="989"/>
      <c r="AH30" s="989"/>
      <c r="AI30" s="989"/>
    </row>
    <row r="31" spans="1:35" ht="40.5" customHeight="1">
      <c r="A31" s="992"/>
      <c r="B31" s="1029"/>
      <c r="C31" s="1189"/>
      <c r="D31" s="992"/>
      <c r="E31" s="992"/>
      <c r="F31" s="992"/>
      <c r="G31" s="992"/>
      <c r="H31" s="992"/>
      <c r="I31" s="1111"/>
      <c r="J31" s="992"/>
      <c r="K31" s="992"/>
      <c r="L31" s="1111"/>
      <c r="M31" s="1111"/>
      <c r="N31" s="1111"/>
      <c r="O31" s="1111"/>
      <c r="P31" s="1111"/>
      <c r="Q31" s="990"/>
      <c r="R31" s="990"/>
      <c r="S31" s="990"/>
      <c r="T31" s="990"/>
      <c r="U31" s="990"/>
      <c r="V31" s="990"/>
      <c r="W31" s="1004"/>
      <c r="X31" s="990"/>
    </row>
    <row r="32" spans="1:35" ht="40.5" customHeight="1">
      <c r="A32" s="1029"/>
      <c r="B32" s="1193" t="s">
        <v>552</v>
      </c>
      <c r="C32" s="1193"/>
      <c r="D32" s="1193"/>
      <c r="E32" s="1193"/>
      <c r="F32" s="1193"/>
      <c r="G32" s="1193"/>
      <c r="H32" s="1193"/>
      <c r="I32" s="1193"/>
      <c r="J32" s="1193"/>
      <c r="K32" s="992"/>
      <c r="L32" s="1111"/>
      <c r="M32" s="1111"/>
      <c r="N32" s="1029"/>
      <c r="O32" s="1029"/>
      <c r="P32" s="1029"/>
      <c r="Q32" s="1029"/>
      <c r="R32" s="1029"/>
      <c r="S32" s="990"/>
      <c r="T32" s="990"/>
      <c r="U32" s="990"/>
      <c r="V32" s="1192"/>
      <c r="W32" s="1192"/>
      <c r="X32" s="1192"/>
    </row>
    <row r="33" spans="1:24" ht="40.5" customHeight="1">
      <c r="A33" s="1029"/>
      <c r="B33" s="1193"/>
      <c r="C33" s="1193" t="s">
        <v>551</v>
      </c>
      <c r="D33" s="1193"/>
      <c r="E33" s="1193"/>
      <c r="F33" s="1193"/>
      <c r="G33" s="1193"/>
      <c r="H33" s="1193"/>
      <c r="I33" s="1193"/>
      <c r="J33" s="1193"/>
      <c r="K33" s="992"/>
      <c r="L33" s="1111"/>
      <c r="M33" s="1111"/>
      <c r="N33" s="1029"/>
      <c r="O33" s="1029"/>
      <c r="P33" s="1029"/>
      <c r="Q33" s="1029"/>
      <c r="R33" s="1029"/>
      <c r="S33" s="990"/>
      <c r="T33" s="990"/>
      <c r="U33" s="990"/>
      <c r="V33" s="1192"/>
      <c r="W33" s="1192"/>
      <c r="X33" s="1192"/>
    </row>
    <row r="34" spans="1:24" ht="40.5" customHeight="1">
      <c r="A34" s="1029"/>
      <c r="B34" s="1193"/>
      <c r="C34" s="1193" t="s">
        <v>550</v>
      </c>
      <c r="D34" s="1193"/>
      <c r="E34" s="1193"/>
      <c r="F34" s="1193"/>
      <c r="G34" s="1193"/>
      <c r="H34" s="1193"/>
      <c r="I34" s="1193"/>
      <c r="J34" s="1193"/>
      <c r="K34" s="992"/>
      <c r="L34" s="1111"/>
      <c r="M34" s="1111"/>
      <c r="N34" s="1029"/>
      <c r="O34" s="1029"/>
      <c r="P34" s="1029"/>
      <c r="Q34" s="1029"/>
      <c r="R34" s="1029"/>
      <c r="S34" s="990"/>
      <c r="T34" s="990"/>
      <c r="U34" s="990"/>
      <c r="V34" s="1192"/>
      <c r="W34" s="1192"/>
      <c r="X34" s="1192"/>
    </row>
    <row r="35" spans="1:24" ht="40.5" customHeight="1">
      <c r="A35" s="1029"/>
      <c r="B35" s="1193"/>
      <c r="C35" s="1193" t="s">
        <v>549</v>
      </c>
      <c r="D35" s="1193"/>
      <c r="E35" s="1193"/>
      <c r="F35" s="1193"/>
      <c r="G35" s="1193"/>
      <c r="H35" s="1193"/>
      <c r="I35" s="1193"/>
      <c r="J35" s="1193"/>
      <c r="K35" s="992"/>
      <c r="L35" s="1111"/>
      <c r="M35" s="1111"/>
      <c r="N35" s="1029"/>
      <c r="O35" s="1029"/>
      <c r="P35" s="1029"/>
      <c r="Q35" s="1029"/>
      <c r="R35" s="1029"/>
      <c r="S35" s="990"/>
      <c r="T35" s="990"/>
      <c r="U35" s="990"/>
      <c r="V35" s="1192"/>
      <c r="W35" s="1192"/>
      <c r="X35" s="1192"/>
    </row>
    <row r="36" spans="1:24" ht="40.5" customHeight="1">
      <c r="A36" s="1029"/>
      <c r="B36" s="1193"/>
      <c r="C36" s="1195"/>
      <c r="D36" s="1194" t="s">
        <v>548</v>
      </c>
      <c r="E36" s="1193"/>
      <c r="F36" s="1193"/>
      <c r="G36" s="1193"/>
      <c r="H36" s="1193"/>
      <c r="I36" s="1193"/>
      <c r="J36" s="1193"/>
      <c r="K36" s="992"/>
      <c r="L36" s="1111"/>
      <c r="M36" s="1111"/>
      <c r="N36" s="1029"/>
      <c r="O36" s="1029"/>
      <c r="P36" s="1029"/>
      <c r="Q36" s="1029"/>
      <c r="R36" s="1029"/>
      <c r="S36" s="990"/>
      <c r="T36" s="990"/>
      <c r="U36" s="990"/>
      <c r="V36" s="1192"/>
      <c r="W36" s="1192"/>
      <c r="X36" s="1192"/>
    </row>
    <row r="37" spans="1:24" ht="40.5" customHeight="1">
      <c r="A37" s="1029"/>
      <c r="B37" s="1193"/>
      <c r="C37" s="1195"/>
      <c r="D37" s="1194" t="s">
        <v>547</v>
      </c>
      <c r="E37" s="1193"/>
      <c r="F37" s="1193"/>
      <c r="G37" s="1193"/>
      <c r="H37" s="1193"/>
      <c r="I37" s="1193"/>
      <c r="J37" s="1193"/>
      <c r="K37" s="992"/>
      <c r="L37" s="1111"/>
      <c r="M37" s="1111"/>
      <c r="N37" s="1029"/>
      <c r="O37" s="1029"/>
      <c r="P37" s="1029"/>
      <c r="Q37" s="1029"/>
      <c r="R37" s="1029"/>
      <c r="S37" s="990"/>
      <c r="T37" s="990"/>
      <c r="U37" s="990"/>
      <c r="V37" s="1192"/>
      <c r="W37" s="1192"/>
      <c r="X37" s="1192"/>
    </row>
    <row r="38" spans="1:24" ht="40.5" customHeight="1">
      <c r="A38" s="1029"/>
      <c r="B38" s="1193"/>
      <c r="C38" s="1193" t="s">
        <v>546</v>
      </c>
      <c r="D38" s="1193"/>
      <c r="E38" s="1193"/>
      <c r="F38" s="1193"/>
      <c r="G38" s="1193"/>
      <c r="H38" s="1193"/>
      <c r="I38" s="1193"/>
      <c r="J38" s="1193"/>
      <c r="K38" s="992"/>
      <c r="L38" s="1111"/>
      <c r="M38" s="1111"/>
      <c r="N38" s="1029"/>
      <c r="O38" s="1029"/>
      <c r="P38" s="1029"/>
      <c r="Q38" s="1029"/>
      <c r="R38" s="1029"/>
      <c r="S38" s="990"/>
      <c r="T38" s="990"/>
      <c r="U38" s="990"/>
      <c r="V38" s="1192"/>
      <c r="W38" s="1192"/>
      <c r="X38" s="1192"/>
    </row>
    <row r="39" spans="1:24" ht="40.5" customHeight="1">
      <c r="A39" s="1029"/>
      <c r="B39" s="1193"/>
      <c r="C39" s="1193"/>
      <c r="D39" s="1194" t="s">
        <v>545</v>
      </c>
      <c r="E39" s="1193"/>
      <c r="F39" s="1193"/>
      <c r="G39" s="1193"/>
      <c r="H39" s="1193"/>
      <c r="I39" s="1193"/>
      <c r="J39" s="1193"/>
      <c r="K39" s="992"/>
      <c r="L39" s="1111"/>
      <c r="M39" s="1111"/>
      <c r="N39" s="1029"/>
      <c r="O39" s="1029"/>
      <c r="P39" s="1029"/>
      <c r="Q39" s="1029"/>
      <c r="R39" s="1029"/>
      <c r="S39" s="990"/>
      <c r="T39" s="990"/>
      <c r="U39" s="990"/>
      <c r="V39" s="1192"/>
      <c r="W39" s="1192"/>
      <c r="X39" s="1192"/>
    </row>
    <row r="40" spans="1:24" ht="40.5" customHeight="1">
      <c r="A40" s="1029"/>
      <c r="B40" s="1193"/>
      <c r="C40" s="1193" t="s">
        <v>544</v>
      </c>
      <c r="D40" s="1193"/>
      <c r="E40" s="1193"/>
      <c r="F40" s="1193"/>
      <c r="G40" s="1193"/>
      <c r="H40" s="1193"/>
      <c r="I40" s="1193"/>
      <c r="J40" s="1193"/>
      <c r="K40" s="992"/>
      <c r="L40" s="1111"/>
      <c r="M40" s="1111"/>
      <c r="N40" s="1029"/>
      <c r="O40" s="1029"/>
      <c r="P40" s="1029"/>
      <c r="Q40" s="1029"/>
      <c r="R40" s="1029"/>
      <c r="S40" s="990"/>
      <c r="T40" s="990"/>
      <c r="U40" s="990"/>
      <c r="V40" s="1192"/>
      <c r="W40" s="1192"/>
      <c r="X40" s="1192"/>
    </row>
    <row r="41" spans="1:24" ht="40.5" customHeight="1">
      <c r="A41" s="1029"/>
      <c r="B41" s="1193"/>
      <c r="C41" s="1193"/>
      <c r="D41" s="1194" t="s">
        <v>543</v>
      </c>
      <c r="E41" s="1193"/>
      <c r="F41" s="1193"/>
      <c r="G41" s="1193"/>
      <c r="H41" s="1193"/>
      <c r="I41" s="1193"/>
      <c r="J41" s="1193"/>
      <c r="K41" s="992"/>
      <c r="L41" s="1111"/>
      <c r="M41" s="1111"/>
      <c r="N41" s="1029"/>
      <c r="O41" s="1029"/>
      <c r="P41" s="1029"/>
      <c r="Q41" s="1029"/>
      <c r="R41" s="1029"/>
      <c r="S41" s="990"/>
      <c r="T41" s="990"/>
      <c r="U41" s="990"/>
      <c r="V41" s="1192"/>
      <c r="W41" s="1192"/>
      <c r="X41" s="1192"/>
    </row>
    <row r="42" spans="1:24" ht="40.5" customHeight="1">
      <c r="A42" s="1029"/>
      <c r="B42" s="1193"/>
      <c r="C42" s="1193"/>
      <c r="D42" s="1194" t="s">
        <v>542</v>
      </c>
      <c r="E42" s="1193"/>
      <c r="F42" s="1193"/>
      <c r="G42" s="1193"/>
      <c r="H42" s="1193"/>
      <c r="I42" s="1193"/>
      <c r="J42" s="1193"/>
      <c r="K42" s="992"/>
      <c r="L42" s="1111"/>
      <c r="M42" s="1111"/>
      <c r="N42" s="1029"/>
      <c r="O42" s="1029"/>
      <c r="P42" s="1029"/>
      <c r="Q42" s="1029"/>
      <c r="R42" s="1029"/>
      <c r="S42" s="990"/>
      <c r="T42" s="990"/>
      <c r="U42" s="990"/>
      <c r="V42" s="1192"/>
      <c r="W42" s="1192"/>
      <c r="X42" s="1192"/>
    </row>
    <row r="43" spans="1:24" ht="40.5" customHeight="1">
      <c r="A43" s="1029"/>
      <c r="B43" s="1193"/>
      <c r="C43" s="1193"/>
      <c r="D43" s="1194" t="s">
        <v>541</v>
      </c>
      <c r="E43" s="1193"/>
      <c r="F43" s="1193"/>
      <c r="G43" s="1193"/>
      <c r="H43" s="1193"/>
      <c r="I43" s="1193"/>
      <c r="J43" s="1193"/>
      <c r="K43" s="992"/>
      <c r="L43" s="1111"/>
      <c r="M43" s="1111"/>
      <c r="N43" s="1029"/>
      <c r="O43" s="1029"/>
      <c r="P43" s="1029"/>
      <c r="Q43" s="1029"/>
      <c r="R43" s="1029"/>
      <c r="S43" s="990"/>
      <c r="T43" s="990"/>
      <c r="U43" s="990"/>
      <c r="V43" s="1192"/>
      <c r="W43" s="1192"/>
      <c r="X43" s="1192"/>
    </row>
    <row r="44" spans="1:24" ht="40.5" customHeight="1">
      <c r="A44" s="1029"/>
      <c r="B44" s="1193"/>
      <c r="C44" s="1193" t="s">
        <v>540</v>
      </c>
      <c r="D44" s="1194"/>
      <c r="E44" s="1193"/>
      <c r="F44" s="1193"/>
      <c r="G44" s="1193"/>
      <c r="H44" s="1193"/>
      <c r="I44" s="1193"/>
      <c r="J44" s="1193"/>
      <c r="K44" s="992"/>
      <c r="L44" s="1111"/>
      <c r="M44" s="1111"/>
      <c r="N44" s="1029"/>
      <c r="O44" s="1029"/>
      <c r="P44" s="1029"/>
      <c r="Q44" s="1029"/>
      <c r="R44" s="1029"/>
      <c r="S44" s="990"/>
      <c r="T44" s="990"/>
      <c r="U44" s="990"/>
      <c r="V44" s="1192"/>
      <c r="W44" s="1192"/>
      <c r="X44" s="1192"/>
    </row>
    <row r="45" spans="1:24" ht="40.5" customHeight="1">
      <c r="A45" s="1029"/>
      <c r="B45" s="1193"/>
      <c r="C45" s="1193" t="s">
        <v>539</v>
      </c>
      <c r="D45" s="1193"/>
      <c r="E45" s="1193"/>
      <c r="F45" s="1193"/>
      <c r="G45" s="1193"/>
      <c r="H45" s="1193"/>
      <c r="I45" s="1193"/>
      <c r="J45" s="1193"/>
      <c r="K45" s="992"/>
      <c r="L45" s="1111"/>
      <c r="M45" s="1111"/>
      <c r="N45" s="1029"/>
      <c r="O45" s="1029"/>
      <c r="P45" s="1029"/>
      <c r="Q45" s="1029"/>
      <c r="R45" s="1029"/>
      <c r="S45" s="990"/>
      <c r="T45" s="990"/>
      <c r="U45" s="990"/>
      <c r="V45" s="1192"/>
      <c r="W45" s="1192"/>
      <c r="X45" s="1192"/>
    </row>
    <row r="46" spans="1:24" ht="40.5" customHeight="1">
      <c r="A46" s="1029"/>
      <c r="B46" s="1193"/>
      <c r="C46" s="1193" t="s">
        <v>538</v>
      </c>
      <c r="D46" s="1193"/>
      <c r="E46" s="1193"/>
      <c r="F46" s="1193"/>
      <c r="G46" s="1193"/>
      <c r="H46" s="1193"/>
      <c r="I46" s="1193"/>
      <c r="J46" s="1193"/>
      <c r="K46" s="992"/>
      <c r="L46" s="1111"/>
      <c r="M46" s="1111"/>
      <c r="N46" s="1029"/>
      <c r="O46" s="1029"/>
      <c r="P46" s="1029"/>
      <c r="Q46" s="1029"/>
      <c r="R46" s="1029"/>
      <c r="S46" s="990"/>
      <c r="T46" s="990"/>
      <c r="U46" s="990"/>
      <c r="V46" s="1192"/>
      <c r="W46" s="1192"/>
      <c r="X46" s="1192"/>
    </row>
    <row r="47" spans="1:24" ht="40.5" customHeight="1">
      <c r="A47" s="1029"/>
      <c r="B47" s="1193"/>
      <c r="C47" s="1193" t="s">
        <v>537</v>
      </c>
      <c r="D47" s="1193"/>
      <c r="E47" s="1193"/>
      <c r="F47" s="1193"/>
      <c r="G47" s="1193"/>
      <c r="H47" s="1193"/>
      <c r="I47" s="1193"/>
      <c r="J47" s="1193"/>
      <c r="K47" s="992"/>
      <c r="L47" s="1111"/>
      <c r="M47" s="1111"/>
      <c r="N47" s="1029"/>
      <c r="O47" s="1029"/>
      <c r="P47" s="1029"/>
      <c r="Q47" s="1029"/>
      <c r="R47" s="1029"/>
      <c r="S47" s="990"/>
      <c r="T47" s="990"/>
      <c r="U47" s="990"/>
      <c r="V47" s="1192"/>
      <c r="W47" s="1192"/>
      <c r="X47" s="1192"/>
    </row>
    <row r="48" spans="1:24" ht="40.5" customHeight="1">
      <c r="A48" s="1029"/>
      <c r="B48" s="1193"/>
      <c r="C48" s="1193" t="s">
        <v>536</v>
      </c>
      <c r="D48" s="1193"/>
      <c r="E48" s="1193"/>
      <c r="F48" s="1193"/>
      <c r="G48" s="1193"/>
      <c r="H48" s="1193"/>
      <c r="I48" s="1193"/>
      <c r="J48" s="1193"/>
      <c r="K48" s="992"/>
      <c r="L48" s="1111"/>
      <c r="M48" s="1111"/>
      <c r="N48" s="1029"/>
      <c r="O48" s="1029"/>
      <c r="P48" s="1029"/>
      <c r="Q48" s="1029"/>
      <c r="R48" s="1029"/>
      <c r="S48" s="990"/>
      <c r="T48" s="990"/>
      <c r="U48" s="990"/>
      <c r="V48" s="1192"/>
      <c r="W48" s="1192"/>
      <c r="X48" s="1192"/>
    </row>
    <row r="49" spans="1:24" ht="40.5" customHeight="1">
      <c r="A49" s="1029"/>
      <c r="B49" s="1193"/>
      <c r="C49" s="1193" t="s">
        <v>535</v>
      </c>
      <c r="D49" s="1193"/>
      <c r="E49" s="1193"/>
      <c r="F49" s="1193"/>
      <c r="G49" s="1193"/>
      <c r="H49" s="1193"/>
      <c r="I49" s="1193"/>
      <c r="J49" s="1193"/>
      <c r="K49" s="992"/>
      <c r="L49" s="1111"/>
      <c r="M49" s="1111"/>
      <c r="N49" s="1029"/>
      <c r="O49" s="1029"/>
      <c r="P49" s="1029"/>
      <c r="Q49" s="1029"/>
      <c r="R49" s="1029"/>
      <c r="S49" s="990"/>
      <c r="T49" s="990"/>
      <c r="U49" s="990"/>
      <c r="V49" s="1192"/>
      <c r="W49" s="1192"/>
      <c r="X49" s="1192"/>
    </row>
    <row r="50" spans="1:24" ht="40.5" customHeight="1">
      <c r="A50" s="1029"/>
      <c r="B50" s="1193"/>
      <c r="C50" s="1193" t="s">
        <v>534</v>
      </c>
      <c r="D50" s="1193"/>
      <c r="E50" s="1193"/>
      <c r="F50" s="1193"/>
      <c r="G50" s="1193"/>
      <c r="H50" s="1193"/>
      <c r="I50" s="1193"/>
      <c r="J50" s="1193"/>
      <c r="K50" s="992"/>
      <c r="L50" s="1111"/>
      <c r="M50" s="1111"/>
      <c r="N50" s="1029"/>
      <c r="O50" s="1029"/>
      <c r="P50" s="1029"/>
      <c r="Q50" s="1029"/>
      <c r="R50" s="1029"/>
      <c r="S50" s="990"/>
      <c r="T50" s="990"/>
      <c r="U50" s="990"/>
      <c r="V50" s="1192"/>
      <c r="W50" s="1192"/>
      <c r="X50" s="1192"/>
    </row>
    <row r="51" spans="1:24" ht="40.5" customHeight="1">
      <c r="A51" s="1029"/>
      <c r="B51" s="1193"/>
      <c r="C51" s="1193" t="s">
        <v>533</v>
      </c>
      <c r="D51" s="1193"/>
      <c r="E51" s="1193"/>
      <c r="F51" s="1193"/>
      <c r="G51" s="1193"/>
      <c r="H51" s="1193"/>
      <c r="I51" s="1193"/>
      <c r="J51" s="1193"/>
      <c r="K51" s="992"/>
      <c r="L51" s="1111"/>
      <c r="M51" s="1111"/>
      <c r="N51" s="1029"/>
      <c r="O51" s="1029"/>
      <c r="P51" s="1029"/>
      <c r="Q51" s="1029"/>
      <c r="R51" s="1029"/>
      <c r="S51" s="990"/>
      <c r="T51" s="990"/>
      <c r="U51" s="990"/>
      <c r="V51" s="1192"/>
      <c r="W51" s="1192"/>
      <c r="X51" s="1192"/>
    </row>
    <row r="52" spans="1:24" ht="40.5" customHeight="1">
      <c r="A52" s="1029"/>
      <c r="B52" s="1193"/>
      <c r="C52" s="1193" t="s">
        <v>532</v>
      </c>
      <c r="D52" s="1193"/>
      <c r="E52" s="1193"/>
      <c r="F52" s="1193"/>
      <c r="G52" s="1193"/>
      <c r="H52" s="1193"/>
      <c r="I52" s="1193"/>
      <c r="J52" s="1193"/>
      <c r="K52" s="992"/>
      <c r="L52" s="1111"/>
      <c r="M52" s="1111"/>
      <c r="N52" s="1029"/>
      <c r="O52" s="1029"/>
      <c r="P52" s="1029"/>
      <c r="Q52" s="1029"/>
      <c r="R52" s="1029"/>
      <c r="S52" s="990"/>
      <c r="T52" s="990"/>
      <c r="U52" s="990"/>
      <c r="V52" s="1192"/>
      <c r="W52" s="1192"/>
      <c r="X52" s="1192"/>
    </row>
    <row r="53" spans="1:24" ht="40.5" customHeight="1">
      <c r="A53" s="1029"/>
      <c r="B53" s="1193"/>
      <c r="C53" s="1193" t="s">
        <v>531</v>
      </c>
      <c r="D53" s="1193"/>
      <c r="E53" s="1193"/>
      <c r="F53" s="1193"/>
      <c r="G53" s="1193"/>
      <c r="H53" s="1193"/>
      <c r="I53" s="1193"/>
      <c r="J53" s="1193"/>
      <c r="K53" s="992"/>
      <c r="L53" s="1111"/>
      <c r="M53" s="1111"/>
      <c r="N53" s="1029"/>
      <c r="O53" s="1029"/>
      <c r="P53" s="1029"/>
      <c r="Q53" s="1029"/>
      <c r="R53" s="1029"/>
      <c r="S53" s="990"/>
      <c r="T53" s="990"/>
      <c r="U53" s="990"/>
      <c r="V53" s="1192"/>
      <c r="W53" s="1192"/>
      <c r="X53" s="1192"/>
    </row>
    <row r="54" spans="1:24" ht="40.5" customHeight="1">
      <c r="A54" s="1029"/>
      <c r="B54" s="1193"/>
      <c r="C54" s="1193" t="s">
        <v>530</v>
      </c>
      <c r="D54" s="1193"/>
      <c r="E54" s="1193"/>
      <c r="F54" s="1193"/>
      <c r="G54" s="1193"/>
      <c r="H54" s="1193"/>
      <c r="I54" s="1193"/>
      <c r="J54" s="1193"/>
      <c r="K54" s="992"/>
      <c r="L54" s="1111"/>
      <c r="M54" s="1111"/>
      <c r="N54" s="1029"/>
      <c r="O54" s="1029"/>
      <c r="P54" s="1029"/>
      <c r="Q54" s="1029"/>
      <c r="R54" s="1029"/>
      <c r="S54" s="990"/>
      <c r="T54" s="990"/>
      <c r="U54" s="990"/>
      <c r="V54" s="1192"/>
      <c r="W54" s="1192"/>
      <c r="X54" s="1192"/>
    </row>
    <row r="55" spans="1:24" ht="40.5" customHeight="1">
      <c r="A55" s="1029"/>
      <c r="B55" s="1193"/>
      <c r="C55" s="1193" t="s">
        <v>529</v>
      </c>
      <c r="D55" s="1193"/>
      <c r="E55" s="1193"/>
      <c r="F55" s="1193"/>
      <c r="G55" s="1193"/>
      <c r="H55" s="1193"/>
      <c r="I55" s="1193"/>
      <c r="J55" s="1193"/>
      <c r="K55" s="992"/>
      <c r="L55" s="1111"/>
      <c r="M55" s="1111"/>
      <c r="N55" s="1029"/>
      <c r="O55" s="1029"/>
      <c r="P55" s="1029"/>
      <c r="Q55" s="1029"/>
      <c r="R55" s="1029"/>
      <c r="S55" s="990"/>
      <c r="T55" s="990"/>
      <c r="U55" s="990"/>
      <c r="V55" s="1192"/>
      <c r="W55" s="1192"/>
      <c r="X55" s="1192"/>
    </row>
    <row r="56" spans="1:24" ht="40.5" customHeight="1">
      <c r="A56" s="1029"/>
      <c r="B56" s="1193"/>
      <c r="C56" s="1193" t="s">
        <v>528</v>
      </c>
      <c r="D56" s="1193"/>
      <c r="E56" s="1193"/>
      <c r="F56" s="1193"/>
      <c r="G56" s="1193"/>
      <c r="H56" s="1193"/>
      <c r="I56" s="1193"/>
      <c r="J56" s="1193"/>
      <c r="K56" s="992"/>
      <c r="L56" s="1111"/>
      <c r="M56" s="1111"/>
      <c r="N56" s="1029"/>
      <c r="O56" s="1029"/>
      <c r="P56" s="1029"/>
      <c r="Q56" s="1029"/>
      <c r="R56" s="1029"/>
      <c r="S56" s="990"/>
      <c r="T56" s="990"/>
      <c r="U56" s="990"/>
      <c r="V56" s="1192"/>
      <c r="W56" s="1192"/>
      <c r="X56" s="1192"/>
    </row>
    <row r="57" spans="1:24" ht="40.5" customHeight="1">
      <c r="A57" s="1029"/>
      <c r="B57" s="1193"/>
      <c r="C57" s="1193" t="s">
        <v>527</v>
      </c>
      <c r="D57" s="1193"/>
      <c r="E57" s="1193"/>
      <c r="F57" s="1193"/>
      <c r="G57" s="1193"/>
      <c r="H57" s="1193"/>
      <c r="I57" s="1193"/>
      <c r="J57" s="1193"/>
      <c r="K57" s="992"/>
      <c r="L57" s="1111"/>
      <c r="M57" s="1111"/>
      <c r="N57" s="1029"/>
      <c r="O57" s="1029"/>
      <c r="P57" s="1029"/>
      <c r="Q57" s="1029"/>
      <c r="R57" s="1029"/>
      <c r="S57" s="990"/>
      <c r="T57" s="990"/>
      <c r="U57" s="990"/>
      <c r="V57" s="1192"/>
      <c r="W57" s="1192"/>
      <c r="X57" s="1192"/>
    </row>
    <row r="58" spans="1:24" ht="40.5" customHeight="1">
      <c r="A58" s="1029"/>
      <c r="B58" s="1193"/>
      <c r="C58" s="1193" t="s">
        <v>526</v>
      </c>
      <c r="D58" s="1193"/>
      <c r="E58" s="1193"/>
      <c r="F58" s="1193"/>
      <c r="G58" s="1193"/>
      <c r="H58" s="1193"/>
      <c r="I58" s="1193"/>
      <c r="J58" s="1193"/>
      <c r="K58" s="992"/>
      <c r="L58" s="1111"/>
      <c r="M58" s="1111"/>
      <c r="N58" s="1029"/>
      <c r="O58" s="1029"/>
      <c r="P58" s="1029"/>
      <c r="Q58" s="1029"/>
      <c r="R58" s="1029"/>
      <c r="S58" s="990"/>
      <c r="T58" s="990"/>
      <c r="U58" s="990"/>
      <c r="V58" s="1192"/>
      <c r="W58" s="1192"/>
      <c r="X58" s="1192"/>
    </row>
    <row r="59" spans="1:24" ht="40.5" customHeight="1">
      <c r="A59" s="1029"/>
      <c r="B59" s="1193"/>
      <c r="C59" s="1193" t="s">
        <v>525</v>
      </c>
      <c r="D59" s="1193"/>
      <c r="E59" s="1193"/>
      <c r="F59" s="1193"/>
      <c r="G59" s="1193"/>
      <c r="H59" s="1193"/>
      <c r="I59" s="1193"/>
      <c r="J59" s="1193"/>
      <c r="K59" s="992"/>
      <c r="L59" s="1111"/>
      <c r="M59" s="1111"/>
      <c r="N59" s="1029"/>
      <c r="O59" s="1029"/>
      <c r="P59" s="1029"/>
      <c r="Q59" s="1029"/>
      <c r="R59" s="1029"/>
      <c r="S59" s="990"/>
      <c r="T59" s="990"/>
      <c r="U59" s="990"/>
      <c r="V59" s="1192"/>
      <c r="W59" s="1192"/>
      <c r="X59" s="1192"/>
    </row>
    <row r="60" spans="1:24" ht="40.5" customHeight="1">
      <c r="A60" s="1029"/>
      <c r="B60" s="1193"/>
      <c r="C60" s="1193" t="s">
        <v>524</v>
      </c>
      <c r="D60" s="1193"/>
      <c r="E60" s="1193"/>
      <c r="F60" s="1193"/>
      <c r="G60" s="1193"/>
      <c r="H60" s="1193"/>
      <c r="I60" s="1193"/>
      <c r="J60" s="1193"/>
      <c r="K60" s="992"/>
      <c r="L60" s="1111"/>
      <c r="M60" s="1111"/>
      <c r="N60" s="1029"/>
      <c r="O60" s="1029"/>
      <c r="P60" s="1029"/>
      <c r="Q60" s="1029"/>
      <c r="R60" s="1029"/>
      <c r="S60" s="990"/>
      <c r="T60" s="990"/>
      <c r="U60" s="990"/>
      <c r="V60" s="1192"/>
      <c r="W60" s="1192"/>
      <c r="X60" s="1192"/>
    </row>
    <row r="61" spans="1:24" ht="40.5" customHeight="1">
      <c r="A61" s="1029"/>
      <c r="B61" s="1193"/>
      <c r="C61" s="1193"/>
      <c r="D61" s="1193"/>
      <c r="E61" s="1193"/>
      <c r="F61" s="1193"/>
      <c r="G61" s="1193"/>
      <c r="H61" s="1193"/>
      <c r="I61" s="1193"/>
      <c r="J61" s="1193"/>
      <c r="K61" s="992"/>
      <c r="L61" s="1111"/>
      <c r="M61" s="1111"/>
      <c r="N61" s="1029"/>
      <c r="O61" s="1029"/>
      <c r="P61" s="1029"/>
      <c r="Q61" s="1029"/>
      <c r="R61" s="1029"/>
      <c r="S61" s="990"/>
      <c r="T61" s="990"/>
      <c r="U61" s="990"/>
      <c r="V61" s="1192"/>
      <c r="W61" s="1192"/>
      <c r="X61" s="1192"/>
    </row>
    <row r="62" spans="1:24" ht="40.5" customHeight="1">
      <c r="A62" s="992"/>
      <c r="B62" s="1029"/>
      <c r="C62" s="1189"/>
      <c r="D62" s="992"/>
      <c r="E62" s="992"/>
      <c r="F62" s="992"/>
      <c r="G62" s="992"/>
      <c r="H62" s="992"/>
      <c r="I62" s="1111"/>
      <c r="J62" s="992"/>
      <c r="K62" s="992"/>
      <c r="L62" s="1111"/>
      <c r="M62" s="1111"/>
      <c r="N62" s="1111"/>
      <c r="O62" s="1111"/>
      <c r="P62" s="1111"/>
      <c r="Q62" s="990"/>
      <c r="R62" s="990"/>
      <c r="S62" s="990"/>
      <c r="T62" s="990"/>
      <c r="U62" s="990"/>
      <c r="V62" s="990"/>
      <c r="W62" s="1004"/>
      <c r="X62" s="990"/>
    </row>
    <row r="63" spans="1:24" ht="40.5" customHeight="1">
      <c r="A63" s="992"/>
      <c r="B63" s="1191" t="s">
        <v>523</v>
      </c>
      <c r="C63" s="1084"/>
      <c r="D63" s="992"/>
      <c r="E63" s="992"/>
      <c r="F63" s="992"/>
      <c r="G63" s="992"/>
      <c r="H63" s="992"/>
      <c r="I63" s="992"/>
      <c r="J63" s="992"/>
      <c r="K63" s="992"/>
      <c r="L63" s="992"/>
      <c r="M63" s="992"/>
      <c r="N63" s="992"/>
      <c r="O63" s="992"/>
      <c r="P63" s="992"/>
      <c r="Q63" s="992"/>
      <c r="R63" s="992"/>
      <c r="S63" s="990"/>
      <c r="T63" s="990"/>
      <c r="U63" s="990"/>
      <c r="V63" s="990"/>
      <c r="W63" s="990"/>
      <c r="X63" s="990"/>
    </row>
    <row r="64" spans="1:24" ht="40.5" customHeight="1">
      <c r="A64" s="992"/>
      <c r="B64" s="1190" t="s">
        <v>522</v>
      </c>
      <c r="C64" s="1084"/>
      <c r="D64" s="992"/>
      <c r="E64" s="992"/>
      <c r="F64" s="992"/>
      <c r="G64" s="992"/>
      <c r="H64" s="992"/>
      <c r="I64" s="992"/>
      <c r="J64" s="992"/>
      <c r="K64" s="992"/>
      <c r="L64" s="992"/>
      <c r="M64" s="992"/>
      <c r="N64" s="992"/>
      <c r="O64" s="992"/>
      <c r="P64" s="992"/>
      <c r="Q64" s="992"/>
      <c r="R64" s="992"/>
      <c r="S64" s="990"/>
      <c r="T64" s="990"/>
      <c r="U64" s="990"/>
      <c r="V64" s="990"/>
      <c r="W64" s="990"/>
      <c r="X64" s="990"/>
    </row>
    <row r="65" spans="1:24" ht="40.5" customHeight="1">
      <c r="A65" s="992"/>
      <c r="B65" s="1029"/>
      <c r="C65" s="1189"/>
      <c r="D65" s="992"/>
      <c r="E65" s="992"/>
      <c r="F65" s="992"/>
      <c r="G65" s="992"/>
      <c r="H65" s="992"/>
      <c r="I65" s="1111"/>
      <c r="J65" s="992"/>
      <c r="K65" s="992"/>
      <c r="L65" s="1111"/>
      <c r="M65" s="1111"/>
      <c r="N65" s="1111"/>
      <c r="O65" s="1111"/>
      <c r="P65" s="1111"/>
      <c r="Q65" s="990"/>
      <c r="R65" s="990"/>
      <c r="S65" s="990"/>
      <c r="T65" s="990"/>
      <c r="U65" s="990"/>
      <c r="V65" s="990"/>
      <c r="W65" s="1004"/>
      <c r="X65" s="990"/>
    </row>
    <row r="66" spans="1:24" ht="40.5" customHeight="1">
      <c r="A66" s="1106"/>
      <c r="B66" s="1148"/>
      <c r="C66" s="1107"/>
      <c r="D66" s="1106"/>
      <c r="E66" s="1106"/>
      <c r="F66" s="1106"/>
      <c r="G66" s="1106"/>
      <c r="H66" s="1106"/>
      <c r="I66" s="1147"/>
      <c r="J66" s="1106"/>
      <c r="K66" s="1106"/>
      <c r="L66" s="1147"/>
      <c r="M66" s="1147"/>
      <c r="N66" s="1147"/>
      <c r="O66" s="1147"/>
      <c r="P66" s="1147"/>
      <c r="Q66" s="1105"/>
      <c r="R66" s="1105"/>
      <c r="S66" s="1105"/>
      <c r="T66" s="1105"/>
      <c r="U66" s="1105"/>
      <c r="V66" s="1105"/>
      <c r="W66" s="1022"/>
      <c r="X66" s="1105"/>
    </row>
    <row r="67" spans="1:24" ht="40.5" customHeight="1">
      <c r="A67" s="3460" t="s">
        <v>59</v>
      </c>
      <c r="B67" s="1029"/>
      <c r="C67" s="1189"/>
      <c r="D67" s="992"/>
      <c r="E67" s="992"/>
      <c r="F67" s="992"/>
      <c r="G67" s="992"/>
      <c r="H67" s="992"/>
      <c r="I67" s="1111"/>
      <c r="J67" s="992"/>
      <c r="K67" s="992"/>
      <c r="L67" s="1111"/>
      <c r="M67" s="1111"/>
      <c r="N67" s="1111"/>
      <c r="O67" s="1111"/>
      <c r="P67" s="1111"/>
      <c r="Q67" s="990"/>
      <c r="R67" s="990"/>
      <c r="S67" s="990"/>
      <c r="T67" s="990"/>
      <c r="U67" s="990"/>
      <c r="V67" s="990"/>
      <c r="W67" s="1004"/>
      <c r="X67" s="990"/>
    </row>
    <row r="68" spans="1:24" ht="40.5" customHeight="1">
      <c r="A68" s="3460"/>
      <c r="B68" s="1188" t="s">
        <v>521</v>
      </c>
      <c r="C68" s="1110"/>
      <c r="D68" s="1084"/>
      <c r="E68" s="992"/>
      <c r="F68" s="992"/>
      <c r="G68" s="992"/>
      <c r="H68" s="992"/>
      <c r="I68" s="1111"/>
      <c r="J68" s="992"/>
      <c r="K68" s="992"/>
      <c r="L68" s="1111"/>
      <c r="M68" s="1111"/>
      <c r="N68" s="1111"/>
      <c r="O68" s="1111"/>
      <c r="P68" s="1111"/>
      <c r="Q68" s="990"/>
      <c r="R68" s="990"/>
      <c r="S68" s="990"/>
      <c r="T68" s="990"/>
      <c r="U68" s="990"/>
      <c r="V68" s="990"/>
      <c r="W68" s="1103" t="s">
        <v>59</v>
      </c>
      <c r="X68" s="1146"/>
    </row>
    <row r="69" spans="1:24" ht="40.5" customHeight="1">
      <c r="A69" s="992"/>
      <c r="B69" s="1029"/>
      <c r="C69" s="1029"/>
      <c r="D69" s="992"/>
      <c r="E69" s="992"/>
      <c r="F69" s="992"/>
      <c r="G69" s="992"/>
      <c r="H69" s="992"/>
      <c r="I69" s="1111"/>
      <c r="J69" s="992"/>
      <c r="K69" s="992"/>
      <c r="L69" s="1111"/>
      <c r="M69" s="1111"/>
      <c r="N69" s="1111"/>
      <c r="O69" s="1111"/>
      <c r="P69" s="1111"/>
      <c r="Q69" s="990"/>
      <c r="R69" s="990"/>
      <c r="S69" s="990"/>
      <c r="T69" s="990"/>
      <c r="U69" s="990"/>
      <c r="V69" s="990"/>
      <c r="W69" s="1004"/>
      <c r="X69" s="990"/>
    </row>
    <row r="70" spans="1:24" ht="40.5" customHeight="1">
      <c r="A70" s="992"/>
      <c r="B70" s="1029"/>
      <c r="C70" s="3468" t="s">
        <v>520</v>
      </c>
      <c r="D70" s="3469"/>
      <c r="E70" s="3469"/>
      <c r="F70" s="992"/>
      <c r="G70" s="3468" t="s">
        <v>519</v>
      </c>
      <c r="H70" s="3469"/>
      <c r="I70" s="3469"/>
      <c r="J70" s="992"/>
      <c r="K70" s="992"/>
      <c r="L70" s="1111"/>
      <c r="M70" s="1111"/>
      <c r="N70" s="1111"/>
      <c r="O70" s="1187" t="s">
        <v>518</v>
      </c>
      <c r="P70" s="1186"/>
      <c r="Q70" s="1186"/>
      <c r="R70" s="1186"/>
      <c r="S70" s="1186"/>
      <c r="T70" s="990"/>
      <c r="U70" s="990"/>
      <c r="V70" s="990"/>
      <c r="W70" s="1004"/>
      <c r="X70" s="990"/>
    </row>
    <row r="71" spans="1:24" ht="40.5" customHeight="1">
      <c r="A71" s="992"/>
      <c r="B71" s="1029"/>
      <c r="C71" s="3470"/>
      <c r="D71" s="3471"/>
      <c r="E71" s="3471"/>
      <c r="F71" s="1111"/>
      <c r="G71" s="3470"/>
      <c r="H71" s="3471"/>
      <c r="I71" s="3471"/>
      <c r="J71" s="992"/>
      <c r="K71" s="992"/>
      <c r="L71" s="1111"/>
      <c r="M71" s="1111"/>
      <c r="N71" s="1111"/>
      <c r="O71" s="3476" t="s">
        <v>19</v>
      </c>
      <c r="P71" s="3476"/>
      <c r="Q71" s="3476"/>
      <c r="R71" s="3476"/>
      <c r="S71" s="3476"/>
      <c r="T71" s="990"/>
      <c r="U71" s="990"/>
      <c r="V71" s="990"/>
      <c r="W71" s="1004"/>
      <c r="X71" s="990"/>
    </row>
    <row r="72" spans="1:24" ht="40.5" customHeight="1">
      <c r="A72" s="992"/>
      <c r="B72" s="1029"/>
      <c r="C72" s="3470"/>
      <c r="D72" s="3471"/>
      <c r="E72" s="3471"/>
      <c r="F72" s="1111"/>
      <c r="G72" s="3470"/>
      <c r="H72" s="3471"/>
      <c r="I72" s="3471"/>
      <c r="J72" s="992"/>
      <c r="K72" s="992"/>
      <c r="L72" s="1111"/>
      <c r="M72" s="1111"/>
      <c r="N72" s="1111"/>
      <c r="O72" s="3443">
        <v>100</v>
      </c>
      <c r="P72" s="3443"/>
      <c r="Q72" s="1185"/>
      <c r="R72" s="1185" t="s">
        <v>28</v>
      </c>
      <c r="S72" s="1185"/>
      <c r="T72" s="990"/>
      <c r="U72" s="990"/>
      <c r="V72" s="990"/>
      <c r="W72" s="1004"/>
      <c r="X72" s="990"/>
    </row>
    <row r="73" spans="1:24" ht="40.5" customHeight="1">
      <c r="A73" s="992"/>
      <c r="B73" s="1029"/>
      <c r="C73" s="1111"/>
      <c r="D73" s="1111"/>
      <c r="E73" s="1111"/>
      <c r="F73" s="1111"/>
      <c r="G73" s="1111"/>
      <c r="H73" s="1111"/>
      <c r="I73" s="1111"/>
      <c r="J73" s="1111"/>
      <c r="K73" s="992"/>
      <c r="L73" s="1111"/>
      <c r="M73" s="1111"/>
      <c r="N73" s="1111"/>
      <c r="O73" s="3477" t="s">
        <v>517</v>
      </c>
      <c r="P73" s="3478"/>
      <c r="Q73" s="3478"/>
      <c r="R73" s="3478"/>
      <c r="S73" s="3478"/>
      <c r="T73" s="990"/>
      <c r="U73" s="990"/>
      <c r="V73" s="990"/>
      <c r="W73" s="1004"/>
      <c r="X73" s="990"/>
    </row>
    <row r="74" spans="1:24" ht="40.5" customHeight="1">
      <c r="A74" s="992"/>
      <c r="B74" s="1029"/>
      <c r="C74" s="1111"/>
      <c r="D74" s="1111"/>
      <c r="E74" s="1111"/>
      <c r="F74" s="1111"/>
      <c r="G74" s="1111"/>
      <c r="H74" s="1111"/>
      <c r="I74" s="1111"/>
      <c r="J74" s="1111"/>
      <c r="K74" s="992"/>
      <c r="L74" s="1111"/>
      <c r="M74" s="1111"/>
      <c r="N74" s="1111"/>
      <c r="O74" s="3477"/>
      <c r="P74" s="3478"/>
      <c r="Q74" s="3478"/>
      <c r="R74" s="3478"/>
      <c r="S74" s="3478"/>
      <c r="T74" s="990"/>
      <c r="U74" s="990"/>
      <c r="V74" s="990"/>
      <c r="W74" s="1004"/>
      <c r="X74" s="990"/>
    </row>
    <row r="75" spans="1:24" ht="40.5" customHeight="1">
      <c r="A75" s="992"/>
      <c r="B75" s="1029"/>
      <c r="C75" s="3472" t="s">
        <v>516</v>
      </c>
      <c r="D75" s="3473"/>
      <c r="E75" s="3473"/>
      <c r="F75" s="1111"/>
      <c r="G75" s="3464" t="s">
        <v>515</v>
      </c>
      <c r="H75" s="3464"/>
      <c r="I75" s="3464"/>
      <c r="J75" s="992"/>
      <c r="K75" s="992"/>
      <c r="L75" s="1111"/>
      <c r="M75" s="1111"/>
      <c r="N75" s="1111"/>
      <c r="O75" s="3477"/>
      <c r="P75" s="3478"/>
      <c r="Q75" s="3478"/>
      <c r="R75" s="3478"/>
      <c r="S75" s="3478"/>
      <c r="T75" s="990"/>
      <c r="U75" s="990"/>
      <c r="V75" s="990"/>
      <c r="W75" s="1004"/>
      <c r="X75" s="990"/>
    </row>
    <row r="76" spans="1:24" ht="40.5" customHeight="1">
      <c r="A76" s="992"/>
      <c r="B76" s="1029"/>
      <c r="C76" s="3474"/>
      <c r="D76" s="3475"/>
      <c r="E76" s="3475"/>
      <c r="F76" s="1111"/>
      <c r="G76" s="3464"/>
      <c r="H76" s="3464"/>
      <c r="I76" s="3464"/>
      <c r="J76" s="992"/>
      <c r="K76" s="992"/>
      <c r="L76" s="1111"/>
      <c r="M76" s="1111"/>
      <c r="N76" s="1111"/>
      <c r="O76" s="3477"/>
      <c r="P76" s="3478"/>
      <c r="Q76" s="3478"/>
      <c r="R76" s="3478"/>
      <c r="S76" s="3478"/>
      <c r="T76" s="990"/>
      <c r="U76" s="990"/>
      <c r="V76" s="990"/>
      <c r="W76" s="1004"/>
      <c r="X76" s="990"/>
    </row>
    <row r="77" spans="1:24" ht="40.5" customHeight="1">
      <c r="A77" s="992"/>
      <c r="B77" s="1029"/>
      <c r="C77" s="3474"/>
      <c r="D77" s="3475"/>
      <c r="E77" s="3475"/>
      <c r="F77" s="1111"/>
      <c r="G77" s="3464"/>
      <c r="H77" s="3464"/>
      <c r="I77" s="3464"/>
      <c r="J77" s="992"/>
      <c r="K77" s="992"/>
      <c r="L77" s="1111"/>
      <c r="M77" s="1111"/>
      <c r="N77" s="1111"/>
      <c r="O77" s="3479" t="s">
        <v>514</v>
      </c>
      <c r="P77" s="3480"/>
      <c r="Q77" s="3480"/>
      <c r="R77" s="3480"/>
      <c r="S77" s="3480"/>
      <c r="T77" s="990"/>
      <c r="U77" s="990"/>
      <c r="V77" s="990"/>
      <c r="W77" s="1004"/>
      <c r="X77" s="990"/>
    </row>
    <row r="78" spans="1:24" ht="40.5" customHeight="1">
      <c r="A78" s="992"/>
      <c r="B78" s="1029"/>
      <c r="C78" s="1029"/>
      <c r="D78" s="992"/>
      <c r="E78" s="992"/>
      <c r="F78" s="992"/>
      <c r="G78" s="992"/>
      <c r="H78" s="992"/>
      <c r="I78" s="992"/>
      <c r="J78" s="992"/>
      <c r="K78" s="992"/>
      <c r="L78" s="992"/>
      <c r="M78" s="992"/>
      <c r="N78" s="992"/>
      <c r="O78" s="3479"/>
      <c r="P78" s="3480"/>
      <c r="Q78" s="3480"/>
      <c r="R78" s="3480"/>
      <c r="S78" s="3480"/>
      <c r="T78" s="990"/>
      <c r="U78" s="990"/>
      <c r="V78" s="990"/>
      <c r="W78" s="1004"/>
      <c r="X78" s="990"/>
    </row>
    <row r="79" spans="1:24" ht="40.5" customHeight="1">
      <c r="A79" s="992"/>
      <c r="B79" s="1029"/>
      <c r="C79" s="1081"/>
      <c r="D79" s="1084"/>
      <c r="E79" s="1084"/>
      <c r="F79" s="1084"/>
      <c r="G79" s="992"/>
      <c r="H79" s="992"/>
      <c r="I79" s="1111"/>
      <c r="J79" s="992"/>
      <c r="K79" s="992"/>
      <c r="L79" s="990"/>
      <c r="M79" s="990"/>
      <c r="N79" s="990"/>
      <c r="O79" s="3479"/>
      <c r="P79" s="3480"/>
      <c r="Q79" s="3480"/>
      <c r="R79" s="3480"/>
      <c r="S79" s="3480"/>
      <c r="T79" s="990"/>
      <c r="U79" s="990"/>
      <c r="V79" s="990"/>
      <c r="W79" s="1004"/>
      <c r="X79" s="990"/>
    </row>
    <row r="80" spans="1:24" ht="40.5" customHeight="1">
      <c r="A80" s="992"/>
      <c r="B80" s="1029"/>
      <c r="C80" s="1081"/>
      <c r="D80" s="1084"/>
      <c r="E80" s="1175"/>
      <c r="F80" s="1084"/>
      <c r="G80" s="992"/>
      <c r="H80" s="992"/>
      <c r="I80" s="1111"/>
      <c r="J80" s="992"/>
      <c r="K80" s="992"/>
      <c r="L80" s="1111"/>
      <c r="M80" s="1111"/>
      <c r="N80" s="1111"/>
      <c r="O80" s="3481" t="s">
        <v>513</v>
      </c>
      <c r="P80" s="3482"/>
      <c r="Q80" s="3482"/>
      <c r="R80" s="3482"/>
      <c r="S80" s="3482"/>
      <c r="T80" s="990"/>
      <c r="U80" s="990"/>
      <c r="V80" s="990"/>
      <c r="W80" s="1004"/>
      <c r="X80" s="990"/>
    </row>
    <row r="81" spans="1:24" ht="40.5" customHeight="1">
      <c r="A81" s="992"/>
      <c r="B81" s="1029"/>
      <c r="C81" s="1081"/>
      <c r="D81" s="1151"/>
      <c r="E81" s="1084"/>
      <c r="F81" s="1084"/>
      <c r="G81" s="992"/>
      <c r="H81" s="992"/>
      <c r="I81" s="1111"/>
      <c r="J81" s="992"/>
      <c r="K81" s="992"/>
      <c r="L81" s="1111"/>
      <c r="M81" s="1111"/>
      <c r="N81" s="1111"/>
      <c r="O81" s="3481"/>
      <c r="P81" s="3482"/>
      <c r="Q81" s="3482"/>
      <c r="R81" s="3482"/>
      <c r="S81" s="3482"/>
      <c r="T81" s="990"/>
      <c r="U81" s="990"/>
      <c r="V81" s="990"/>
      <c r="W81" s="1004"/>
      <c r="X81" s="990"/>
    </row>
    <row r="82" spans="1:24" ht="40.5" customHeight="1">
      <c r="A82" s="992"/>
      <c r="B82" s="1029"/>
      <c r="C82" s="1081"/>
      <c r="D82" s="1151"/>
      <c r="E82" s="1084"/>
      <c r="F82" s="1084"/>
      <c r="G82" s="992"/>
      <c r="H82" s="992"/>
      <c r="I82" s="1111"/>
      <c r="J82" s="992"/>
      <c r="K82" s="992"/>
      <c r="L82" s="1111"/>
      <c r="M82" s="1111"/>
      <c r="N82" s="1111"/>
      <c r="O82" s="3481"/>
      <c r="P82" s="3482"/>
      <c r="Q82" s="3482"/>
      <c r="R82" s="3482"/>
      <c r="S82" s="3482"/>
      <c r="T82" s="990"/>
      <c r="U82" s="990"/>
      <c r="V82" s="990"/>
      <c r="W82" s="1004"/>
      <c r="X82" s="990"/>
    </row>
    <row r="83" spans="1:24" ht="40.5" customHeight="1">
      <c r="A83" s="992"/>
      <c r="B83" s="1029"/>
      <c r="C83" s="1081"/>
      <c r="D83" s="1151"/>
      <c r="E83" s="1084"/>
      <c r="F83" s="1084"/>
      <c r="G83" s="992"/>
      <c r="H83" s="992"/>
      <c r="I83" s="1111"/>
      <c r="J83" s="992"/>
      <c r="K83" s="992"/>
      <c r="L83" s="1111"/>
      <c r="M83" s="1111"/>
      <c r="N83" s="1111"/>
      <c r="O83" s="990"/>
      <c r="P83" s="990"/>
      <c r="Q83" s="990"/>
      <c r="R83" s="990"/>
      <c r="S83" s="990"/>
      <c r="T83" s="990"/>
      <c r="U83" s="990"/>
      <c r="V83" s="990"/>
      <c r="W83" s="1004"/>
      <c r="X83" s="990"/>
    </row>
    <row r="84" spans="1:24" ht="40.5" customHeight="1">
      <c r="A84" s="1106"/>
      <c r="B84" s="1148"/>
      <c r="C84" s="1107"/>
      <c r="D84" s="1106"/>
      <c r="E84" s="1106"/>
      <c r="F84" s="1106"/>
      <c r="G84" s="1106"/>
      <c r="H84" s="1106"/>
      <c r="I84" s="1147"/>
      <c r="J84" s="1106"/>
      <c r="K84" s="1106"/>
      <c r="L84" s="1147"/>
      <c r="M84" s="1147"/>
      <c r="N84" s="1147"/>
      <c r="O84" s="1147"/>
      <c r="P84" s="1147"/>
      <c r="Q84" s="1105"/>
      <c r="R84" s="1105"/>
      <c r="S84" s="1105"/>
      <c r="T84" s="1105"/>
      <c r="U84" s="1105"/>
      <c r="V84" s="1105"/>
      <c r="W84" s="1022"/>
      <c r="X84" s="1105"/>
    </row>
    <row r="85" spans="1:24" ht="40.5" customHeight="1">
      <c r="A85" s="3460" t="s">
        <v>60</v>
      </c>
      <c r="B85" s="1029"/>
      <c r="C85" s="1081"/>
      <c r="D85" s="1151"/>
      <c r="E85" s="992"/>
      <c r="F85" s="992"/>
      <c r="G85" s="1111"/>
      <c r="H85" s="1111"/>
      <c r="I85" s="1111"/>
      <c r="J85" s="1111"/>
      <c r="K85" s="1111"/>
      <c r="L85" s="1111"/>
      <c r="M85" s="1111"/>
      <c r="N85" s="1111"/>
      <c r="O85" s="1111"/>
      <c r="P85" s="1111"/>
      <c r="Q85" s="1111"/>
      <c r="R85" s="1111"/>
      <c r="S85" s="1111"/>
      <c r="T85" s="1111"/>
      <c r="U85" s="1111"/>
      <c r="V85" s="1111"/>
      <c r="W85" s="990"/>
      <c r="X85" s="990"/>
    </row>
    <row r="86" spans="1:24" ht="40.5" customHeight="1">
      <c r="A86" s="3460"/>
      <c r="B86" s="1029"/>
      <c r="C86" s="1184" t="s">
        <v>102</v>
      </c>
      <c r="D86" s="1151"/>
      <c r="E86" s="992"/>
      <c r="F86" s="992"/>
      <c r="G86" s="1111"/>
      <c r="H86" s="1111"/>
      <c r="I86" s="1111"/>
      <c r="J86" s="1111"/>
      <c r="K86" s="1111"/>
      <c r="L86" s="1111"/>
      <c r="M86" s="1111"/>
      <c r="N86" s="1111"/>
      <c r="O86" s="1111"/>
      <c r="P86" s="1111"/>
      <c r="Q86" s="1111"/>
      <c r="R86" s="1111"/>
      <c r="S86" s="1111"/>
      <c r="T86" s="1111"/>
      <c r="U86" s="1111"/>
      <c r="V86" s="1111"/>
      <c r="W86" s="3465" t="s">
        <v>60</v>
      </c>
      <c r="X86" s="1103"/>
    </row>
    <row r="87" spans="1:24" ht="40.5" customHeight="1">
      <c r="A87" s="992"/>
      <c r="B87" s="1029"/>
      <c r="C87" s="1081"/>
      <c r="D87" s="1151"/>
      <c r="E87" s="992"/>
      <c r="F87" s="992"/>
      <c r="G87" s="992"/>
      <c r="H87" s="992"/>
      <c r="I87" s="1111"/>
      <c r="J87" s="992"/>
      <c r="K87" s="992"/>
      <c r="L87" s="1111"/>
      <c r="M87" s="1111"/>
      <c r="N87" s="1111"/>
      <c r="O87" s="1111"/>
      <c r="P87" s="1111"/>
      <c r="Q87" s="990"/>
      <c r="R87" s="990"/>
      <c r="S87" s="990"/>
      <c r="T87" s="990"/>
      <c r="U87" s="990"/>
      <c r="V87" s="990"/>
      <c r="W87" s="3465"/>
      <c r="X87" s="990"/>
    </row>
    <row r="88" spans="1:24" ht="40.5" customHeight="1">
      <c r="A88" s="992"/>
      <c r="B88" s="1029"/>
      <c r="C88" s="1081"/>
      <c r="D88" s="1174"/>
      <c r="E88" s="1173"/>
      <c r="F88" s="1162" t="s">
        <v>58</v>
      </c>
      <c r="G88" s="1181" t="s">
        <v>53</v>
      </c>
      <c r="H88" s="1181" t="s">
        <v>54</v>
      </c>
      <c r="I88" s="1183" t="s">
        <v>2</v>
      </c>
      <c r="J88" s="1182" t="s">
        <v>55</v>
      </c>
      <c r="K88" s="1181" t="s">
        <v>56</v>
      </c>
      <c r="L88" s="1181" t="s">
        <v>57</v>
      </c>
      <c r="M88" s="1180" t="s">
        <v>512</v>
      </c>
      <c r="N88" s="1111"/>
      <c r="O88" s="1111"/>
      <c r="P88" s="1111"/>
      <c r="Q88" s="1111"/>
      <c r="R88" s="1151"/>
      <c r="S88" s="990"/>
      <c r="T88" s="990"/>
      <c r="U88" s="990"/>
      <c r="V88" s="990"/>
      <c r="W88" s="990"/>
      <c r="X88" s="990"/>
    </row>
    <row r="89" spans="1:24" ht="40.5" customHeight="1" thickBot="1">
      <c r="A89" s="992"/>
      <c r="B89" s="1029"/>
      <c r="C89" s="1081"/>
      <c r="D89" s="1174"/>
      <c r="E89" s="1173"/>
      <c r="F89" s="1162" t="s">
        <v>190</v>
      </c>
      <c r="G89" s="1176">
        <v>100</v>
      </c>
      <c r="H89" s="1176">
        <v>100</v>
      </c>
      <c r="I89" s="1179">
        <v>100</v>
      </c>
      <c r="J89" s="1178">
        <v>100</v>
      </c>
      <c r="K89" s="1177">
        <v>100</v>
      </c>
      <c r="L89" s="1176">
        <v>100</v>
      </c>
      <c r="M89" s="1175" t="s">
        <v>511</v>
      </c>
      <c r="N89" s="1111"/>
      <c r="O89" s="1111"/>
      <c r="P89" s="1111"/>
      <c r="Q89" s="1111"/>
      <c r="R89" s="1111"/>
      <c r="S89" s="1111"/>
      <c r="T89" s="1111"/>
      <c r="U89" s="1111"/>
      <c r="V89" s="1111"/>
      <c r="W89" s="1111"/>
      <c r="X89" s="990"/>
    </row>
    <row r="90" spans="1:24" ht="40.5" customHeight="1" thickBot="1">
      <c r="A90" s="992"/>
      <c r="B90" s="1029"/>
      <c r="C90" s="1081"/>
      <c r="D90" s="1174"/>
      <c r="E90" s="1173"/>
      <c r="F90" s="1162" t="s">
        <v>510</v>
      </c>
      <c r="G90" s="1171">
        <v>50</v>
      </c>
      <c r="H90" s="1171">
        <v>70</v>
      </c>
      <c r="I90" s="1171">
        <v>110</v>
      </c>
      <c r="J90" s="1172">
        <f>(I90*M90%)+I90</f>
        <v>137.5</v>
      </c>
      <c r="K90" s="1171">
        <v>100</v>
      </c>
      <c r="L90" s="1171">
        <v>70</v>
      </c>
      <c r="M90" s="1170">
        <v>25</v>
      </c>
      <c r="N90" s="1169" t="s">
        <v>509</v>
      </c>
      <c r="O90" s="1168"/>
      <c r="P90" s="1168"/>
      <c r="Q90" s="1167"/>
      <c r="R90" s="1166"/>
      <c r="S90" s="1014"/>
      <c r="T90" s="1014"/>
      <c r="U90" s="1166"/>
      <c r="V90" s="1166" t="s">
        <v>508</v>
      </c>
      <c r="W90" s="1165">
        <f>M90</f>
        <v>25</v>
      </c>
      <c r="X90" s="1082"/>
    </row>
    <row r="91" spans="1:24" ht="40.5" customHeight="1" thickBot="1">
      <c r="A91" s="992"/>
      <c r="B91" s="1029"/>
      <c r="C91" s="1081"/>
      <c r="D91" s="1164"/>
      <c r="E91" s="1163"/>
      <c r="F91" s="1162" t="s">
        <v>507</v>
      </c>
      <c r="G91" s="1160">
        <f>((G90*G89)/1000)/(100-N91)*100</f>
        <v>7.6923076923076925</v>
      </c>
      <c r="H91" s="1160">
        <f>((H90*H89)/1000)/(100-N91)*100</f>
        <v>10.76923076923077</v>
      </c>
      <c r="I91" s="1160">
        <f>((I90*I89)/1000)/(100-N91)*100</f>
        <v>16.923076923076923</v>
      </c>
      <c r="J91" s="1161">
        <f>((J90*J89)/1000)/(100-N91)*100</f>
        <v>21.153846153846153</v>
      </c>
      <c r="K91" s="1160">
        <f>((K90*K89)/1000)/(100-N91)*100</f>
        <v>15.384615384615385</v>
      </c>
      <c r="L91" s="1160">
        <f>((L90*L89)/1000)/(100-N91)*100</f>
        <v>10.76923076923077</v>
      </c>
      <c r="M91" s="1159">
        <f>SUM(G91:L91)</f>
        <v>82.692307692307693</v>
      </c>
      <c r="N91" s="1158">
        <v>35</v>
      </c>
      <c r="O91" s="1157" t="s">
        <v>72</v>
      </c>
      <c r="P91" s="1156"/>
      <c r="Q91" s="1155"/>
      <c r="R91" s="990"/>
      <c r="S91" s="990"/>
      <c r="T91" s="990"/>
      <c r="U91" s="990"/>
      <c r="V91" s="990"/>
      <c r="W91" s="990"/>
      <c r="X91" s="990"/>
    </row>
    <row r="92" spans="1:24" ht="40.5" customHeight="1">
      <c r="A92" s="992"/>
      <c r="B92" s="1029"/>
      <c r="C92" s="1081"/>
      <c r="D92" s="1151"/>
      <c r="E92" s="1151"/>
      <c r="F92" s="992"/>
      <c r="G92" s="992"/>
      <c r="H92" s="992"/>
      <c r="I92" s="1111"/>
      <c r="J92" s="992"/>
      <c r="K92" s="992"/>
      <c r="L92" s="1111"/>
      <c r="M92" s="1111"/>
      <c r="N92" s="1111"/>
      <c r="O92" s="990"/>
      <c r="P92" s="990"/>
      <c r="Q92" s="990"/>
      <c r="R92" s="990"/>
      <c r="S92" s="990"/>
      <c r="T92" s="990"/>
      <c r="U92" s="990"/>
      <c r="V92" s="990"/>
      <c r="W92" s="990"/>
      <c r="X92" s="990"/>
    </row>
    <row r="93" spans="1:24" ht="40.5" customHeight="1">
      <c r="A93" s="992"/>
      <c r="B93" s="1029"/>
      <c r="C93" s="1081"/>
      <c r="D93" s="1152" t="s">
        <v>53</v>
      </c>
      <c r="E93" s="1151" t="s">
        <v>506</v>
      </c>
      <c r="F93" s="1014"/>
      <c r="G93" s="1082"/>
      <c r="H93" s="990"/>
      <c r="I93" s="990"/>
      <c r="J93" s="990"/>
      <c r="K93" s="990"/>
      <c r="L93" s="990"/>
      <c r="M93" s="1111"/>
      <c r="N93" s="1111"/>
      <c r="O93" s="990"/>
      <c r="P93" s="990"/>
      <c r="Q93" s="990"/>
      <c r="R93" s="990"/>
      <c r="S93" s="990"/>
      <c r="T93" s="990"/>
      <c r="U93" s="990"/>
      <c r="V93" s="990"/>
      <c r="W93" s="990"/>
      <c r="X93" s="990"/>
    </row>
    <row r="94" spans="1:24" ht="40.5" customHeight="1">
      <c r="A94" s="992"/>
      <c r="B94" s="1029"/>
      <c r="C94" s="1081"/>
      <c r="D94" s="1152" t="s">
        <v>54</v>
      </c>
      <c r="E94" s="1151" t="s">
        <v>505</v>
      </c>
      <c r="F94" s="1014"/>
      <c r="G94" s="1082"/>
      <c r="H94" s="990"/>
      <c r="I94" s="990"/>
      <c r="J94" s="990"/>
      <c r="K94" s="990"/>
      <c r="L94" s="990"/>
      <c r="M94" s="1111"/>
      <c r="N94" s="1111"/>
      <c r="O94" s="990"/>
      <c r="P94" s="990"/>
      <c r="Q94" s="990"/>
      <c r="R94" s="990"/>
      <c r="S94" s="990"/>
      <c r="T94" s="990"/>
      <c r="U94" s="990"/>
      <c r="V94" s="990"/>
      <c r="W94" s="990"/>
      <c r="X94" s="990"/>
    </row>
    <row r="95" spans="1:24" ht="40.5" customHeight="1">
      <c r="A95" s="992"/>
      <c r="B95" s="1029"/>
      <c r="C95" s="1081"/>
      <c r="D95" s="1154" t="s">
        <v>2</v>
      </c>
      <c r="E95" s="1151" t="s">
        <v>504</v>
      </c>
      <c r="F95" s="1014"/>
      <c r="G95" s="1082"/>
      <c r="H95" s="990"/>
      <c r="I95" s="990"/>
      <c r="J95" s="990"/>
      <c r="K95" s="990"/>
      <c r="L95" s="990"/>
      <c r="M95" s="1111"/>
      <c r="N95" s="1111"/>
      <c r="O95" s="990"/>
      <c r="P95" s="990"/>
      <c r="Q95" s="990"/>
      <c r="R95" s="990"/>
      <c r="S95" s="990"/>
      <c r="T95" s="990"/>
      <c r="U95" s="990"/>
      <c r="V95" s="990"/>
      <c r="W95" s="990"/>
      <c r="X95" s="990"/>
    </row>
    <row r="96" spans="1:24" ht="40.5" customHeight="1">
      <c r="A96" s="992"/>
      <c r="B96" s="1029"/>
      <c r="C96" s="1081"/>
      <c r="D96" s="1153" t="s">
        <v>55</v>
      </c>
      <c r="E96" s="1151" t="s">
        <v>503</v>
      </c>
      <c r="F96" s="1014"/>
      <c r="G96" s="1082"/>
      <c r="H96" s="990"/>
      <c r="I96" s="990"/>
      <c r="J96" s="990"/>
      <c r="K96" s="990"/>
      <c r="L96" s="990"/>
      <c r="M96" s="1111"/>
      <c r="N96" s="1111"/>
      <c r="O96" s="990"/>
      <c r="P96" s="990"/>
      <c r="Q96" s="990"/>
      <c r="R96" s="990"/>
      <c r="S96" s="990"/>
      <c r="T96" s="990"/>
      <c r="U96" s="990"/>
      <c r="V96" s="990"/>
      <c r="W96" s="990"/>
      <c r="X96" s="990"/>
    </row>
    <row r="97" spans="1:24" ht="40.5" customHeight="1">
      <c r="A97" s="992"/>
      <c r="B97" s="1029"/>
      <c r="C97" s="1081"/>
      <c r="D97" s="1152" t="s">
        <v>56</v>
      </c>
      <c r="E97" s="1151" t="s">
        <v>502</v>
      </c>
      <c r="F97" s="1084"/>
      <c r="G97" s="1109"/>
      <c r="H97" s="992"/>
      <c r="I97" s="1111"/>
      <c r="J97" s="992"/>
      <c r="K97" s="992"/>
      <c r="L97" s="1111"/>
      <c r="M97" s="1111"/>
      <c r="N97" s="1111"/>
      <c r="O97" s="990"/>
      <c r="P97" s="990"/>
      <c r="Q97" s="990"/>
      <c r="R97" s="990"/>
      <c r="S97" s="990"/>
      <c r="T97" s="990"/>
      <c r="U97" s="990"/>
      <c r="V97" s="990"/>
      <c r="W97" s="990"/>
      <c r="X97" s="990"/>
    </row>
    <row r="98" spans="1:24" ht="40.5" customHeight="1">
      <c r="A98" s="992"/>
      <c r="B98" s="1029"/>
      <c r="C98" s="1081"/>
      <c r="D98" s="1152" t="s">
        <v>57</v>
      </c>
      <c r="E98" s="1151" t="s">
        <v>501</v>
      </c>
      <c r="F98" s="1084"/>
      <c r="G98" s="1109"/>
      <c r="H98" s="992"/>
      <c r="I98" s="1111"/>
      <c r="J98" s="992"/>
      <c r="K98" s="992"/>
      <c r="L98" s="1111"/>
      <c r="M98" s="1111"/>
      <c r="N98" s="1111"/>
      <c r="O98" s="990"/>
      <c r="P98" s="990"/>
      <c r="Q98" s="990"/>
      <c r="R98" s="990"/>
      <c r="S98" s="990"/>
      <c r="T98" s="990"/>
      <c r="U98" s="990"/>
      <c r="V98" s="990"/>
      <c r="W98" s="990"/>
      <c r="X98" s="990"/>
    </row>
    <row r="99" spans="1:24" ht="40.5" customHeight="1">
      <c r="A99" s="992"/>
      <c r="B99" s="1029"/>
      <c r="C99" s="1081"/>
      <c r="D99" s="1151"/>
      <c r="E99" s="992"/>
      <c r="F99" s="992"/>
      <c r="G99" s="992"/>
      <c r="H99" s="992"/>
      <c r="I99" s="1111"/>
      <c r="J99" s="992"/>
      <c r="K99" s="992"/>
      <c r="L99" s="1111"/>
      <c r="M99" s="1111"/>
      <c r="N99" s="1111"/>
      <c r="O99" s="990"/>
      <c r="P99" s="990"/>
      <c r="Q99" s="990"/>
      <c r="R99" s="990"/>
      <c r="S99" s="990"/>
      <c r="T99" s="990"/>
      <c r="U99" s="990"/>
      <c r="V99" s="990"/>
      <c r="W99" s="990"/>
      <c r="X99" s="990"/>
    </row>
    <row r="100" spans="1:24" ht="40.5" customHeight="1">
      <c r="A100" s="992"/>
      <c r="B100" s="1029"/>
      <c r="C100" s="1081"/>
      <c r="D100" s="1150" t="s">
        <v>108</v>
      </c>
      <c r="E100" s="3466" t="s">
        <v>500</v>
      </c>
      <c r="F100" s="3467"/>
      <c r="G100" s="3467"/>
      <c r="H100" s="3467"/>
      <c r="I100" s="3467"/>
      <c r="J100" s="3467"/>
      <c r="K100" s="3467"/>
      <c r="L100" s="3467"/>
      <c r="M100" s="3467"/>
      <c r="N100" s="3467"/>
      <c r="O100" s="3467"/>
      <c r="P100" s="3467"/>
      <c r="Q100" s="3467"/>
      <c r="R100" s="3467"/>
      <c r="S100" s="990"/>
      <c r="T100" s="990"/>
      <c r="U100" s="990"/>
      <c r="V100" s="990"/>
      <c r="W100" s="990"/>
      <c r="X100" s="990"/>
    </row>
    <row r="101" spans="1:24" ht="40.5" customHeight="1">
      <c r="A101" s="992"/>
      <c r="B101" s="1029"/>
      <c r="C101" s="1081"/>
      <c r="D101" s="992"/>
      <c r="E101" s="992"/>
      <c r="F101" s="992"/>
      <c r="G101" s="992"/>
      <c r="H101" s="992"/>
      <c r="I101" s="1111"/>
      <c r="J101" s="992"/>
      <c r="K101" s="992"/>
      <c r="L101" s="1111"/>
      <c r="M101" s="1111"/>
      <c r="N101" s="1111"/>
      <c r="O101" s="1111"/>
      <c r="P101" s="1111"/>
      <c r="Q101" s="990"/>
      <c r="R101" s="990"/>
      <c r="S101" s="990"/>
      <c r="T101" s="990"/>
      <c r="U101" s="1149"/>
      <c r="V101" s="1149"/>
      <c r="W101" s="1149"/>
      <c r="X101" s="1149"/>
    </row>
    <row r="102" spans="1:24" ht="40.5" customHeight="1">
      <c r="A102" s="992"/>
      <c r="B102" s="1029"/>
      <c r="C102" s="1029"/>
      <c r="D102" s="992"/>
      <c r="E102" s="992"/>
      <c r="F102" s="992"/>
      <c r="G102" s="992"/>
      <c r="H102" s="992"/>
      <c r="I102" s="1111"/>
      <c r="J102" s="992"/>
      <c r="K102" s="992"/>
      <c r="L102" s="1111"/>
      <c r="M102" s="1111"/>
      <c r="N102" s="1111"/>
      <c r="O102" s="1111"/>
      <c r="P102" s="1111"/>
      <c r="Q102" s="990"/>
      <c r="R102" s="990"/>
      <c r="S102" s="990"/>
      <c r="T102" s="990"/>
      <c r="U102" s="990"/>
      <c r="V102" s="990"/>
      <c r="W102" s="990"/>
      <c r="X102" s="990"/>
    </row>
    <row r="103" spans="1:24" ht="40.5" customHeight="1">
      <c r="A103" s="1106"/>
      <c r="B103" s="1148"/>
      <c r="C103" s="1148"/>
      <c r="D103" s="1106"/>
      <c r="E103" s="1106"/>
      <c r="F103" s="1106"/>
      <c r="G103" s="1106"/>
      <c r="H103" s="1106"/>
      <c r="I103" s="1147"/>
      <c r="J103" s="1106"/>
      <c r="K103" s="1106"/>
      <c r="L103" s="1147"/>
      <c r="M103" s="1147"/>
      <c r="N103" s="1147"/>
      <c r="O103" s="1147"/>
      <c r="P103" s="1147"/>
      <c r="Q103" s="1105"/>
      <c r="R103" s="1105"/>
      <c r="S103" s="1105"/>
      <c r="T103" s="1105"/>
      <c r="U103" s="1105"/>
      <c r="V103" s="1105"/>
      <c r="W103" s="1105"/>
      <c r="X103" s="1105"/>
    </row>
    <row r="104" spans="1:24" ht="40.5" customHeight="1">
      <c r="A104" s="3460" t="s">
        <v>61</v>
      </c>
      <c r="B104" s="1029"/>
      <c r="C104" s="1029"/>
      <c r="D104" s="992"/>
      <c r="E104" s="992"/>
      <c r="F104" s="992"/>
      <c r="G104" s="992"/>
      <c r="H104" s="992"/>
      <c r="I104" s="1111"/>
      <c r="J104" s="992"/>
      <c r="K104" s="992"/>
      <c r="L104" s="1111"/>
      <c r="M104" s="1111"/>
      <c r="N104" s="1111"/>
      <c r="O104" s="1111"/>
      <c r="P104" s="1111"/>
      <c r="Q104" s="990"/>
      <c r="R104" s="990"/>
      <c r="S104" s="990"/>
      <c r="T104" s="990"/>
      <c r="U104" s="990"/>
      <c r="V104" s="990"/>
      <c r="W104" s="990"/>
      <c r="X104" s="990"/>
    </row>
    <row r="105" spans="1:24" ht="40.5" customHeight="1">
      <c r="A105" s="3460"/>
      <c r="B105" s="1029"/>
      <c r="C105" s="1029" t="s">
        <v>499</v>
      </c>
      <c r="D105" s="992"/>
      <c r="E105" s="992"/>
      <c r="F105" s="992"/>
      <c r="G105" s="992"/>
      <c r="H105" s="992"/>
      <c r="I105" s="1111"/>
      <c r="J105" s="992"/>
      <c r="K105" s="992"/>
      <c r="L105" s="1111"/>
      <c r="M105" s="1111"/>
      <c r="N105" s="1111"/>
      <c r="O105" s="1111"/>
      <c r="P105" s="1111"/>
      <c r="Q105" s="990"/>
      <c r="R105" s="990"/>
      <c r="S105" s="990"/>
      <c r="T105" s="990"/>
      <c r="U105" s="990"/>
      <c r="V105" s="990"/>
      <c r="W105" s="3465" t="s">
        <v>61</v>
      </c>
      <c r="X105" s="1146"/>
    </row>
    <row r="106" spans="1:24" ht="40.5" customHeight="1">
      <c r="A106" s="992"/>
      <c r="B106" s="1029"/>
      <c r="C106" s="1029"/>
      <c r="D106" s="1081" t="s">
        <v>498</v>
      </c>
      <c r="E106" s="1134"/>
      <c r="F106" s="1134"/>
      <c r="G106" s="1134"/>
      <c r="H106" s="990"/>
      <c r="I106" s="1111"/>
      <c r="J106" s="992"/>
      <c r="K106" s="992"/>
      <c r="L106" s="1111"/>
      <c r="M106" s="1111"/>
      <c r="N106" s="1111"/>
      <c r="O106" s="1111"/>
      <c r="P106" s="1111"/>
      <c r="Q106" s="990"/>
      <c r="R106" s="990"/>
      <c r="S106" s="990"/>
      <c r="T106" s="990"/>
      <c r="U106" s="990"/>
      <c r="V106" s="990"/>
      <c r="W106" s="3465"/>
      <c r="X106" s="1146"/>
    </row>
    <row r="107" spans="1:24" ht="40.5" customHeight="1">
      <c r="A107" s="992"/>
      <c r="B107" s="1029"/>
      <c r="C107" s="1029"/>
      <c r="D107" s="1128" t="s">
        <v>497</v>
      </c>
      <c r="E107" s="1084"/>
      <c r="F107" s="1084"/>
      <c r="G107" s="1084"/>
      <c r="H107" s="990"/>
      <c r="I107" s="1111"/>
      <c r="J107" s="992"/>
      <c r="K107" s="992"/>
      <c r="L107" s="1111"/>
      <c r="M107" s="1111"/>
      <c r="N107" s="1111"/>
      <c r="O107" s="1111"/>
      <c r="P107" s="1111"/>
      <c r="Q107" s="1111"/>
      <c r="R107" s="1111"/>
      <c r="S107" s="990"/>
      <c r="T107" s="990"/>
      <c r="U107" s="990"/>
      <c r="V107" s="990"/>
      <c r="W107" s="1004"/>
      <c r="X107" s="990"/>
    </row>
    <row r="108" spans="1:24" ht="40.5" customHeight="1">
      <c r="A108" s="992"/>
      <c r="B108" s="1029"/>
      <c r="C108" s="1029"/>
      <c r="D108" s="3454" t="s">
        <v>40</v>
      </c>
      <c r="E108" s="3455" t="s">
        <v>41</v>
      </c>
      <c r="F108" s="3455"/>
      <c r="G108" s="3455" t="s">
        <v>42</v>
      </c>
      <c r="H108" s="3457" t="s">
        <v>43</v>
      </c>
      <c r="I108" s="3457"/>
      <c r="J108" s="3444" t="s">
        <v>496</v>
      </c>
      <c r="K108" s="3444"/>
      <c r="L108" s="3444"/>
      <c r="M108" s="1111"/>
      <c r="N108" s="1111"/>
      <c r="O108" s="1111"/>
      <c r="P108" s="1111"/>
      <c r="Q108" s="1111"/>
      <c r="R108" s="1111"/>
      <c r="S108" s="990"/>
      <c r="T108" s="1004"/>
      <c r="U108" s="1004"/>
      <c r="V108" s="990"/>
      <c r="W108" s="1004"/>
      <c r="X108" s="990"/>
    </row>
    <row r="109" spans="1:24" ht="40.5" customHeight="1">
      <c r="A109" s="992"/>
      <c r="B109" s="1029"/>
      <c r="C109" s="1029"/>
      <c r="D109" s="3454"/>
      <c r="E109" s="3455"/>
      <c r="F109" s="3455"/>
      <c r="G109" s="3455"/>
      <c r="H109" s="3457"/>
      <c r="I109" s="3457"/>
      <c r="J109" s="3444"/>
      <c r="K109" s="3444"/>
      <c r="L109" s="3444"/>
      <c r="M109" s="1111"/>
      <c r="N109" s="1111"/>
      <c r="O109" s="1111"/>
      <c r="P109" s="1111"/>
      <c r="Q109" s="1111"/>
      <c r="R109" s="1111"/>
      <c r="S109" s="990"/>
      <c r="T109" s="990"/>
      <c r="U109" s="990"/>
      <c r="V109" s="990"/>
      <c r="W109" s="1004"/>
      <c r="X109" s="990"/>
    </row>
    <row r="110" spans="1:24" ht="40.5" customHeight="1">
      <c r="A110" s="992"/>
      <c r="B110" s="1029"/>
      <c r="C110" s="1029"/>
      <c r="D110" s="3454"/>
      <c r="E110" s="3456"/>
      <c r="F110" s="3456"/>
      <c r="G110" s="3456"/>
      <c r="H110" s="3457"/>
      <c r="I110" s="3457"/>
      <c r="J110" s="3445" t="s">
        <v>495</v>
      </c>
      <c r="K110" s="3445"/>
      <c r="L110" s="3445"/>
      <c r="M110" s="1111"/>
      <c r="N110" s="1111"/>
      <c r="O110" s="1111"/>
      <c r="P110" s="1111"/>
      <c r="Q110" s="1111"/>
      <c r="R110" s="1111"/>
      <c r="S110" s="990"/>
      <c r="T110" s="990"/>
      <c r="U110" s="990"/>
      <c r="V110" s="990"/>
      <c r="W110" s="1004"/>
      <c r="X110" s="990"/>
    </row>
    <row r="111" spans="1:24" ht="40.5" customHeight="1">
      <c r="A111" s="992"/>
      <c r="B111" s="1029"/>
      <c r="C111" s="1029"/>
      <c r="D111" s="1145">
        <v>2</v>
      </c>
      <c r="E111" s="1138" t="s">
        <v>83</v>
      </c>
      <c r="F111" s="1137"/>
      <c r="G111" s="1143"/>
      <c r="H111" s="3459">
        <f>IF(ISBLANK(D111),G111,(G111*D111))</f>
        <v>0</v>
      </c>
      <c r="I111" s="3459"/>
      <c r="J111" s="1135"/>
      <c r="K111" s="1135"/>
      <c r="L111" s="1135"/>
      <c r="M111" s="1111"/>
      <c r="N111" s="1111"/>
      <c r="O111" s="1111"/>
      <c r="P111" s="1111"/>
      <c r="Q111" s="1111"/>
      <c r="R111" s="1111"/>
      <c r="S111" s="990"/>
      <c r="T111" s="990"/>
      <c r="U111" s="990"/>
      <c r="V111" s="990"/>
      <c r="W111" s="1004"/>
      <c r="X111" s="990"/>
    </row>
    <row r="112" spans="1:24" ht="40.5" customHeight="1">
      <c r="A112" s="992"/>
      <c r="B112" s="1029"/>
      <c r="C112" s="1029"/>
      <c r="D112" s="1145">
        <v>2</v>
      </c>
      <c r="E112" s="1138" t="s">
        <v>83</v>
      </c>
      <c r="F112" s="1137"/>
      <c r="G112" s="1143">
        <v>0.05</v>
      </c>
      <c r="H112" s="3458">
        <f>IF(ISBLANK(D112),G112,(G112*D112))</f>
        <v>0.1</v>
      </c>
      <c r="I112" s="3458"/>
      <c r="J112" s="1135"/>
      <c r="K112" s="1135"/>
      <c r="L112" s="1135"/>
      <c r="M112" s="1111"/>
      <c r="N112" s="1111"/>
      <c r="O112" s="1111"/>
      <c r="P112" s="1111"/>
      <c r="Q112" s="1111"/>
      <c r="R112" s="1111"/>
      <c r="S112" s="990"/>
      <c r="T112" s="990"/>
      <c r="U112" s="990"/>
      <c r="V112" s="990"/>
      <c r="W112" s="1004"/>
      <c r="X112" s="990"/>
    </row>
    <row r="113" spans="1:24" ht="40.5" customHeight="1">
      <c r="A113" s="992"/>
      <c r="B113" s="1029"/>
      <c r="C113" s="1029"/>
      <c r="D113" s="1145"/>
      <c r="E113" s="1138" t="s">
        <v>494</v>
      </c>
      <c r="F113" s="1137"/>
      <c r="G113" s="1143">
        <v>0.3</v>
      </c>
      <c r="H113" s="3459">
        <f>IF(ISBLANK(D113),G113,(G113*D113))</f>
        <v>0.3</v>
      </c>
      <c r="I113" s="3459"/>
      <c r="J113" s="1135"/>
      <c r="K113" s="1135"/>
      <c r="L113" s="1135"/>
      <c r="M113" s="1111"/>
      <c r="N113" s="1111"/>
      <c r="O113" s="1111"/>
      <c r="P113" s="1111"/>
      <c r="Q113" s="1111"/>
      <c r="R113" s="1111"/>
      <c r="S113" s="990"/>
      <c r="T113" s="990"/>
      <c r="U113" s="990"/>
      <c r="V113" s="990"/>
      <c r="W113" s="1004"/>
      <c r="X113" s="990"/>
    </row>
    <row r="114" spans="1:24" ht="40.5" customHeight="1">
      <c r="A114" s="992"/>
      <c r="B114" s="1029"/>
      <c r="C114" s="1029"/>
      <c r="D114" s="1144">
        <v>1</v>
      </c>
      <c r="E114" s="1138" t="s">
        <v>493</v>
      </c>
      <c r="F114" s="1137"/>
      <c r="G114" s="1143"/>
      <c r="H114" s="3458"/>
      <c r="I114" s="3458"/>
      <c r="J114" s="1135" t="s">
        <v>492</v>
      </c>
      <c r="K114" s="1135"/>
      <c r="L114" s="1135"/>
      <c r="M114" s="1111"/>
      <c r="N114" s="1111"/>
      <c r="O114" s="1111"/>
      <c r="P114" s="1111"/>
      <c r="Q114" s="1111"/>
      <c r="R114" s="1111"/>
      <c r="S114" s="990"/>
      <c r="T114" s="990"/>
      <c r="U114" s="990"/>
      <c r="V114" s="990"/>
      <c r="W114" s="1004"/>
      <c r="X114" s="990"/>
    </row>
    <row r="115" spans="1:24" ht="40.5" customHeight="1">
      <c r="A115" s="992"/>
      <c r="B115" s="1029"/>
      <c r="C115" s="1029"/>
      <c r="D115" s="1139">
        <v>1</v>
      </c>
      <c r="E115" s="1138" t="s">
        <v>491</v>
      </c>
      <c r="F115" s="1137"/>
      <c r="G115" s="1143"/>
      <c r="H115" s="3458"/>
      <c r="I115" s="3458"/>
      <c r="J115" s="1135" t="s">
        <v>490</v>
      </c>
      <c r="K115" s="1135"/>
      <c r="L115" s="1135"/>
      <c r="M115" s="1111"/>
      <c r="N115" s="1111"/>
      <c r="O115" s="1111"/>
      <c r="P115" s="1111"/>
      <c r="Q115" s="1111"/>
      <c r="R115" s="1111"/>
      <c r="S115" s="990"/>
      <c r="T115" s="990"/>
      <c r="U115" s="990"/>
      <c r="V115" s="990"/>
      <c r="W115" s="1004"/>
      <c r="X115" s="990"/>
    </row>
    <row r="116" spans="1:24" ht="40.5" customHeight="1">
      <c r="A116" s="992"/>
      <c r="B116" s="1029"/>
      <c r="C116" s="1029"/>
      <c r="D116" s="1139">
        <v>1</v>
      </c>
      <c r="E116" s="1138" t="s">
        <v>489</v>
      </c>
      <c r="F116" s="1137"/>
      <c r="G116" s="1143"/>
      <c r="H116" s="3458"/>
      <c r="I116" s="3458"/>
      <c r="J116" s="1135" t="s">
        <v>488</v>
      </c>
      <c r="K116" s="1135"/>
      <c r="L116" s="1135"/>
      <c r="M116" s="1111"/>
      <c r="N116" s="1111"/>
      <c r="O116" s="1111"/>
      <c r="P116" s="1111"/>
      <c r="Q116" s="1111"/>
      <c r="R116" s="1111"/>
      <c r="S116" s="990"/>
      <c r="T116" s="990"/>
      <c r="U116" s="990"/>
      <c r="V116" s="990"/>
      <c r="W116" s="1004"/>
      <c r="X116" s="990"/>
    </row>
    <row r="117" spans="1:24" ht="40.5" customHeight="1">
      <c r="A117" s="992"/>
      <c r="B117" s="1029"/>
      <c r="C117" s="1029"/>
      <c r="D117" s="1142" t="s">
        <v>487</v>
      </c>
      <c r="E117" s="1141"/>
      <c r="F117" s="1141"/>
      <c r="G117" s="1141"/>
      <c r="H117" s="1140"/>
      <c r="I117" s="1141"/>
      <c r="J117" s="1141"/>
      <c r="K117" s="1140"/>
      <c r="L117" s="1140"/>
      <c r="M117" s="1111"/>
      <c r="N117" s="1111"/>
      <c r="O117" s="1111"/>
      <c r="P117" s="1111"/>
      <c r="Q117" s="1111"/>
      <c r="R117" s="1111"/>
      <c r="S117" s="990"/>
      <c r="T117" s="990"/>
      <c r="U117" s="990"/>
      <c r="V117" s="990"/>
      <c r="W117" s="1004"/>
      <c r="X117" s="990"/>
    </row>
    <row r="118" spans="1:24" ht="40.5" customHeight="1">
      <c r="A118" s="992"/>
      <c r="B118" s="1029"/>
      <c r="C118" s="1029"/>
      <c r="D118" s="1141" t="s">
        <v>486</v>
      </c>
      <c r="E118" s="1141"/>
      <c r="F118" s="1141"/>
      <c r="G118" s="1141"/>
      <c r="H118" s="1140"/>
      <c r="I118" s="1141"/>
      <c r="J118" s="1141"/>
      <c r="K118" s="1140"/>
      <c r="L118" s="1140"/>
      <c r="M118" s="1111"/>
      <c r="N118" s="1111"/>
      <c r="O118" s="1111"/>
      <c r="P118" s="1111"/>
      <c r="Q118" s="1111"/>
      <c r="R118" s="1111"/>
      <c r="S118" s="990"/>
      <c r="T118" s="990"/>
      <c r="U118" s="990"/>
      <c r="V118" s="990"/>
      <c r="W118" s="1004"/>
      <c r="X118" s="990"/>
    </row>
    <row r="119" spans="1:24" ht="40.5" customHeight="1">
      <c r="A119" s="992"/>
      <c r="B119" s="1029"/>
      <c r="C119" s="1029"/>
      <c r="D119" s="1139">
        <v>0.5</v>
      </c>
      <c r="E119" s="1138" t="s">
        <v>485</v>
      </c>
      <c r="F119" s="1137"/>
      <c r="G119" s="1136"/>
      <c r="H119" s="3458"/>
      <c r="I119" s="3458"/>
      <c r="J119" s="1135" t="s">
        <v>484</v>
      </c>
      <c r="K119" s="1135"/>
      <c r="L119" s="1135"/>
      <c r="M119" s="1111"/>
      <c r="N119" s="1111"/>
      <c r="O119" s="1111"/>
      <c r="P119" s="1111"/>
      <c r="Q119" s="1111"/>
      <c r="R119" s="1111"/>
      <c r="S119" s="990"/>
      <c r="T119" s="990"/>
      <c r="U119" s="990"/>
      <c r="V119" s="990"/>
      <c r="W119" s="1004"/>
      <c r="X119" s="990"/>
    </row>
    <row r="120" spans="1:24" ht="40.5" customHeight="1">
      <c r="A120" s="992"/>
      <c r="B120" s="1029"/>
      <c r="C120" s="1029"/>
      <c r="D120" s="1139">
        <v>0.25</v>
      </c>
      <c r="E120" s="1138" t="s">
        <v>483</v>
      </c>
      <c r="F120" s="1137"/>
      <c r="G120" s="1136"/>
      <c r="H120" s="3458"/>
      <c r="I120" s="3458"/>
      <c r="J120" s="1135" t="s">
        <v>482</v>
      </c>
      <c r="K120" s="1135"/>
      <c r="L120" s="1135"/>
      <c r="M120" s="1111"/>
      <c r="N120" s="1111"/>
      <c r="O120" s="1111"/>
      <c r="P120" s="1111"/>
      <c r="Q120" s="1111"/>
      <c r="R120" s="1111"/>
      <c r="S120" s="990"/>
      <c r="T120" s="990"/>
      <c r="U120" s="990"/>
      <c r="V120" s="990"/>
      <c r="W120" s="1004"/>
      <c r="X120" s="990"/>
    </row>
    <row r="121" spans="1:24" ht="40.5" customHeight="1">
      <c r="A121" s="992"/>
      <c r="B121" s="1029"/>
      <c r="C121" s="1029"/>
      <c r="D121" s="1139"/>
      <c r="E121" s="1138" t="s">
        <v>481</v>
      </c>
      <c r="F121" s="1137"/>
      <c r="G121" s="1136"/>
      <c r="H121" s="3458"/>
      <c r="I121" s="3458"/>
      <c r="J121" s="1135" t="s">
        <v>480</v>
      </c>
      <c r="K121" s="1135"/>
      <c r="L121" s="1135"/>
      <c r="M121" s="1111"/>
      <c r="N121" s="1111"/>
      <c r="O121" s="1111"/>
      <c r="P121" s="1111"/>
      <c r="Q121" s="1111"/>
      <c r="R121" s="1111"/>
      <c r="S121" s="990"/>
      <c r="T121" s="990"/>
      <c r="U121" s="990"/>
      <c r="V121" s="990"/>
      <c r="W121" s="1004"/>
      <c r="X121" s="990"/>
    </row>
    <row r="122" spans="1:24" ht="40.5" customHeight="1">
      <c r="A122" s="992"/>
      <c r="B122" s="1029"/>
      <c r="C122" s="1029"/>
      <c r="D122" s="1139"/>
      <c r="E122" s="1138" t="s">
        <v>479</v>
      </c>
      <c r="F122" s="1137"/>
      <c r="G122" s="1136"/>
      <c r="H122" s="3458"/>
      <c r="I122" s="3458"/>
      <c r="J122" s="1135" t="s">
        <v>478</v>
      </c>
      <c r="K122" s="1135"/>
      <c r="L122" s="1135"/>
      <c r="M122" s="1111"/>
      <c r="N122" s="1111"/>
      <c r="O122" s="1111"/>
      <c r="P122" s="1111"/>
      <c r="Q122" s="1111"/>
      <c r="R122" s="1111"/>
      <c r="S122" s="990"/>
      <c r="T122" s="990"/>
      <c r="U122" s="990"/>
      <c r="V122" s="990"/>
      <c r="W122" s="1004"/>
      <c r="X122" s="990"/>
    </row>
    <row r="123" spans="1:24" ht="40.5" customHeight="1">
      <c r="A123" s="992"/>
      <c r="B123" s="1029"/>
      <c r="C123" s="1029"/>
      <c r="D123" s="1134"/>
      <c r="E123" s="1084"/>
      <c r="F123" s="1084"/>
      <c r="G123" s="1084"/>
      <c r="H123" s="990"/>
      <c r="I123" s="1111"/>
      <c r="J123" s="992"/>
      <c r="K123" s="992"/>
      <c r="L123" s="1111"/>
      <c r="M123" s="1111"/>
      <c r="N123" s="1111"/>
      <c r="O123" s="1111"/>
      <c r="P123" s="1111"/>
      <c r="Q123" s="1111"/>
      <c r="R123" s="1111"/>
      <c r="S123" s="990"/>
      <c r="T123" s="990"/>
      <c r="U123" s="990"/>
      <c r="V123" s="990"/>
      <c r="W123" s="1004"/>
      <c r="X123" s="990"/>
    </row>
    <row r="124" spans="1:24" ht="40.5" customHeight="1" thickBot="1">
      <c r="A124" s="992"/>
      <c r="B124" s="1029"/>
      <c r="C124" s="1081" t="s">
        <v>477</v>
      </c>
      <c r="D124" s="1132"/>
      <c r="E124" s="1084"/>
      <c r="F124" s="1084"/>
      <c r="G124" s="1084"/>
      <c r="H124" s="1014"/>
      <c r="I124" s="1127"/>
      <c r="J124" s="992"/>
      <c r="K124" s="992"/>
      <c r="L124" s="1111"/>
      <c r="M124" s="1111"/>
      <c r="N124" s="1111"/>
      <c r="O124" s="1111"/>
      <c r="P124" s="1111"/>
      <c r="Q124" s="990"/>
      <c r="R124" s="990"/>
      <c r="S124" s="990"/>
      <c r="T124" s="990"/>
      <c r="U124" s="990"/>
      <c r="V124" s="990"/>
      <c r="W124" s="1004"/>
      <c r="X124" s="990"/>
    </row>
    <row r="125" spans="1:24" ht="40.5" customHeight="1" thickBot="1">
      <c r="A125" s="992"/>
      <c r="B125" s="1029"/>
      <c r="C125" s="1133" t="s">
        <v>476</v>
      </c>
      <c r="D125" s="1132"/>
      <c r="E125" s="1131">
        <v>20</v>
      </c>
      <c r="F125" s="1130">
        <f>E125*10</f>
        <v>200</v>
      </c>
      <c r="G125" s="1129" t="s">
        <v>475</v>
      </c>
      <c r="H125" s="1014"/>
      <c r="I125" s="1127"/>
      <c r="J125" s="992"/>
      <c r="K125" s="992"/>
      <c r="L125" s="1111"/>
      <c r="M125" s="1111"/>
      <c r="N125" s="990"/>
      <c r="O125" s="990"/>
      <c r="P125" s="990"/>
      <c r="Q125" s="990"/>
      <c r="R125" s="990"/>
      <c r="S125" s="990"/>
      <c r="T125" s="990"/>
      <c r="U125" s="990"/>
      <c r="V125" s="990"/>
      <c r="W125" s="1004"/>
      <c r="X125" s="990"/>
    </row>
    <row r="126" spans="1:24" ht="40.5" customHeight="1">
      <c r="A126" s="992"/>
      <c r="B126" s="1029"/>
      <c r="C126" s="1128" t="s">
        <v>474</v>
      </c>
      <c r="D126" s="1128"/>
      <c r="E126" s="1084"/>
      <c r="F126" s="1084"/>
      <c r="G126" s="1084"/>
      <c r="H126" s="1014"/>
      <c r="I126" s="1127"/>
      <c r="J126" s="992"/>
      <c r="K126" s="992"/>
      <c r="L126" s="1111"/>
      <c r="M126" s="1111"/>
      <c r="N126" s="1111"/>
      <c r="O126" s="1111"/>
      <c r="P126" s="1111"/>
      <c r="Q126" s="990"/>
      <c r="R126" s="990"/>
      <c r="S126" s="990"/>
      <c r="T126" s="990"/>
      <c r="U126" s="990"/>
      <c r="V126" s="990"/>
      <c r="W126" s="1004"/>
      <c r="X126" s="990"/>
    </row>
    <row r="127" spans="1:24" ht="40.5" customHeight="1">
      <c r="A127" s="992"/>
      <c r="B127" s="1029"/>
      <c r="C127" s="1128"/>
      <c r="D127" s="1128" t="s">
        <v>473</v>
      </c>
      <c r="E127" s="1084"/>
      <c r="F127" s="1084"/>
      <c r="G127" s="1084"/>
      <c r="H127" s="1014"/>
      <c r="I127" s="1127"/>
      <c r="J127" s="992"/>
      <c r="K127" s="992"/>
      <c r="L127" s="1111"/>
      <c r="M127" s="1111"/>
      <c r="N127" s="1111"/>
      <c r="O127" s="1111"/>
      <c r="P127" s="1111"/>
      <c r="Q127" s="990"/>
      <c r="R127" s="990"/>
      <c r="S127" s="990"/>
      <c r="T127" s="990"/>
      <c r="U127" s="990"/>
      <c r="V127" s="990"/>
      <c r="W127" s="990"/>
      <c r="X127" s="990"/>
    </row>
    <row r="128" spans="1:24" ht="40.5" customHeight="1">
      <c r="A128" s="992"/>
      <c r="B128" s="1029"/>
      <c r="C128" s="1128"/>
      <c r="D128" s="1128" t="s">
        <v>472</v>
      </c>
      <c r="E128" s="1084"/>
      <c r="F128" s="1084"/>
      <c r="G128" s="1084"/>
      <c r="H128" s="1014"/>
      <c r="I128" s="1127"/>
      <c r="J128" s="992"/>
      <c r="K128" s="992"/>
      <c r="L128" s="1111"/>
      <c r="M128" s="1111"/>
      <c r="N128" s="1111"/>
      <c r="O128" s="1111"/>
      <c r="P128" s="1111"/>
      <c r="Q128" s="990"/>
      <c r="R128" s="990"/>
      <c r="S128" s="990"/>
      <c r="T128" s="990"/>
      <c r="U128" s="990"/>
      <c r="V128" s="990"/>
      <c r="W128" s="990"/>
      <c r="X128" s="990"/>
    </row>
    <row r="129" spans="1:24" ht="40.5" customHeight="1">
      <c r="A129" s="992"/>
      <c r="B129" s="1029"/>
      <c r="C129" s="1128"/>
      <c r="D129" s="1128" t="s">
        <v>471</v>
      </c>
      <c r="E129" s="1084"/>
      <c r="F129" s="1084"/>
      <c r="G129" s="1084"/>
      <c r="H129" s="1014"/>
      <c r="I129" s="1127"/>
      <c r="J129" s="992"/>
      <c r="K129" s="992"/>
      <c r="L129" s="1111"/>
      <c r="M129" s="1111"/>
      <c r="N129" s="1111"/>
      <c r="O129" s="1111"/>
      <c r="P129" s="1111"/>
      <c r="Q129" s="990"/>
      <c r="R129" s="990"/>
      <c r="S129" s="990"/>
      <c r="T129" s="990"/>
      <c r="U129" s="990"/>
      <c r="V129" s="990"/>
      <c r="W129" s="990"/>
      <c r="X129" s="990"/>
    </row>
    <row r="130" spans="1:24" ht="40.5" customHeight="1">
      <c r="A130" s="992"/>
      <c r="B130" s="1029"/>
      <c r="C130" s="1128"/>
      <c r="D130" s="1128" t="s">
        <v>470</v>
      </c>
      <c r="E130" s="1084"/>
      <c r="F130" s="1084"/>
      <c r="G130" s="1084"/>
      <c r="H130" s="1014"/>
      <c r="I130" s="1127"/>
      <c r="J130" s="992"/>
      <c r="K130" s="992"/>
      <c r="L130" s="1111"/>
      <c r="M130" s="1111"/>
      <c r="N130" s="1111"/>
      <c r="O130" s="1111"/>
      <c r="P130" s="1111"/>
      <c r="Q130" s="990"/>
      <c r="R130" s="990"/>
      <c r="S130" s="990"/>
      <c r="T130" s="990"/>
      <c r="U130" s="990"/>
      <c r="V130" s="990"/>
      <c r="W130" s="990"/>
      <c r="X130" s="990"/>
    </row>
    <row r="131" spans="1:24" ht="40.5" customHeight="1">
      <c r="A131" s="992"/>
      <c r="B131" s="1126"/>
      <c r="C131" s="1126"/>
      <c r="D131" s="1109"/>
      <c r="E131" s="1109"/>
      <c r="F131" s="1109"/>
      <c r="G131" s="1109"/>
      <c r="H131" s="1109"/>
      <c r="I131" s="1125"/>
      <c r="J131" s="992"/>
      <c r="K131" s="992"/>
      <c r="L131" s="1111"/>
      <c r="M131" s="1111"/>
      <c r="N131" s="1111"/>
      <c r="O131" s="1111"/>
      <c r="P131" s="1111"/>
      <c r="Q131" s="990"/>
      <c r="R131" s="990"/>
      <c r="S131" s="990"/>
      <c r="T131" s="990"/>
      <c r="U131" s="990"/>
      <c r="V131" s="990"/>
      <c r="W131" s="1004"/>
      <c r="X131" s="990"/>
    </row>
    <row r="132" spans="1:24" ht="40.5" customHeight="1">
      <c r="A132" s="992"/>
      <c r="B132" s="1029"/>
      <c r="C132" s="1081" t="s">
        <v>469</v>
      </c>
      <c r="D132" s="1084"/>
      <c r="E132" s="1084"/>
      <c r="F132" s="1084"/>
      <c r="G132" s="1084"/>
      <c r="H132" s="1109"/>
      <c r="I132" s="1125"/>
      <c r="J132" s="992"/>
      <c r="K132" s="992"/>
      <c r="L132" s="1111"/>
      <c r="M132" s="1111"/>
      <c r="N132" s="1111"/>
      <c r="O132" s="1111"/>
      <c r="P132" s="1111"/>
      <c r="Q132" s="990"/>
      <c r="R132" s="990"/>
      <c r="S132" s="990"/>
      <c r="T132" s="990"/>
      <c r="U132" s="990"/>
      <c r="V132" s="990"/>
      <c r="W132" s="1004"/>
      <c r="X132" s="990"/>
    </row>
    <row r="133" spans="1:24" ht="40.5" customHeight="1">
      <c r="A133" s="992"/>
      <c r="B133" s="1029"/>
      <c r="C133" s="1029"/>
      <c r="D133" s="1029" t="s">
        <v>468</v>
      </c>
      <c r="E133" s="1084"/>
      <c r="F133" s="1084"/>
      <c r="G133" s="1084"/>
      <c r="H133" s="1109"/>
      <c r="I133" s="1125"/>
      <c r="J133" s="992"/>
      <c r="K133" s="992"/>
      <c r="L133" s="1111"/>
      <c r="M133" s="990"/>
      <c r="N133" s="990"/>
      <c r="O133" s="990"/>
      <c r="P133" s="990"/>
      <c r="Q133" s="990"/>
      <c r="R133" s="990"/>
      <c r="S133" s="990"/>
      <c r="T133" s="990"/>
      <c r="U133" s="990"/>
      <c r="V133" s="990"/>
      <c r="W133" s="1004"/>
      <c r="X133" s="990"/>
    </row>
    <row r="134" spans="1:24" ht="40.5" customHeight="1">
      <c r="A134" s="992"/>
      <c r="B134" s="1029"/>
      <c r="C134" s="1029"/>
      <c r="D134" s="1029" t="s">
        <v>467</v>
      </c>
      <c r="E134" s="1084"/>
      <c r="F134" s="1084"/>
      <c r="G134" s="1084"/>
      <c r="H134" s="1109"/>
      <c r="I134" s="1125"/>
      <c r="J134" s="992"/>
      <c r="K134" s="992"/>
      <c r="L134" s="1111"/>
      <c r="M134" s="990"/>
      <c r="N134" s="990"/>
      <c r="O134" s="990"/>
      <c r="P134" s="990"/>
      <c r="Q134" s="990"/>
      <c r="R134" s="990"/>
      <c r="S134" s="990"/>
      <c r="T134" s="990"/>
      <c r="U134" s="990"/>
      <c r="V134" s="990"/>
      <c r="W134" s="1004"/>
      <c r="X134" s="990"/>
    </row>
    <row r="135" spans="1:24" ht="40.5" customHeight="1">
      <c r="A135" s="992"/>
      <c r="B135" s="1029"/>
      <c r="C135" s="1029"/>
      <c r="D135" s="1029" t="s">
        <v>466</v>
      </c>
      <c r="E135" s="1084"/>
      <c r="F135" s="1084"/>
      <c r="G135" s="1084"/>
      <c r="H135" s="1109"/>
      <c r="I135" s="1125"/>
      <c r="J135" s="992"/>
      <c r="K135" s="992"/>
      <c r="L135" s="1111"/>
      <c r="M135" s="990"/>
      <c r="N135" s="990"/>
      <c r="O135" s="990"/>
      <c r="P135" s="990"/>
      <c r="Q135" s="990"/>
      <c r="R135" s="990"/>
      <c r="S135" s="990"/>
      <c r="T135" s="990"/>
      <c r="U135" s="990"/>
      <c r="V135" s="990"/>
      <c r="W135" s="1004"/>
      <c r="X135" s="990"/>
    </row>
    <row r="136" spans="1:24" ht="40.5" customHeight="1" thickBot="1">
      <c r="A136" s="992"/>
      <c r="B136" s="1029"/>
      <c r="C136" s="1029"/>
      <c r="D136" s="1029"/>
      <c r="E136" s="992"/>
      <c r="F136" s="992"/>
      <c r="G136" s="992"/>
      <c r="H136" s="992"/>
      <c r="I136" s="1111"/>
      <c r="J136" s="992"/>
      <c r="K136" s="992"/>
      <c r="L136" s="990"/>
      <c r="M136" s="990"/>
      <c r="N136" s="990"/>
      <c r="O136" s="990"/>
      <c r="P136" s="990"/>
      <c r="Q136" s="990"/>
      <c r="R136" s="990"/>
      <c r="S136" s="990"/>
      <c r="T136" s="990"/>
      <c r="U136" s="990"/>
      <c r="V136" s="990"/>
      <c r="W136" s="1004"/>
      <c r="X136" s="990"/>
    </row>
    <row r="137" spans="1:24" ht="40.5" customHeight="1">
      <c r="A137" s="992"/>
      <c r="B137" s="1029"/>
      <c r="C137" s="1124" t="s">
        <v>307</v>
      </c>
      <c r="D137" s="3440" t="s">
        <v>465</v>
      </c>
      <c r="E137" s="3441"/>
      <c r="F137" s="3441"/>
      <c r="G137" s="3442"/>
      <c r="H137" s="992"/>
      <c r="I137" s="1124" t="s">
        <v>307</v>
      </c>
      <c r="J137" s="3440" t="s">
        <v>465</v>
      </c>
      <c r="K137" s="3441"/>
      <c r="L137" s="3441"/>
      <c r="M137" s="3442"/>
      <c r="N137" s="990"/>
      <c r="O137" s="1124" t="s">
        <v>307</v>
      </c>
      <c r="P137" s="3438" t="s">
        <v>465</v>
      </c>
      <c r="Q137" s="3439"/>
      <c r="R137" s="3439"/>
      <c r="S137" s="3439"/>
      <c r="T137" s="3439"/>
      <c r="U137" s="3439"/>
      <c r="V137" s="3439"/>
      <c r="W137" s="3439"/>
      <c r="X137" s="990"/>
    </row>
    <row r="138" spans="1:24" ht="40.5" customHeight="1">
      <c r="A138" s="992"/>
      <c r="B138" s="1029"/>
      <c r="C138" s="3461"/>
      <c r="D138" s="1123" t="s">
        <v>37</v>
      </c>
      <c r="E138" s="1123" t="s">
        <v>464</v>
      </c>
      <c r="F138" s="1123" t="s">
        <v>463</v>
      </c>
      <c r="G138" s="1122" t="s">
        <v>36</v>
      </c>
      <c r="H138" s="992"/>
      <c r="I138" s="3461"/>
      <c r="J138" s="1123" t="s">
        <v>37</v>
      </c>
      <c r="K138" s="1123" t="s">
        <v>464</v>
      </c>
      <c r="L138" s="1123" t="s">
        <v>463</v>
      </c>
      <c r="M138" s="1122" t="s">
        <v>36</v>
      </c>
      <c r="N138" s="990"/>
      <c r="O138" s="3450"/>
      <c r="P138" s="3430" t="s">
        <v>462</v>
      </c>
      <c r="Q138" s="3431"/>
      <c r="R138" s="3434" t="s">
        <v>460</v>
      </c>
      <c r="S138" s="3435"/>
      <c r="T138" s="3446">
        <v>6</v>
      </c>
      <c r="U138" s="3446"/>
      <c r="V138" s="1121" t="s">
        <v>461</v>
      </c>
      <c r="W138" s="1120">
        <v>5</v>
      </c>
      <c r="X138" s="990"/>
    </row>
    <row r="139" spans="1:24" ht="40.5" customHeight="1">
      <c r="A139" s="992"/>
      <c r="B139" s="1029"/>
      <c r="C139" s="3461"/>
      <c r="D139" s="1119">
        <v>1</v>
      </c>
      <c r="E139" s="1118">
        <v>10</v>
      </c>
      <c r="F139" s="1118">
        <v>50</v>
      </c>
      <c r="G139" s="1117">
        <f>D139-(D139*(E139%+F139%))</f>
        <v>0.4</v>
      </c>
      <c r="H139" s="992"/>
      <c r="I139" s="3461"/>
      <c r="J139" s="1119">
        <v>1</v>
      </c>
      <c r="K139" s="1118"/>
      <c r="L139" s="1118">
        <v>40</v>
      </c>
      <c r="M139" s="1117">
        <f>J139-(J139*(K139%+L139%))</f>
        <v>0.6</v>
      </c>
      <c r="N139" s="990"/>
      <c r="O139" s="3450"/>
      <c r="P139" s="3432">
        <v>35</v>
      </c>
      <c r="Q139" s="3433"/>
      <c r="R139" s="3436" t="s">
        <v>461</v>
      </c>
      <c r="S139" s="3437"/>
      <c r="T139" s="3447">
        <f>T138-(T138*P139%)</f>
        <v>3.9000000000000004</v>
      </c>
      <c r="U139" s="3447"/>
      <c r="V139" s="1116" t="s">
        <v>460</v>
      </c>
      <c r="W139" s="1115">
        <f>W138/(100-P139)*100</f>
        <v>7.6923076923076925</v>
      </c>
      <c r="X139" s="990"/>
    </row>
    <row r="140" spans="1:24" ht="40.5" customHeight="1" thickBot="1">
      <c r="A140" s="992"/>
      <c r="B140" s="1029"/>
      <c r="C140" s="3462"/>
      <c r="D140" s="3452" t="s">
        <v>459</v>
      </c>
      <c r="E140" s="3452"/>
      <c r="F140" s="3452"/>
      <c r="G140" s="3453"/>
      <c r="H140" s="992"/>
      <c r="I140" s="3462"/>
      <c r="J140" s="3452" t="s">
        <v>459</v>
      </c>
      <c r="K140" s="3452"/>
      <c r="L140" s="3452"/>
      <c r="M140" s="3453"/>
      <c r="N140" s="990"/>
      <c r="O140" s="3451"/>
      <c r="P140" s="3448" t="s">
        <v>459</v>
      </c>
      <c r="Q140" s="3449"/>
      <c r="R140" s="3449"/>
      <c r="S140" s="3449"/>
      <c r="T140" s="3449"/>
      <c r="U140" s="3449"/>
      <c r="V140" s="3449"/>
      <c r="W140" s="3449"/>
      <c r="X140" s="990"/>
    </row>
    <row r="141" spans="1:24" ht="40.5" customHeight="1">
      <c r="A141" s="992"/>
      <c r="B141" s="1029"/>
      <c r="C141" s="1029"/>
      <c r="D141" s="992"/>
      <c r="E141" s="992"/>
      <c r="F141" s="992"/>
      <c r="G141" s="992"/>
      <c r="H141" s="992"/>
      <c r="I141" s="1111"/>
      <c r="J141" s="992"/>
      <c r="K141" s="992"/>
      <c r="L141" s="1111"/>
      <c r="M141" s="1111"/>
      <c r="N141" s="1111"/>
      <c r="O141" s="1111"/>
      <c r="P141" s="1111"/>
      <c r="Q141" s="990"/>
      <c r="R141" s="990"/>
      <c r="S141" s="990"/>
      <c r="T141" s="990"/>
      <c r="U141" s="990"/>
      <c r="V141" s="990"/>
      <c r="W141" s="990"/>
      <c r="X141" s="990"/>
    </row>
    <row r="142" spans="1:24" ht="40.5" customHeight="1">
      <c r="A142" s="1084"/>
      <c r="B142" s="1029"/>
      <c r="C142" s="1081" t="s">
        <v>458</v>
      </c>
      <c r="D142" s="1112"/>
      <c r="E142" s="1112"/>
      <c r="F142" s="1112"/>
      <c r="G142" s="1113"/>
      <c r="H142" s="992"/>
      <c r="I142" s="1111"/>
      <c r="J142" s="992"/>
      <c r="K142" s="992"/>
      <c r="L142" s="1111"/>
      <c r="M142" s="1111"/>
      <c r="N142" s="1111"/>
      <c r="O142" s="1111"/>
      <c r="P142" s="1111"/>
      <c r="Q142" s="990"/>
      <c r="R142" s="990"/>
      <c r="S142" s="990"/>
      <c r="T142" s="990"/>
      <c r="U142" s="990"/>
      <c r="V142" s="990"/>
      <c r="W142" s="990"/>
      <c r="X142" s="990"/>
    </row>
    <row r="143" spans="1:24" ht="40.5" customHeight="1">
      <c r="A143" s="1084"/>
      <c r="B143" s="1029"/>
      <c r="C143" s="1114"/>
      <c r="D143" s="1112" t="s">
        <v>457</v>
      </c>
      <c r="E143" s="1112"/>
      <c r="F143" s="1112"/>
      <c r="G143" s="1113"/>
      <c r="H143" s="992"/>
      <c r="I143" s="1111"/>
      <c r="J143" s="992"/>
      <c r="K143" s="992"/>
      <c r="L143" s="1111"/>
      <c r="M143" s="1111"/>
      <c r="N143" s="1111"/>
      <c r="O143" s="1111"/>
      <c r="P143" s="1111"/>
      <c r="Q143" s="990"/>
      <c r="R143" s="990"/>
      <c r="S143" s="990"/>
      <c r="T143" s="990"/>
      <c r="U143" s="990"/>
      <c r="V143" s="990"/>
      <c r="W143" s="990"/>
      <c r="X143" s="990"/>
    </row>
    <row r="144" spans="1:24" ht="40.5" customHeight="1">
      <c r="A144" s="1084"/>
      <c r="B144" s="1029"/>
      <c r="C144" s="1114"/>
      <c r="D144" s="1112" t="s">
        <v>456</v>
      </c>
      <c r="E144" s="1112"/>
      <c r="F144" s="1112"/>
      <c r="G144" s="1113"/>
      <c r="H144" s="992"/>
      <c r="I144" s="1111"/>
      <c r="J144" s="992"/>
      <c r="K144" s="992"/>
      <c r="L144" s="1111"/>
      <c r="M144" s="1111"/>
      <c r="N144" s="1111"/>
      <c r="O144" s="1111"/>
      <c r="P144" s="1111"/>
      <c r="Q144" s="990"/>
      <c r="R144" s="990"/>
      <c r="S144" s="990"/>
      <c r="T144" s="990"/>
      <c r="U144" s="990"/>
      <c r="V144" s="990"/>
      <c r="W144" s="1004"/>
      <c r="X144" s="990"/>
    </row>
    <row r="145" spans="1:35" ht="40.5" customHeight="1">
      <c r="A145" s="1084"/>
      <c r="B145" s="1029"/>
      <c r="C145" s="1114"/>
      <c r="D145" s="1112" t="s">
        <v>455</v>
      </c>
      <c r="E145" s="1112"/>
      <c r="F145" s="1112"/>
      <c r="G145" s="1113"/>
      <c r="H145" s="992"/>
      <c r="I145" s="1111"/>
      <c r="J145" s="992"/>
      <c r="K145" s="992"/>
      <c r="L145" s="1111"/>
      <c r="M145" s="1111"/>
      <c r="N145" s="1111"/>
      <c r="O145" s="1111"/>
      <c r="P145" s="1111"/>
      <c r="Q145" s="990"/>
      <c r="R145" s="990"/>
      <c r="S145" s="990"/>
      <c r="T145" s="990"/>
      <c r="U145" s="990"/>
      <c r="V145" s="990"/>
      <c r="W145" s="1004"/>
      <c r="X145" s="990"/>
    </row>
    <row r="146" spans="1:35" ht="40.5" customHeight="1">
      <c r="A146" s="1084"/>
      <c r="B146" s="1029"/>
      <c r="C146" s="1114"/>
      <c r="D146" s="1112" t="s">
        <v>454</v>
      </c>
      <c r="E146" s="1112"/>
      <c r="F146" s="1112"/>
      <c r="G146" s="1113"/>
      <c r="H146" s="992"/>
      <c r="I146" s="1111"/>
      <c r="J146" s="992"/>
      <c r="K146" s="992"/>
      <c r="L146" s="1111"/>
      <c r="M146" s="1111"/>
      <c r="N146" s="1111"/>
      <c r="O146" s="1111"/>
      <c r="P146" s="1111"/>
      <c r="Q146" s="990"/>
      <c r="R146" s="990"/>
      <c r="S146" s="990"/>
      <c r="T146" s="990"/>
      <c r="U146" s="990"/>
      <c r="V146" s="990"/>
      <c r="W146" s="1004"/>
      <c r="X146" s="990"/>
    </row>
    <row r="147" spans="1:35" ht="40.5" customHeight="1">
      <c r="A147" s="1084"/>
      <c r="B147" s="1029"/>
      <c r="C147" s="1114"/>
      <c r="D147" s="1112" t="s">
        <v>453</v>
      </c>
      <c r="E147" s="1112"/>
      <c r="F147" s="1112"/>
      <c r="G147" s="1113"/>
      <c r="H147" s="992"/>
      <c r="I147" s="1111"/>
      <c r="J147" s="992"/>
      <c r="K147" s="992"/>
      <c r="L147" s="1111"/>
      <c r="M147" s="1111"/>
      <c r="N147" s="1111"/>
      <c r="O147" s="1111"/>
      <c r="P147" s="1111"/>
      <c r="Q147" s="990"/>
      <c r="R147" s="990"/>
      <c r="S147" s="990"/>
      <c r="T147" s="990"/>
      <c r="U147" s="990"/>
      <c r="V147" s="990"/>
      <c r="W147" s="1004"/>
      <c r="X147" s="990"/>
    </row>
    <row r="148" spans="1:35" ht="40.5" customHeight="1">
      <c r="A148" s="1084"/>
      <c r="B148" s="1029"/>
      <c r="C148" s="1114"/>
      <c r="D148" s="1112" t="s">
        <v>452</v>
      </c>
      <c r="E148" s="1112"/>
      <c r="F148" s="1112"/>
      <c r="G148" s="1113"/>
      <c r="H148" s="992"/>
      <c r="I148" s="1111"/>
      <c r="J148" s="992"/>
      <c r="K148" s="992"/>
      <c r="L148" s="1111"/>
      <c r="M148" s="1111"/>
      <c r="N148" s="1111"/>
      <c r="O148" s="1111"/>
      <c r="P148" s="1111"/>
      <c r="Q148" s="990"/>
      <c r="R148" s="990"/>
      <c r="S148" s="990"/>
      <c r="T148" s="990"/>
      <c r="U148" s="990"/>
      <c r="V148" s="990"/>
      <c r="W148" s="1004"/>
      <c r="X148" s="990"/>
    </row>
    <row r="149" spans="1:35" ht="40.5" customHeight="1">
      <c r="A149" s="1084"/>
      <c r="B149" s="1029"/>
      <c r="C149" s="1029"/>
      <c r="D149" s="1112" t="s">
        <v>451</v>
      </c>
      <c r="E149" s="1112"/>
      <c r="F149" s="1084"/>
      <c r="G149" s="1109"/>
      <c r="H149" s="992"/>
      <c r="I149" s="1111"/>
      <c r="J149" s="992"/>
      <c r="K149" s="992"/>
      <c r="L149" s="1111"/>
      <c r="M149" s="1111"/>
      <c r="N149" s="1111"/>
      <c r="O149" s="1111"/>
      <c r="P149" s="1111"/>
      <c r="Q149" s="990"/>
      <c r="R149" s="990"/>
      <c r="S149" s="990"/>
      <c r="T149" s="990"/>
      <c r="U149" s="990"/>
      <c r="V149" s="990"/>
      <c r="W149" s="1004"/>
      <c r="X149" s="990"/>
    </row>
    <row r="150" spans="1:35" ht="40.5" customHeight="1">
      <c r="A150" s="1084"/>
      <c r="B150" s="1029"/>
      <c r="C150" s="1029"/>
      <c r="D150" s="1084"/>
      <c r="E150" s="1084"/>
      <c r="F150" s="1084"/>
      <c r="G150" s="1109"/>
      <c r="H150" s="992"/>
      <c r="I150" s="1111"/>
      <c r="J150" s="992"/>
      <c r="K150" s="992"/>
      <c r="L150" s="1111"/>
      <c r="M150" s="1111"/>
      <c r="N150" s="1111"/>
      <c r="O150" s="1111"/>
      <c r="P150" s="1111"/>
      <c r="Q150" s="990"/>
      <c r="R150" s="990"/>
      <c r="S150" s="990"/>
      <c r="T150" s="990"/>
      <c r="U150" s="990"/>
      <c r="V150" s="990"/>
      <c r="W150" s="1004"/>
      <c r="X150" s="990"/>
    </row>
    <row r="151" spans="1:35" ht="40.5" customHeight="1">
      <c r="A151" s="1084"/>
      <c r="B151" s="1029" t="s">
        <v>450</v>
      </c>
      <c r="C151" s="1084"/>
      <c r="D151" s="1084"/>
      <c r="E151" s="1084"/>
      <c r="F151" s="1084"/>
      <c r="G151" s="1109"/>
      <c r="H151" s="992"/>
      <c r="I151" s="1111"/>
      <c r="J151" s="992"/>
      <c r="K151" s="992"/>
      <c r="L151" s="1111"/>
      <c r="M151" s="1111"/>
      <c r="N151" s="1111"/>
      <c r="O151" s="1111"/>
      <c r="P151" s="1111"/>
      <c r="Q151" s="990"/>
      <c r="R151" s="990"/>
      <c r="S151" s="990"/>
      <c r="T151" s="990"/>
      <c r="U151" s="990"/>
      <c r="V151" s="990"/>
      <c r="W151" s="990"/>
      <c r="X151" s="990"/>
    </row>
    <row r="152" spans="1:35" ht="40.5" customHeight="1">
      <c r="A152" s="1084"/>
      <c r="B152" s="1029" t="s">
        <v>449</v>
      </c>
      <c r="C152" s="1110"/>
      <c r="D152" s="1084"/>
      <c r="E152" s="1084"/>
      <c r="F152" s="1084"/>
      <c r="G152" s="1109"/>
      <c r="H152" s="992"/>
      <c r="I152" s="1111"/>
      <c r="J152" s="992"/>
      <c r="K152" s="992"/>
      <c r="L152" s="1111"/>
      <c r="M152" s="1111"/>
      <c r="N152" s="1111"/>
      <c r="O152" s="1111"/>
      <c r="P152" s="1111"/>
      <c r="Q152" s="990"/>
      <c r="R152" s="990"/>
      <c r="S152" s="990"/>
      <c r="T152" s="990"/>
      <c r="U152" s="990"/>
      <c r="V152" s="990"/>
      <c r="W152" s="990"/>
      <c r="X152" s="990"/>
    </row>
    <row r="153" spans="1:35" ht="40.5" customHeight="1">
      <c r="A153" s="1084"/>
      <c r="B153" s="1097"/>
      <c r="C153" s="1110"/>
      <c r="D153" s="1084"/>
      <c r="E153" s="1084"/>
      <c r="F153" s="1084"/>
      <c r="G153" s="1109"/>
      <c r="H153" s="992"/>
      <c r="I153" s="991"/>
      <c r="J153" s="992"/>
      <c r="K153" s="992"/>
      <c r="L153" s="991"/>
      <c r="M153" s="991"/>
      <c r="N153" s="991"/>
      <c r="O153" s="991"/>
      <c r="P153" s="991"/>
      <c r="Q153" s="990"/>
      <c r="R153" s="990"/>
      <c r="S153" s="990"/>
      <c r="T153" s="990"/>
      <c r="U153" s="990"/>
      <c r="V153" s="990"/>
      <c r="W153" s="990"/>
      <c r="X153" s="990"/>
    </row>
    <row r="154" spans="1:35" ht="40.5" customHeight="1">
      <c r="A154" s="1106"/>
      <c r="B154" s="1108"/>
      <c r="C154" s="1107"/>
      <c r="D154" s="1106"/>
      <c r="E154" s="1106"/>
      <c r="F154" s="1106"/>
      <c r="G154" s="1106"/>
      <c r="H154" s="1106"/>
      <c r="I154" s="294"/>
      <c r="J154" s="1106"/>
      <c r="K154" s="1106"/>
      <c r="L154" s="294"/>
      <c r="M154" s="294"/>
      <c r="N154" s="294"/>
      <c r="O154" s="294"/>
      <c r="P154" s="294"/>
      <c r="Q154" s="1105"/>
      <c r="R154" s="1105"/>
      <c r="S154" s="1105"/>
      <c r="T154" s="1105"/>
      <c r="U154" s="1105"/>
      <c r="V154" s="1105"/>
      <c r="W154" s="1105"/>
      <c r="X154" s="1105"/>
    </row>
    <row r="155" spans="1:35" ht="42" customHeight="1">
      <c r="A155" s="3460" t="s">
        <v>421</v>
      </c>
      <c r="B155" s="1097"/>
      <c r="C155" s="992"/>
      <c r="D155" s="992"/>
      <c r="E155" s="992"/>
      <c r="F155" s="992"/>
      <c r="G155" s="992"/>
      <c r="H155" s="992"/>
      <c r="I155" s="991"/>
      <c r="J155" s="992"/>
      <c r="K155" s="992"/>
      <c r="L155" s="991"/>
      <c r="M155" s="991"/>
      <c r="N155" s="991"/>
      <c r="O155" s="991"/>
      <c r="P155" s="991"/>
      <c r="Q155" s="990"/>
      <c r="R155" s="990"/>
      <c r="S155" s="990"/>
      <c r="T155" s="990"/>
      <c r="U155" s="990"/>
      <c r="V155" s="990"/>
      <c r="W155" s="990"/>
      <c r="X155" s="990"/>
    </row>
    <row r="156" spans="1:35" ht="55.5" customHeight="1">
      <c r="A156" s="3460"/>
      <c r="B156" s="1104" t="s">
        <v>337</v>
      </c>
      <c r="C156" s="990"/>
      <c r="D156" s="990"/>
      <c r="E156" s="990"/>
      <c r="F156" s="990"/>
      <c r="G156" s="990"/>
      <c r="H156" s="990"/>
      <c r="I156" s="990"/>
      <c r="J156" s="990"/>
      <c r="K156" s="990"/>
      <c r="L156" s="990"/>
      <c r="M156" s="990"/>
      <c r="N156" s="990"/>
      <c r="O156" s="990"/>
      <c r="P156" s="990"/>
      <c r="Q156" s="990"/>
      <c r="R156" s="990"/>
      <c r="S156" s="990"/>
      <c r="T156" s="990"/>
      <c r="U156" s="990"/>
      <c r="V156" s="990"/>
      <c r="W156" s="1103" t="s">
        <v>421</v>
      </c>
      <c r="X156" s="1103"/>
    </row>
    <row r="157" spans="1:35" ht="40.5" customHeight="1">
      <c r="A157" s="1084"/>
      <c r="B157" s="1081" t="s">
        <v>448</v>
      </c>
      <c r="C157" s="1084"/>
      <c r="D157" s="1084"/>
      <c r="E157" s="1084"/>
      <c r="F157" s="1084"/>
      <c r="G157" s="1084"/>
      <c r="H157" s="1084"/>
      <c r="I157" s="1083"/>
      <c r="J157" s="1084"/>
      <c r="K157" s="1084"/>
      <c r="L157" s="1083"/>
      <c r="M157" s="1081" t="s">
        <v>447</v>
      </c>
      <c r="N157" s="1014"/>
      <c r="O157" s="1083"/>
      <c r="P157" s="1014"/>
      <c r="Q157" s="990"/>
      <c r="R157" s="1014"/>
      <c r="S157" s="1014"/>
      <c r="T157" s="1014"/>
      <c r="U157" s="990"/>
      <c r="V157" s="990"/>
      <c r="W157" s="990"/>
      <c r="X157" s="1082"/>
      <c r="Y157" s="989"/>
      <c r="Z157" s="989"/>
      <c r="AA157" s="989"/>
      <c r="AB157" s="989"/>
      <c r="AC157" s="989"/>
      <c r="AD157" s="989"/>
      <c r="AE157" s="989"/>
      <c r="AF157" s="989"/>
      <c r="AG157" s="989"/>
      <c r="AH157" s="989"/>
      <c r="AI157" s="989"/>
    </row>
    <row r="158" spans="1:35" ht="40.5" customHeight="1">
      <c r="A158" s="1084"/>
      <c r="B158" s="993"/>
      <c r="C158" s="1029" t="s">
        <v>446</v>
      </c>
      <c r="D158" s="1084"/>
      <c r="E158" s="1094" t="s">
        <v>445</v>
      </c>
      <c r="F158" s="1083"/>
      <c r="G158" s="1098" t="s">
        <v>444</v>
      </c>
      <c r="H158" s="1084"/>
      <c r="I158" s="1083"/>
      <c r="J158" s="1097" t="s">
        <v>443</v>
      </c>
      <c r="K158" s="1084"/>
      <c r="L158" s="1083"/>
      <c r="M158" s="1102" t="s">
        <v>442</v>
      </c>
      <c r="N158" s="1101">
        <v>15.5</v>
      </c>
      <c r="O158" s="1083"/>
      <c r="P158" s="1100">
        <v>15.5</v>
      </c>
      <c r="Q158" s="990"/>
      <c r="R158" s="1029"/>
      <c r="S158" s="1099">
        <v>15.5</v>
      </c>
      <c r="T158" s="1014"/>
      <c r="U158" s="990"/>
      <c r="V158" s="990"/>
      <c r="W158" s="990"/>
      <c r="X158" s="1082"/>
      <c r="Y158" s="989"/>
      <c r="Z158" s="989"/>
      <c r="AA158" s="989"/>
      <c r="AB158" s="989"/>
      <c r="AC158" s="989"/>
      <c r="AD158" s="989"/>
      <c r="AE158" s="989"/>
      <c r="AF158" s="989"/>
      <c r="AG158" s="989"/>
      <c r="AH158" s="989"/>
      <c r="AI158" s="989"/>
    </row>
    <row r="159" spans="1:35" ht="40.5" customHeight="1">
      <c r="A159" s="1084"/>
      <c r="B159" s="993"/>
      <c r="C159" s="1029" t="s">
        <v>441</v>
      </c>
      <c r="D159" s="1084"/>
      <c r="E159" s="1094" t="s">
        <v>440</v>
      </c>
      <c r="F159" s="1083"/>
      <c r="G159" s="1098" t="s">
        <v>439</v>
      </c>
      <c r="H159" s="1084"/>
      <c r="I159" s="1083"/>
      <c r="J159" s="1097" t="s">
        <v>438</v>
      </c>
      <c r="K159" s="1084"/>
      <c r="L159" s="1083"/>
      <c r="M159" s="1096" t="s">
        <v>437</v>
      </c>
      <c r="N159" s="1094" t="s">
        <v>436</v>
      </c>
      <c r="O159" s="1083"/>
      <c r="P159" s="1095" t="s">
        <v>435</v>
      </c>
      <c r="Q159" s="990"/>
      <c r="R159" s="1029"/>
      <c r="S159" s="1094" t="s">
        <v>434</v>
      </c>
      <c r="T159" s="1014"/>
      <c r="U159" s="990"/>
      <c r="V159" s="990"/>
      <c r="W159" s="990"/>
      <c r="X159" s="1082"/>
      <c r="Y159" s="989"/>
      <c r="Z159" s="989"/>
      <c r="AA159" s="989"/>
      <c r="AB159" s="989"/>
      <c r="AC159" s="989"/>
      <c r="AD159" s="989"/>
      <c r="AE159" s="989"/>
      <c r="AF159" s="989"/>
      <c r="AG159" s="989"/>
      <c r="AH159" s="989"/>
      <c r="AI159" s="989"/>
    </row>
    <row r="160" spans="1:35" ht="40.5" customHeight="1">
      <c r="A160" s="1084"/>
      <c r="B160" s="993"/>
      <c r="C160" s="1084"/>
      <c r="D160" s="1084"/>
      <c r="E160" s="1084"/>
      <c r="F160" s="1084"/>
      <c r="G160" s="1084"/>
      <c r="H160" s="1084"/>
      <c r="I160" s="1083"/>
      <c r="J160" s="1084"/>
      <c r="K160" s="1084"/>
      <c r="L160" s="1083"/>
      <c r="M160" s="1083"/>
      <c r="N160" s="1083"/>
      <c r="O160" s="1083"/>
      <c r="P160" s="1083"/>
      <c r="Q160" s="1014"/>
      <c r="R160" s="1014"/>
      <c r="S160" s="1014"/>
      <c r="T160" s="1014"/>
      <c r="U160" s="1014"/>
      <c r="V160" s="1014"/>
      <c r="W160" s="1014"/>
      <c r="X160" s="1082"/>
      <c r="Y160" s="989"/>
      <c r="Z160" s="989"/>
      <c r="AA160" s="989"/>
      <c r="AB160" s="989"/>
      <c r="AC160" s="989"/>
      <c r="AD160" s="989"/>
      <c r="AE160" s="989"/>
      <c r="AF160" s="989"/>
      <c r="AG160" s="989"/>
      <c r="AH160" s="989"/>
      <c r="AI160" s="989"/>
    </row>
    <row r="161" spans="1:35" ht="40.5" customHeight="1">
      <c r="A161" s="1084"/>
      <c r="B161" s="1081" t="s">
        <v>433</v>
      </c>
      <c r="C161" s="1084"/>
      <c r="D161" s="1084"/>
      <c r="E161" s="1084"/>
      <c r="F161" s="1084"/>
      <c r="G161" s="1084"/>
      <c r="H161" s="1084"/>
      <c r="I161" s="1083"/>
      <c r="J161" s="1084"/>
      <c r="K161" s="1084"/>
      <c r="L161" s="1083"/>
      <c r="M161" s="1083"/>
      <c r="N161" s="1083"/>
      <c r="O161" s="1083"/>
      <c r="P161" s="1083"/>
      <c r="Q161" s="1014"/>
      <c r="R161" s="1014"/>
      <c r="S161" s="1014"/>
      <c r="T161" s="1014"/>
      <c r="U161" s="1014"/>
      <c r="V161" s="1014"/>
      <c r="W161" s="1014"/>
      <c r="X161" s="1082"/>
      <c r="Y161" s="989"/>
      <c r="Z161" s="989"/>
      <c r="AA161" s="989"/>
      <c r="AB161" s="989"/>
      <c r="AC161" s="989"/>
      <c r="AD161" s="989"/>
      <c r="AE161" s="989"/>
      <c r="AF161" s="989"/>
      <c r="AG161" s="989"/>
      <c r="AH161" s="989"/>
      <c r="AI161" s="989"/>
    </row>
    <row r="162" spans="1:35" ht="40.5" customHeight="1">
      <c r="A162" s="1084"/>
      <c r="B162" s="993"/>
      <c r="C162" s="1093" t="s">
        <v>432</v>
      </c>
      <c r="D162" s="1084"/>
      <c r="E162" s="1084"/>
      <c r="F162" s="1092" t="s">
        <v>431</v>
      </c>
      <c r="G162" s="1084"/>
      <c r="H162" s="1084"/>
      <c r="I162" s="1092"/>
      <c r="J162" s="1091" t="s">
        <v>430</v>
      </c>
      <c r="K162" s="1084"/>
      <c r="L162" s="1083"/>
      <c r="M162" s="1083"/>
      <c r="N162" s="1090" t="s">
        <v>429</v>
      </c>
      <c r="O162" s="1083"/>
      <c r="P162" s="1083"/>
      <c r="Q162" s="1091"/>
      <c r="R162" s="1014"/>
      <c r="S162" s="1014"/>
      <c r="T162" s="1014"/>
      <c r="U162" s="1014"/>
      <c r="V162" s="1014"/>
      <c r="W162" s="1090"/>
      <c r="X162" s="1082"/>
      <c r="Y162" s="989"/>
      <c r="Z162" s="989"/>
      <c r="AA162" s="989"/>
      <c r="AB162" s="989"/>
      <c r="AC162" s="989"/>
      <c r="AD162" s="989"/>
      <c r="AE162" s="989"/>
      <c r="AF162" s="989"/>
      <c r="AG162" s="989"/>
      <c r="AH162" s="989"/>
      <c r="AI162" s="989"/>
    </row>
    <row r="163" spans="1:35" ht="40.5" customHeight="1">
      <c r="A163" s="1084"/>
      <c r="B163" s="993"/>
      <c r="C163" s="1089" t="s">
        <v>428</v>
      </c>
      <c r="D163" s="1084"/>
      <c r="E163" s="1084"/>
      <c r="F163" s="1088" t="s">
        <v>427</v>
      </c>
      <c r="G163" s="1084"/>
      <c r="H163" s="1084"/>
      <c r="I163" s="1088"/>
      <c r="J163" s="1087" t="s">
        <v>426</v>
      </c>
      <c r="K163" s="1084"/>
      <c r="L163" s="1083"/>
      <c r="M163" s="1083"/>
      <c r="N163" s="1086" t="s">
        <v>425</v>
      </c>
      <c r="O163" s="1083"/>
      <c r="P163" s="1083"/>
      <c r="Q163" s="1087"/>
      <c r="R163" s="1014"/>
      <c r="S163" s="1014"/>
      <c r="T163" s="1014"/>
      <c r="U163" s="1014"/>
      <c r="V163" s="1014"/>
      <c r="W163" s="1086"/>
      <c r="X163" s="1082"/>
      <c r="Y163" s="989"/>
      <c r="Z163" s="989"/>
      <c r="AA163" s="989"/>
      <c r="AB163" s="989"/>
      <c r="AC163" s="989"/>
      <c r="AD163" s="989"/>
      <c r="AE163" s="989"/>
      <c r="AF163" s="989"/>
      <c r="AG163" s="989"/>
      <c r="AH163" s="989"/>
      <c r="AI163" s="989"/>
    </row>
    <row r="164" spans="1:35" ht="40.5" customHeight="1">
      <c r="A164" s="1084"/>
      <c r="B164" s="993"/>
      <c r="C164" s="1085" t="s">
        <v>424</v>
      </c>
      <c r="D164" s="1084"/>
      <c r="E164" s="1084"/>
      <c r="F164" s="1084"/>
      <c r="G164" s="1084"/>
      <c r="H164" s="1084"/>
      <c r="I164" s="1083"/>
      <c r="J164" s="1084"/>
      <c r="K164" s="1084"/>
      <c r="L164" s="1083"/>
      <c r="M164" s="1083"/>
      <c r="N164" s="1083"/>
      <c r="O164" s="1083"/>
      <c r="P164" s="1083"/>
      <c r="Q164" s="1014"/>
      <c r="R164" s="1014"/>
      <c r="S164" s="1014"/>
      <c r="T164" s="1014"/>
      <c r="U164" s="1014"/>
      <c r="V164" s="1014"/>
      <c r="W164" s="1014"/>
      <c r="X164" s="1082"/>
      <c r="Y164" s="989"/>
      <c r="Z164" s="989"/>
      <c r="AA164" s="989"/>
      <c r="AB164" s="989"/>
      <c r="AC164" s="989"/>
      <c r="AD164" s="989"/>
      <c r="AE164" s="989"/>
      <c r="AF164" s="989"/>
      <c r="AG164" s="989"/>
      <c r="AH164" s="989"/>
      <c r="AI164" s="989"/>
    </row>
    <row r="165" spans="1:35" ht="40.5" customHeight="1">
      <c r="A165" s="992"/>
      <c r="B165" s="1081" t="s">
        <v>423</v>
      </c>
      <c r="C165" s="992"/>
      <c r="D165" s="992"/>
      <c r="E165" s="992"/>
      <c r="F165" s="992"/>
      <c r="G165" s="992"/>
      <c r="H165" s="992"/>
      <c r="I165" s="991"/>
      <c r="J165" s="992"/>
      <c r="K165" s="992"/>
      <c r="L165" s="991"/>
      <c r="M165" s="991"/>
      <c r="N165" s="991"/>
      <c r="O165" s="991"/>
      <c r="P165" s="991"/>
      <c r="Q165" s="990"/>
      <c r="R165" s="990"/>
      <c r="S165" s="990"/>
      <c r="T165" s="990"/>
      <c r="U165" s="990"/>
      <c r="V165" s="990"/>
      <c r="W165" s="990"/>
      <c r="X165" s="990"/>
    </row>
    <row r="166" spans="1:35" ht="40.5" customHeight="1">
      <c r="A166" s="992"/>
      <c r="B166" s="1080" t="s">
        <v>422</v>
      </c>
      <c r="C166" s="1079" t="s">
        <v>59</v>
      </c>
      <c r="D166" s="1063" t="s">
        <v>60</v>
      </c>
      <c r="E166" s="1069" t="s">
        <v>61</v>
      </c>
      <c r="F166" s="1078" t="s">
        <v>421</v>
      </c>
      <c r="G166" s="1077" t="s">
        <v>420</v>
      </c>
      <c r="H166" s="1076" t="s">
        <v>419</v>
      </c>
      <c r="I166" s="1075" t="s">
        <v>418</v>
      </c>
      <c r="J166" s="1074" t="s">
        <v>417</v>
      </c>
      <c r="K166" s="1073" t="s">
        <v>416</v>
      </c>
      <c r="L166" s="1072" t="s">
        <v>415</v>
      </c>
      <c r="M166" s="1071" t="s">
        <v>414</v>
      </c>
      <c r="N166" s="1070" t="s">
        <v>413</v>
      </c>
      <c r="O166" s="1069" t="s">
        <v>412</v>
      </c>
      <c r="P166" s="1068" t="s">
        <v>411</v>
      </c>
      <c r="Q166" s="1067" t="s">
        <v>410</v>
      </c>
      <c r="R166" s="1066" t="s">
        <v>409</v>
      </c>
      <c r="S166" s="1065" t="s">
        <v>408</v>
      </c>
      <c r="T166" s="1064" t="s">
        <v>407</v>
      </c>
      <c r="U166" s="1063" t="s">
        <v>406</v>
      </c>
      <c r="V166" s="990"/>
      <c r="W166" s="990"/>
      <c r="X166" s="990"/>
    </row>
    <row r="167" spans="1:35" ht="40.5" customHeight="1">
      <c r="A167" s="992"/>
      <c r="B167" s="1060"/>
      <c r="C167" s="1060"/>
      <c r="D167" s="1060"/>
      <c r="E167" s="1060"/>
      <c r="F167" s="1060"/>
      <c r="G167" s="1060"/>
      <c r="H167" s="1010"/>
      <c r="I167" s="1060"/>
      <c r="J167" s="1060"/>
      <c r="K167" s="1010"/>
      <c r="L167" s="1010"/>
      <c r="M167" s="1010"/>
      <c r="N167" s="1010"/>
      <c r="O167" s="1010"/>
      <c r="P167" s="1009"/>
      <c r="Q167" s="1009"/>
      <c r="R167" s="1009"/>
      <c r="S167" s="1009"/>
      <c r="T167" s="1009"/>
      <c r="U167" s="1009"/>
      <c r="V167" s="990"/>
      <c r="W167" s="990"/>
      <c r="X167" s="990"/>
    </row>
    <row r="168" spans="1:35" ht="40.5" customHeight="1">
      <c r="A168" s="992"/>
      <c r="B168" s="1062" t="s">
        <v>422</v>
      </c>
      <c r="C168" s="1062" t="s">
        <v>59</v>
      </c>
      <c r="D168" s="1062" t="s">
        <v>60</v>
      </c>
      <c r="E168" s="1062" t="s">
        <v>61</v>
      </c>
      <c r="F168" s="1062" t="s">
        <v>421</v>
      </c>
      <c r="G168" s="1062" t="s">
        <v>420</v>
      </c>
      <c r="H168" s="1062" t="s">
        <v>419</v>
      </c>
      <c r="I168" s="1062" t="s">
        <v>418</v>
      </c>
      <c r="J168" s="1062" t="s">
        <v>417</v>
      </c>
      <c r="K168" s="1062" t="s">
        <v>416</v>
      </c>
      <c r="L168" s="1062" t="s">
        <v>415</v>
      </c>
      <c r="M168" s="1062" t="s">
        <v>414</v>
      </c>
      <c r="N168" s="1062" t="s">
        <v>413</v>
      </c>
      <c r="O168" s="1062" t="s">
        <v>412</v>
      </c>
      <c r="P168" s="1062" t="s">
        <v>411</v>
      </c>
      <c r="Q168" s="1062" t="s">
        <v>410</v>
      </c>
      <c r="R168" s="1062" t="s">
        <v>409</v>
      </c>
      <c r="S168" s="1062" t="s">
        <v>408</v>
      </c>
      <c r="T168" s="1062" t="s">
        <v>407</v>
      </c>
      <c r="U168" s="1062" t="s">
        <v>406</v>
      </c>
      <c r="V168" s="990"/>
      <c r="W168" s="990"/>
      <c r="X168" s="990"/>
    </row>
    <row r="169" spans="1:35" ht="40.5" customHeight="1">
      <c r="A169" s="992"/>
      <c r="B169" s="1060"/>
      <c r="C169" s="1060"/>
      <c r="D169" s="1060"/>
      <c r="E169" s="1060"/>
      <c r="F169" s="1060"/>
      <c r="G169" s="1060"/>
      <c r="H169" s="1010"/>
      <c r="I169" s="1060"/>
      <c r="J169" s="1060"/>
      <c r="K169" s="1010"/>
      <c r="L169" s="1010"/>
      <c r="M169" s="1010"/>
      <c r="N169" s="1010"/>
      <c r="O169" s="1010"/>
      <c r="P169" s="1009"/>
      <c r="Q169" s="1009"/>
      <c r="R169" s="1009"/>
      <c r="S169" s="1009"/>
      <c r="T169" s="1009"/>
      <c r="U169" s="1009"/>
      <c r="V169" s="990"/>
      <c r="W169" s="990"/>
      <c r="X169" s="990"/>
    </row>
    <row r="170" spans="1:35" ht="40.5" customHeight="1">
      <c r="A170" s="992"/>
      <c r="B170" s="1061">
        <v>1</v>
      </c>
      <c r="C170" s="1061" t="s">
        <v>405</v>
      </c>
      <c r="D170" s="1061" t="s">
        <v>404</v>
      </c>
      <c r="E170" s="1061" t="s">
        <v>403</v>
      </c>
      <c r="F170" s="1061" t="s">
        <v>402</v>
      </c>
      <c r="G170" s="1061" t="s">
        <v>401</v>
      </c>
      <c r="H170" s="1061" t="s">
        <v>400</v>
      </c>
      <c r="I170" s="1061" t="s">
        <v>399</v>
      </c>
      <c r="J170" s="1061" t="s">
        <v>398</v>
      </c>
      <c r="K170" s="1061" t="s">
        <v>397</v>
      </c>
      <c r="L170" s="1061" t="s">
        <v>396</v>
      </c>
      <c r="M170" s="1061" t="s">
        <v>395</v>
      </c>
      <c r="N170" s="1061" t="s">
        <v>394</v>
      </c>
      <c r="O170" s="1061" t="s">
        <v>393</v>
      </c>
      <c r="P170" s="1061" t="s">
        <v>392</v>
      </c>
      <c r="Q170" s="1061" t="s">
        <v>391</v>
      </c>
      <c r="R170" s="1061" t="s">
        <v>390</v>
      </c>
      <c r="S170" s="1061" t="s">
        <v>389</v>
      </c>
      <c r="T170" s="1061" t="s">
        <v>388</v>
      </c>
      <c r="U170" s="1061" t="s">
        <v>387</v>
      </c>
      <c r="V170" s="990"/>
      <c r="W170" s="990"/>
      <c r="X170" s="990"/>
    </row>
    <row r="171" spans="1:35" ht="40.5" customHeight="1">
      <c r="A171" s="992"/>
      <c r="B171" s="1060"/>
      <c r="C171" s="1060"/>
      <c r="D171" s="1060"/>
      <c r="E171" s="1060"/>
      <c r="F171" s="1060"/>
      <c r="G171" s="1060"/>
      <c r="H171" s="1010"/>
      <c r="I171" s="1060"/>
      <c r="J171" s="1060"/>
      <c r="K171" s="1010"/>
      <c r="L171" s="1010"/>
      <c r="M171" s="1010"/>
      <c r="N171" s="1010"/>
      <c r="O171" s="1010"/>
      <c r="P171" s="1009"/>
      <c r="Q171" s="1009"/>
      <c r="R171" s="1009"/>
      <c r="S171" s="1009"/>
      <c r="T171" s="1009"/>
      <c r="U171" s="1009"/>
      <c r="V171" s="990"/>
      <c r="W171" s="990"/>
      <c r="X171" s="990"/>
    </row>
    <row r="172" spans="1:35" ht="40.5" customHeight="1">
      <c r="A172" s="992"/>
      <c r="B172" s="1059">
        <v>1</v>
      </c>
      <c r="C172" s="1058">
        <v>2</v>
      </c>
      <c r="D172" s="1059">
        <v>3</v>
      </c>
      <c r="E172" s="1058">
        <v>4</v>
      </c>
      <c r="F172" s="1059">
        <v>5</v>
      </c>
      <c r="G172" s="1058">
        <v>6</v>
      </c>
      <c r="H172" s="1059">
        <v>7</v>
      </c>
      <c r="I172" s="1058">
        <v>8</v>
      </c>
      <c r="J172" s="1059">
        <v>9</v>
      </c>
      <c r="K172" s="1058">
        <v>10</v>
      </c>
      <c r="L172" s="1059">
        <v>11</v>
      </c>
      <c r="M172" s="1058">
        <v>12</v>
      </c>
      <c r="N172" s="1059">
        <v>13</v>
      </c>
      <c r="O172" s="1058">
        <v>14</v>
      </c>
      <c r="P172" s="1059">
        <v>15</v>
      </c>
      <c r="Q172" s="1058">
        <v>16</v>
      </c>
      <c r="R172" s="1059">
        <v>17</v>
      </c>
      <c r="S172" s="1058">
        <v>18</v>
      </c>
      <c r="T172" s="1059">
        <v>19</v>
      </c>
      <c r="U172" s="1058">
        <v>20</v>
      </c>
      <c r="V172" s="990"/>
      <c r="W172" s="990"/>
      <c r="X172" s="990"/>
    </row>
    <row r="173" spans="1:35" ht="40.5" customHeight="1">
      <c r="A173" s="992"/>
      <c r="B173" s="993"/>
      <c r="C173" s="992"/>
      <c r="D173" s="992"/>
      <c r="E173" s="992"/>
      <c r="F173" s="992"/>
      <c r="G173" s="992"/>
      <c r="H173" s="992"/>
      <c r="I173" s="991"/>
      <c r="J173" s="992"/>
      <c r="K173" s="992"/>
      <c r="L173" s="991"/>
      <c r="M173" s="991"/>
      <c r="N173" s="991"/>
      <c r="O173" s="991"/>
      <c r="P173" s="991"/>
      <c r="Q173" s="990"/>
      <c r="R173" s="990"/>
      <c r="S173" s="990"/>
      <c r="T173" s="990"/>
      <c r="U173" s="990"/>
      <c r="V173" s="990"/>
      <c r="W173" s="990"/>
      <c r="X173" s="990"/>
    </row>
    <row r="174" spans="1:35" ht="40.5" customHeight="1">
      <c r="A174" s="992"/>
      <c r="B174" s="993"/>
      <c r="C174" s="1057" t="s">
        <v>386</v>
      </c>
      <c r="D174" s="1051"/>
      <c r="E174" s="1051"/>
      <c r="F174" s="1051"/>
      <c r="G174" s="991"/>
      <c r="H174" s="991"/>
      <c r="I174" s="991"/>
      <c r="J174" s="991"/>
      <c r="K174" s="991"/>
      <c r="L174" s="1056" t="s">
        <v>385</v>
      </c>
      <c r="M174" s="991"/>
      <c r="N174" s="991"/>
      <c r="O174" s="991"/>
      <c r="P174" s="991"/>
      <c r="Q174" s="990"/>
      <c r="R174" s="1053"/>
      <c r="S174" s="990"/>
      <c r="T174" s="990"/>
      <c r="U174" s="990"/>
      <c r="V174" s="990"/>
      <c r="W174" s="990"/>
      <c r="X174" s="990"/>
    </row>
    <row r="175" spans="1:35" ht="40.5" customHeight="1">
      <c r="A175" s="992"/>
      <c r="B175" s="993"/>
      <c r="C175" s="1055" t="s">
        <v>384</v>
      </c>
      <c r="D175" s="1051"/>
      <c r="E175" s="1051"/>
      <c r="F175" s="1051"/>
      <c r="G175" s="1053"/>
      <c r="H175" s="1052"/>
      <c r="I175" s="1051"/>
      <c r="J175" s="1051"/>
      <c r="K175" s="992"/>
      <c r="L175" s="991"/>
      <c r="M175" s="991"/>
      <c r="N175" s="991"/>
      <c r="O175" s="991"/>
      <c r="P175" s="991"/>
      <c r="Q175" s="990"/>
      <c r="R175" s="990"/>
      <c r="S175" s="990"/>
      <c r="T175" s="990"/>
      <c r="U175" s="990"/>
      <c r="V175" s="990"/>
      <c r="W175" s="990"/>
      <c r="X175" s="990"/>
    </row>
    <row r="176" spans="1:35" ht="40.5" customHeight="1">
      <c r="A176" s="992"/>
      <c r="B176" s="993"/>
      <c r="C176" s="1054" t="s">
        <v>383</v>
      </c>
      <c r="D176" s="1051"/>
      <c r="E176" s="1051"/>
      <c r="F176" s="1051"/>
      <c r="G176" s="1053"/>
      <c r="H176" s="1052"/>
      <c r="I176" s="1051"/>
      <c r="J176" s="1051"/>
      <c r="K176" s="992"/>
      <c r="L176" s="991"/>
      <c r="M176" s="991"/>
      <c r="N176" s="991"/>
      <c r="O176" s="991"/>
      <c r="P176" s="991"/>
      <c r="Q176" s="990"/>
      <c r="R176" s="990"/>
      <c r="S176" s="990"/>
      <c r="T176" s="990"/>
      <c r="U176" s="990"/>
      <c r="V176" s="990"/>
      <c r="W176" s="990"/>
      <c r="X176" s="990"/>
    </row>
    <row r="177" spans="1:24" ht="40.5" customHeight="1">
      <c r="A177" s="992"/>
      <c r="B177" s="1041"/>
      <c r="C177" s="1038"/>
      <c r="D177" s="1038"/>
      <c r="E177" s="1038"/>
      <c r="F177" s="1038"/>
      <c r="G177" s="1038"/>
      <c r="H177" s="1038"/>
      <c r="I177" s="1036"/>
      <c r="J177" s="1038"/>
      <c r="K177" s="1038"/>
      <c r="L177" s="1036"/>
      <c r="M177" s="1036"/>
      <c r="N177" s="1036"/>
      <c r="O177" s="1036"/>
      <c r="P177" s="1036"/>
      <c r="Q177" s="1033"/>
      <c r="R177" s="1033"/>
      <c r="S177" s="1033"/>
      <c r="T177" s="1033"/>
      <c r="U177" s="1033"/>
      <c r="V177" s="1033"/>
      <c r="W177" s="1033"/>
      <c r="X177" s="990"/>
    </row>
    <row r="178" spans="1:24" ht="40.5" customHeight="1">
      <c r="A178" s="992"/>
      <c r="B178" s="1050" t="s">
        <v>382</v>
      </c>
      <c r="C178" s="1038"/>
      <c r="D178" s="1038"/>
      <c r="E178" s="1038"/>
      <c r="F178" s="1038"/>
      <c r="G178" s="1038"/>
      <c r="H178" s="1038"/>
      <c r="I178" s="1036"/>
      <c r="J178" s="1038"/>
      <c r="K178" s="1038"/>
      <c r="L178" s="1036"/>
      <c r="M178" s="1036"/>
      <c r="N178" s="1036"/>
      <c r="O178" s="1036"/>
      <c r="P178" s="1036"/>
      <c r="Q178" s="1033"/>
      <c r="R178" s="1050"/>
      <c r="S178" s="1050"/>
      <c r="T178" s="1033"/>
      <c r="U178" s="1033"/>
      <c r="V178" s="1033"/>
      <c r="W178" s="1033"/>
      <c r="X178" s="990"/>
    </row>
    <row r="179" spans="1:24" ht="40.5" customHeight="1">
      <c r="A179" s="992"/>
      <c r="B179" s="1031" t="s">
        <v>381</v>
      </c>
      <c r="C179" s="1031" t="s">
        <v>380</v>
      </c>
      <c r="D179" s="1031" t="s">
        <v>379</v>
      </c>
      <c r="E179" s="1031" t="s">
        <v>378</v>
      </c>
      <c r="F179" s="1031" t="s">
        <v>377</v>
      </c>
      <c r="G179" s="1031" t="s">
        <v>376</v>
      </c>
      <c r="H179" s="1031" t="s">
        <v>375</v>
      </c>
      <c r="I179" s="1031" t="s">
        <v>374</v>
      </c>
      <c r="J179" s="1031" t="s">
        <v>373</v>
      </c>
      <c r="K179" s="1031" t="s">
        <v>372</v>
      </c>
      <c r="L179" s="1031" t="s">
        <v>371</v>
      </c>
      <c r="M179" s="1031" t="s">
        <v>370</v>
      </c>
      <c r="N179" s="1031" t="s">
        <v>369</v>
      </c>
      <c r="O179" s="1031" t="s">
        <v>368</v>
      </c>
      <c r="P179" s="1031" t="s">
        <v>367</v>
      </c>
      <c r="Q179" s="1031" t="s">
        <v>366</v>
      </c>
      <c r="R179" s="1031" t="s">
        <v>365</v>
      </c>
      <c r="S179" s="1031" t="s">
        <v>364</v>
      </c>
      <c r="T179" s="1031" t="s">
        <v>363</v>
      </c>
      <c r="U179" s="1031" t="s">
        <v>362</v>
      </c>
      <c r="V179" s="1031"/>
      <c r="W179" s="1031"/>
      <c r="X179" s="1027"/>
    </row>
    <row r="180" spans="1:24" ht="40.5" customHeight="1">
      <c r="A180" s="992"/>
      <c r="B180" s="1050"/>
      <c r="C180" s="1038"/>
      <c r="D180" s="1038"/>
      <c r="E180" s="1038"/>
      <c r="F180" s="1038"/>
      <c r="G180" s="1038"/>
      <c r="H180" s="1038"/>
      <c r="I180" s="1036"/>
      <c r="J180" s="1038"/>
      <c r="K180" s="1038"/>
      <c r="L180" s="1036"/>
      <c r="M180" s="1036"/>
      <c r="N180" s="1036"/>
      <c r="O180" s="1036"/>
      <c r="P180" s="1036"/>
      <c r="Q180" s="1033"/>
      <c r="R180" s="1050"/>
      <c r="S180" s="1032"/>
      <c r="T180" s="1031"/>
      <c r="U180" s="1031"/>
      <c r="V180" s="1031"/>
      <c r="W180" s="1031"/>
      <c r="X180" s="1027"/>
    </row>
    <row r="181" spans="1:24" ht="40.5" customHeight="1">
      <c r="A181" s="992"/>
      <c r="B181" s="1041"/>
      <c r="C181" s="1049" t="s">
        <v>361</v>
      </c>
      <c r="D181" s="1045"/>
      <c r="E181" s="1033"/>
      <c r="F181" s="1048" t="s">
        <v>360</v>
      </c>
      <c r="G181" s="1047"/>
      <c r="H181" s="1047"/>
      <c r="I181" s="1047"/>
      <c r="J181" s="1047"/>
      <c r="K181" s="1047"/>
      <c r="L181" s="1047"/>
      <c r="M181" s="1033"/>
      <c r="N181" s="1033"/>
      <c r="O181" s="1036"/>
      <c r="P181" s="1036"/>
      <c r="Q181" s="1033"/>
      <c r="R181" s="1033"/>
      <c r="S181" s="1032"/>
      <c r="T181" s="1031"/>
      <c r="U181" s="1031"/>
      <c r="V181" s="1031"/>
      <c r="W181" s="1031"/>
      <c r="X181" s="1027"/>
    </row>
    <row r="182" spans="1:24" ht="40.5" customHeight="1">
      <c r="A182" s="992"/>
      <c r="B182" s="1041"/>
      <c r="C182" s="1046">
        <v>3</v>
      </c>
      <c r="D182" s="1045"/>
      <c r="E182" s="1038"/>
      <c r="F182" s="1038"/>
      <c r="G182" s="1038"/>
      <c r="H182" s="1036"/>
      <c r="I182" s="1036"/>
      <c r="J182" s="1036"/>
      <c r="K182" s="1036"/>
      <c r="L182" s="1036"/>
      <c r="M182" s="1036"/>
      <c r="N182" s="1036"/>
      <c r="O182" s="1036"/>
      <c r="P182" s="1036"/>
      <c r="Q182" s="1033"/>
      <c r="R182" s="1033"/>
      <c r="S182" s="1032"/>
      <c r="T182" s="1031"/>
      <c r="U182" s="1031"/>
      <c r="V182" s="1031"/>
      <c r="W182" s="1031"/>
      <c r="X182" s="1027"/>
    </row>
    <row r="183" spans="1:24" ht="40.5" customHeight="1">
      <c r="A183" s="992"/>
      <c r="B183" s="1041"/>
      <c r="C183" s="1038"/>
      <c r="D183" s="1038"/>
      <c r="E183" s="1038"/>
      <c r="F183" s="1038"/>
      <c r="G183" s="1038"/>
      <c r="H183" s="1044" t="s">
        <v>359</v>
      </c>
      <c r="I183" s="1043"/>
      <c r="J183" s="1043"/>
      <c r="K183" s="1038"/>
      <c r="L183" s="1036"/>
      <c r="M183" s="1036"/>
      <c r="N183" s="1035" t="s">
        <v>358</v>
      </c>
      <c r="O183" s="1034" t="s">
        <v>357</v>
      </c>
      <c r="P183" s="1042" t="s">
        <v>356</v>
      </c>
      <c r="Q183" s="1033"/>
      <c r="R183" s="1033"/>
      <c r="S183" s="1032"/>
      <c r="T183" s="1031"/>
      <c r="U183" s="1031"/>
      <c r="V183" s="1031"/>
      <c r="W183" s="1031"/>
      <c r="X183" s="1027"/>
    </row>
    <row r="184" spans="1:24" ht="40.5" customHeight="1">
      <c r="A184" s="992"/>
      <c r="B184" s="1041"/>
      <c r="C184" s="1040" t="s">
        <v>355</v>
      </c>
      <c r="D184" s="1038"/>
      <c r="E184" s="1039"/>
      <c r="F184" s="1038"/>
      <c r="G184" s="1038"/>
      <c r="H184" s="1037" t="s">
        <v>354</v>
      </c>
      <c r="I184" s="1037" t="s">
        <v>353</v>
      </c>
      <c r="J184" s="1037" t="s">
        <v>352</v>
      </c>
      <c r="K184" s="1031" t="s">
        <v>351</v>
      </c>
      <c r="L184" s="1033"/>
      <c r="M184" s="1033"/>
      <c r="N184" s="1040" t="s">
        <v>350</v>
      </c>
      <c r="O184" s="1033"/>
      <c r="P184" s="1033"/>
      <c r="Q184" s="1033"/>
      <c r="R184" s="1033"/>
      <c r="S184" s="1032"/>
      <c r="T184" s="1031"/>
      <c r="U184" s="1031"/>
      <c r="V184" s="1031"/>
      <c r="W184" s="1031"/>
      <c r="X184" s="1027"/>
    </row>
    <row r="185" spans="1:24" ht="40.5" customHeight="1">
      <c r="A185" s="992"/>
      <c r="B185" s="1041"/>
      <c r="C185" s="1040" t="s">
        <v>349</v>
      </c>
      <c r="D185" s="1038"/>
      <c r="E185" s="1039"/>
      <c r="F185" s="1038"/>
      <c r="G185" s="1038"/>
      <c r="H185" s="1037" t="s">
        <v>348</v>
      </c>
      <c r="I185" s="1037" t="s">
        <v>347</v>
      </c>
      <c r="J185" s="1037" t="s">
        <v>346</v>
      </c>
      <c r="K185" s="1031" t="s">
        <v>345</v>
      </c>
      <c r="L185" s="1036"/>
      <c r="M185" s="1036"/>
      <c r="N185" s="1035" t="s">
        <v>344</v>
      </c>
      <c r="O185" s="1034" t="s">
        <v>343</v>
      </c>
      <c r="P185" s="1034" t="s">
        <v>342</v>
      </c>
      <c r="Q185" s="1033"/>
      <c r="R185" s="1033"/>
      <c r="S185" s="1032"/>
      <c r="T185" s="1031"/>
      <c r="U185" s="1031"/>
      <c r="V185" s="1031"/>
      <c r="W185" s="1031"/>
      <c r="X185" s="1027"/>
    </row>
    <row r="186" spans="1:24" ht="40.5" customHeight="1">
      <c r="A186" s="992"/>
      <c r="B186" s="993"/>
      <c r="C186" s="1029"/>
      <c r="D186" s="992"/>
      <c r="E186" s="1029"/>
      <c r="F186" s="1030"/>
      <c r="G186" s="1029"/>
      <c r="H186" s="1029"/>
      <c r="I186" s="992"/>
      <c r="J186" s="992"/>
      <c r="K186" s="992"/>
      <c r="L186" s="992"/>
      <c r="M186" s="992"/>
      <c r="N186" s="992"/>
      <c r="O186" s="992"/>
      <c r="P186" s="990"/>
      <c r="Q186" s="990"/>
      <c r="R186" s="990"/>
      <c r="S186" s="1028"/>
      <c r="T186" s="1027"/>
      <c r="U186" s="1027"/>
      <c r="V186" s="1027"/>
      <c r="W186" s="1027"/>
      <c r="X186" s="1027"/>
    </row>
    <row r="187" spans="1:24" s="989" customFormat="1" ht="44.25" customHeight="1">
      <c r="A187" s="1026"/>
      <c r="B187" s="1025"/>
      <c r="C187" s="1021"/>
      <c r="D187" s="1024"/>
      <c r="E187" s="1024"/>
      <c r="F187" s="1023"/>
      <c r="G187" s="1023"/>
      <c r="H187" s="1023"/>
      <c r="I187" s="1023"/>
      <c r="J187" s="1022"/>
      <c r="K187" s="1021"/>
      <c r="L187" s="1021"/>
      <c r="M187" s="1021"/>
      <c r="N187" s="1021"/>
      <c r="O187" s="1021"/>
      <c r="P187" s="1021"/>
      <c r="Q187" s="1021"/>
      <c r="R187" s="1021"/>
      <c r="S187" s="1021"/>
      <c r="T187" s="1021"/>
      <c r="U187" s="1021"/>
      <c r="V187" s="1021"/>
      <c r="W187" s="1021"/>
      <c r="X187" s="1021"/>
    </row>
    <row r="188" spans="1:24" ht="39.950000000000003" customHeight="1">
      <c r="A188" s="992"/>
      <c r="B188" s="1018"/>
      <c r="C188" s="1020"/>
      <c r="D188" s="1019"/>
      <c r="E188" s="1019"/>
      <c r="F188" s="1019"/>
      <c r="G188" s="1019"/>
      <c r="H188" s="1019"/>
      <c r="I188" s="1019"/>
      <c r="J188" s="1019"/>
      <c r="K188" s="1019"/>
      <c r="L188" s="991"/>
      <c r="M188" s="991"/>
      <c r="N188" s="991"/>
      <c r="O188" s="991"/>
      <c r="P188" s="991"/>
      <c r="Q188" s="990"/>
      <c r="R188" s="990"/>
      <c r="S188" s="990"/>
      <c r="T188" s="990"/>
      <c r="U188" s="990"/>
      <c r="V188" s="990"/>
      <c r="W188" s="990"/>
      <c r="X188" s="990"/>
    </row>
    <row r="189" spans="1:24" s="989" customFormat="1" ht="39.950000000000003" customHeight="1">
      <c r="A189" s="992"/>
      <c r="B189" s="1018"/>
      <c r="C189" s="1017" t="s">
        <v>334</v>
      </c>
      <c r="D189" s="1016" t="s">
        <v>341</v>
      </c>
      <c r="E189" s="1016"/>
      <c r="F189" s="1016"/>
      <c r="G189" s="1016"/>
      <c r="H189" s="1016"/>
      <c r="I189" s="1016"/>
      <c r="J189" s="1016"/>
      <c r="K189" s="1016"/>
      <c r="L189" s="1016"/>
      <c r="M189" s="1016"/>
      <c r="N189" s="1014"/>
      <c r="O189" s="990"/>
      <c r="P189" s="990"/>
      <c r="Q189" s="990"/>
      <c r="R189" s="990"/>
      <c r="S189" s="990"/>
      <c r="T189" s="990"/>
      <c r="U189" s="990"/>
      <c r="V189" s="990"/>
      <c r="W189" s="990"/>
      <c r="X189" s="990"/>
    </row>
    <row r="190" spans="1:24" s="989" customFormat="1" ht="39.950000000000003" customHeight="1">
      <c r="A190" s="992"/>
      <c r="B190" s="1013"/>
      <c r="C190" s="1015" t="s">
        <v>340</v>
      </c>
      <c r="D190" s="1015"/>
      <c r="E190" s="1014"/>
      <c r="F190" s="1014"/>
      <c r="G190" s="1014"/>
      <c r="H190" s="1014"/>
      <c r="I190" s="1014"/>
      <c r="J190" s="1014"/>
      <c r="K190" s="1014"/>
      <c r="L190" s="1014"/>
      <c r="M190" s="1014"/>
      <c r="N190" s="1014"/>
      <c r="O190" s="1009"/>
      <c r="P190" s="1009"/>
      <c r="Q190" s="1009"/>
      <c r="R190" s="1009"/>
      <c r="S190" s="1009"/>
      <c r="T190" s="1009"/>
      <c r="U190" s="1009"/>
      <c r="V190" s="1009"/>
      <c r="W190" s="990"/>
      <c r="X190" s="990"/>
    </row>
    <row r="191" spans="1:24" ht="36.75" customHeight="1">
      <c r="A191" s="992"/>
      <c r="B191" s="1013"/>
      <c r="C191" s="1012"/>
      <c r="D191" s="1011"/>
      <c r="E191" s="1011"/>
      <c r="F191" s="1011"/>
      <c r="G191" s="1011"/>
      <c r="H191" s="1011"/>
      <c r="I191" s="1011"/>
      <c r="J191" s="1011"/>
      <c r="K191" s="1011"/>
      <c r="L191" s="1010"/>
      <c r="M191" s="1010"/>
      <c r="N191" s="1010"/>
      <c r="O191" s="1010"/>
      <c r="P191" s="1010"/>
      <c r="Q191" s="1009"/>
      <c r="R191" s="1009"/>
      <c r="S191" s="1009"/>
      <c r="T191" s="1009"/>
      <c r="U191" s="1009"/>
      <c r="V191" s="1009"/>
      <c r="W191" s="990"/>
      <c r="X191" s="990"/>
    </row>
    <row r="192" spans="1:24" s="989" customFormat="1" ht="39.950000000000003" customHeight="1">
      <c r="A192" s="992"/>
      <c r="B192" s="1008" t="s">
        <v>339</v>
      </c>
      <c r="C192" s="1002"/>
      <c r="D192" s="1002"/>
      <c r="E192" s="1002"/>
      <c r="F192" s="1002"/>
      <c r="G192" s="1002"/>
      <c r="H192" s="1002"/>
      <c r="I192" s="1002"/>
      <c r="J192" s="1002"/>
      <c r="K192" s="1002"/>
      <c r="L192" s="1002"/>
      <c r="M192" s="1002"/>
      <c r="N192" s="1002"/>
      <c r="O192" s="1002"/>
      <c r="P192" s="1002"/>
      <c r="Q192" s="1002"/>
      <c r="R192" s="1002"/>
      <c r="S192" s="995"/>
      <c r="T192" s="995"/>
      <c r="U192" s="995"/>
      <c r="V192" s="995"/>
      <c r="W192" s="990"/>
      <c r="X192" s="990"/>
    </row>
    <row r="193" spans="1:35" s="989" customFormat="1" ht="39.950000000000003" customHeight="1">
      <c r="A193" s="992"/>
      <c r="B193" s="1007" t="s">
        <v>338</v>
      </c>
      <c r="C193" s="1002"/>
      <c r="D193" s="1002"/>
      <c r="E193" s="1002"/>
      <c r="F193" s="1002"/>
      <c r="G193" s="1002"/>
      <c r="H193" s="1002"/>
      <c r="I193" s="1002"/>
      <c r="J193" s="1002"/>
      <c r="K193" s="1002"/>
      <c r="L193" s="1002"/>
      <c r="M193" s="1002"/>
      <c r="N193" s="1002"/>
      <c r="O193" s="1002"/>
      <c r="P193" s="1002"/>
      <c r="Q193" s="1002"/>
      <c r="R193" s="1002"/>
      <c r="S193" s="995"/>
      <c r="T193" s="995"/>
      <c r="U193" s="995"/>
      <c r="V193" s="995"/>
      <c r="W193" s="990"/>
      <c r="X193" s="990"/>
    </row>
    <row r="194" spans="1:35" ht="39.950000000000003" customHeight="1">
      <c r="A194" s="992"/>
      <c r="B194" s="1006" t="s">
        <v>337</v>
      </c>
      <c r="C194" s="1005"/>
      <c r="D194" s="1002"/>
      <c r="E194" s="1002"/>
      <c r="F194" s="1002"/>
      <c r="G194" s="1002"/>
      <c r="H194" s="1002"/>
      <c r="I194" s="996"/>
      <c r="J194" s="1002"/>
      <c r="K194" s="1002"/>
      <c r="L194" s="996"/>
      <c r="M194" s="996"/>
      <c r="N194" s="996"/>
      <c r="O194" s="996"/>
      <c r="P194" s="996"/>
      <c r="Q194" s="995"/>
      <c r="R194" s="995"/>
      <c r="S194" s="995"/>
      <c r="T194" s="995"/>
      <c r="U194" s="995"/>
      <c r="V194" s="995"/>
      <c r="W194" s="1004"/>
      <c r="X194" s="990"/>
      <c r="Y194" s="989"/>
      <c r="Z194" s="989"/>
      <c r="AA194" s="989"/>
      <c r="AB194" s="989"/>
      <c r="AC194" s="989"/>
      <c r="AD194" s="989"/>
      <c r="AE194" s="989"/>
      <c r="AF194" s="989"/>
      <c r="AG194" s="989"/>
      <c r="AH194" s="989"/>
      <c r="AI194" s="989"/>
    </row>
    <row r="195" spans="1:35" ht="39.950000000000003" customHeight="1">
      <c r="A195" s="992"/>
      <c r="B195" s="1003"/>
      <c r="C195" s="1002"/>
      <c r="D195" s="1002"/>
      <c r="E195" s="1002"/>
      <c r="F195" s="1002"/>
      <c r="G195" s="1002"/>
      <c r="H195" s="1002"/>
      <c r="I195" s="996"/>
      <c r="J195" s="1002"/>
      <c r="K195" s="1002"/>
      <c r="L195" s="996"/>
      <c r="M195" s="996"/>
      <c r="N195" s="996"/>
      <c r="O195" s="996"/>
      <c r="P195" s="996"/>
      <c r="Q195" s="995"/>
      <c r="R195" s="995"/>
      <c r="S195" s="995"/>
      <c r="T195" s="995"/>
      <c r="U195" s="995"/>
      <c r="V195" s="995"/>
      <c r="W195" s="990"/>
      <c r="X195" s="990"/>
      <c r="Y195" s="989"/>
      <c r="Z195" s="989"/>
      <c r="AA195" s="989"/>
      <c r="AB195" s="989"/>
      <c r="AC195" s="989"/>
      <c r="AD195" s="989"/>
      <c r="AE195" s="989"/>
      <c r="AF195" s="989"/>
      <c r="AG195" s="989"/>
      <c r="AH195" s="989"/>
      <c r="AI195" s="989"/>
    </row>
    <row r="196" spans="1:35" ht="39.950000000000003" customHeight="1">
      <c r="A196" s="992"/>
      <c r="B196" s="1001" t="s">
        <v>336</v>
      </c>
      <c r="C196" s="997"/>
      <c r="D196" s="997"/>
      <c r="E196" s="997"/>
      <c r="F196" s="997"/>
      <c r="G196" s="997"/>
      <c r="H196" s="1000"/>
      <c r="I196" s="1000"/>
      <c r="J196" s="1000"/>
      <c r="K196" s="1000"/>
      <c r="L196" s="999"/>
      <c r="M196" s="999"/>
      <c r="N196" s="998"/>
      <c r="O196" s="998"/>
      <c r="P196" s="998"/>
      <c r="Q196" s="995"/>
      <c r="R196" s="995"/>
      <c r="S196" s="995"/>
      <c r="T196" s="995"/>
      <c r="U196" s="995"/>
      <c r="V196" s="995"/>
      <c r="W196" s="990"/>
      <c r="X196" s="990"/>
    </row>
    <row r="197" spans="1:35" ht="39.950000000000003" customHeight="1">
      <c r="A197" s="992"/>
      <c r="B197" s="997" t="s">
        <v>335</v>
      </c>
      <c r="C197" s="997"/>
      <c r="D197" s="997"/>
      <c r="E197" s="997"/>
      <c r="F197" s="997"/>
      <c r="G197" s="997"/>
      <c r="H197" s="997"/>
      <c r="I197" s="997"/>
      <c r="J197" s="997"/>
      <c r="K197" s="997"/>
      <c r="L197" s="996"/>
      <c r="M197" s="996"/>
      <c r="N197" s="996"/>
      <c r="O197" s="996"/>
      <c r="P197" s="996"/>
      <c r="Q197" s="995"/>
      <c r="R197" s="995"/>
      <c r="S197" s="995"/>
      <c r="T197" s="995"/>
      <c r="U197" s="995"/>
      <c r="V197" s="995"/>
      <c r="W197" s="990"/>
      <c r="X197" s="990"/>
    </row>
    <row r="198" spans="1:35" ht="39.950000000000003" customHeight="1">
      <c r="A198" s="994" t="s">
        <v>334</v>
      </c>
      <c r="B198" s="997"/>
      <c r="C198" s="3429" t="s">
        <v>333</v>
      </c>
      <c r="D198" s="3429"/>
      <c r="E198" s="3429"/>
      <c r="F198" s="3429"/>
      <c r="G198" s="3429"/>
      <c r="H198" s="3429"/>
      <c r="I198" s="3429"/>
      <c r="J198" s="3429"/>
      <c r="K198" s="3429"/>
      <c r="L198" s="996"/>
      <c r="M198" s="996"/>
      <c r="N198" s="996"/>
      <c r="O198" s="996"/>
      <c r="P198" s="996"/>
      <c r="Q198" s="995"/>
      <c r="R198" s="995"/>
      <c r="S198" s="995"/>
      <c r="T198" s="995"/>
      <c r="U198" s="995"/>
      <c r="V198" s="995"/>
      <c r="W198" s="990"/>
      <c r="X198" s="990"/>
    </row>
    <row r="199" spans="1:35" ht="39.950000000000003" customHeight="1">
      <c r="A199" s="994" t="s">
        <v>332</v>
      </c>
      <c r="B199" s="3429" t="s">
        <v>331</v>
      </c>
      <c r="C199" s="3429"/>
      <c r="D199" s="3429"/>
      <c r="E199" s="3429"/>
      <c r="F199" s="3429"/>
      <c r="G199" s="3429"/>
      <c r="H199" s="3429"/>
      <c r="I199" s="3429"/>
      <c r="J199" s="3429"/>
      <c r="K199" s="3429"/>
      <c r="L199" s="3429"/>
      <c r="M199" s="3429"/>
      <c r="N199" s="3429"/>
      <c r="O199" s="3429"/>
      <c r="P199" s="3429"/>
      <c r="Q199" s="3429"/>
      <c r="R199" s="3429"/>
      <c r="S199" s="3429"/>
      <c r="T199" s="3429"/>
      <c r="U199" s="3429"/>
      <c r="V199" s="3429"/>
      <c r="W199" s="990"/>
      <c r="X199" s="990"/>
    </row>
    <row r="200" spans="1:35" ht="39.950000000000003" customHeight="1">
      <c r="A200" s="992"/>
      <c r="B200" s="993"/>
      <c r="C200" s="992"/>
      <c r="D200" s="992"/>
      <c r="E200" s="992"/>
      <c r="F200" s="992"/>
      <c r="G200" s="992"/>
      <c r="H200" s="992"/>
      <c r="I200" s="991"/>
      <c r="J200" s="992"/>
      <c r="K200" s="992"/>
      <c r="L200" s="991"/>
      <c r="M200" s="991"/>
      <c r="N200" s="991"/>
      <c r="O200" s="991"/>
      <c r="P200" s="991"/>
      <c r="Q200" s="990"/>
      <c r="R200" s="990"/>
      <c r="S200" s="990"/>
      <c r="T200" s="990"/>
      <c r="U200" s="990"/>
      <c r="V200" s="990"/>
      <c r="W200" s="990"/>
      <c r="X200" s="990"/>
      <c r="Y200" s="989"/>
      <c r="Z200" s="989"/>
      <c r="AA200" s="989"/>
      <c r="AB200" s="989"/>
      <c r="AC200" s="989"/>
      <c r="AD200" s="989"/>
      <c r="AE200" s="989"/>
      <c r="AF200" s="989"/>
      <c r="AG200" s="989"/>
      <c r="AH200" s="989"/>
      <c r="AI200" s="989"/>
    </row>
    <row r="201" spans="1:35" s="989" customFormat="1" ht="12.75"/>
    <row r="202" spans="1:35" s="989" customFormat="1" ht="12.75"/>
    <row r="203" spans="1:35" s="989" customFormat="1" ht="12.75"/>
    <row r="204" spans="1:35" s="989" customFormat="1" ht="12.75"/>
    <row r="205" spans="1:35" s="989" customFormat="1" ht="12.75"/>
    <row r="206" spans="1:35" s="989" customFormat="1" ht="12.75"/>
    <row r="207" spans="1:35" s="989" customFormat="1" ht="12.75"/>
    <row r="208" spans="1:35" s="989" customFormat="1" ht="12.75"/>
    <row r="209" s="989" customFormat="1" ht="12.75"/>
    <row r="210" s="989" customFormat="1" ht="12.75"/>
    <row r="211" s="989" customFormat="1" ht="12.75"/>
    <row r="212" s="989" customFormat="1" ht="12.75"/>
    <row r="213" s="989" customFormat="1" ht="12.75"/>
    <row r="214" s="989" customFormat="1" ht="12.75"/>
    <row r="215" s="989" customFormat="1" ht="12.75"/>
    <row r="216" s="989" customFormat="1" ht="12.75"/>
    <row r="217" s="989" customFormat="1" ht="12.75"/>
    <row r="218" s="989" customFormat="1" ht="12.75"/>
    <row r="219" s="989" customFormat="1" ht="12.75"/>
    <row r="220" s="989" customFormat="1" ht="12.75"/>
    <row r="221" s="989" customFormat="1" ht="12.75"/>
    <row r="222" s="989" customFormat="1" ht="12.75"/>
    <row r="223" s="989" customFormat="1" ht="12.75"/>
    <row r="224" s="989" customFormat="1" ht="12.75"/>
    <row r="225" s="989" customFormat="1" ht="12.75"/>
    <row r="226" s="989" customFormat="1" ht="12.75"/>
    <row r="227" s="989" customFormat="1" ht="12.75"/>
    <row r="228" s="989" customFormat="1" ht="12.75"/>
    <row r="229" s="989" customFormat="1" ht="12.75"/>
    <row r="230" s="989" customFormat="1" ht="12.75"/>
    <row r="231" s="989" customFormat="1" ht="12.75"/>
    <row r="232" s="989" customFormat="1" ht="12.75"/>
    <row r="233" s="989" customFormat="1" ht="12.75"/>
    <row r="234" s="989" customFormat="1" ht="12.75"/>
    <row r="235" s="989" customFormat="1" ht="12.75"/>
    <row r="236" s="989" customFormat="1" ht="12.75"/>
    <row r="237" s="989" customFormat="1" ht="12.75"/>
    <row r="238" s="989" customFormat="1" ht="12.75"/>
    <row r="239" s="989" customFormat="1" ht="12.75"/>
    <row r="240" s="989" customFormat="1" ht="12.75"/>
    <row r="241" s="989" customFormat="1" ht="12.75"/>
    <row r="242" s="989" customFormat="1" ht="12.75"/>
    <row r="243" s="989" customFormat="1" ht="12.75"/>
    <row r="244" s="989" customFormat="1" ht="12.75"/>
    <row r="245" s="989" customFormat="1" ht="12.75"/>
    <row r="246" s="989" customFormat="1" ht="12.75"/>
    <row r="247" s="989" customFormat="1" ht="12.75"/>
    <row r="248" s="989" customFormat="1" ht="12.75"/>
    <row r="249" s="989" customFormat="1" ht="12.75"/>
    <row r="250" s="989" customFormat="1" ht="12.75"/>
    <row r="251" s="989" customFormat="1" ht="12.75"/>
    <row r="252" s="989" customFormat="1" ht="12.75"/>
    <row r="253" s="989" customFormat="1" ht="12.75"/>
    <row r="254" s="989" customFormat="1" ht="12.75"/>
    <row r="255" s="989" customFormat="1" ht="12.75"/>
    <row r="256" s="989" customFormat="1" ht="12.75"/>
    <row r="257" s="989" customFormat="1" ht="12.75"/>
    <row r="258" s="989" customFormat="1" ht="12.75"/>
    <row r="259" s="989" customFormat="1" ht="12.75"/>
    <row r="260" s="989" customFormat="1" ht="12.75"/>
    <row r="261" s="989" customFormat="1" ht="12.75"/>
    <row r="262" s="989" customFormat="1" ht="12.75"/>
    <row r="263" s="989" customFormat="1" ht="12.75"/>
    <row r="264" s="989" customFormat="1" ht="12.75"/>
    <row r="265" s="989" customFormat="1" ht="12.75"/>
    <row r="266" s="989" customFormat="1" ht="12.75"/>
    <row r="267" s="989" customFormat="1" ht="12.75"/>
    <row r="268" s="989" customFormat="1" ht="12.75"/>
    <row r="269" s="989" customFormat="1" ht="12.75"/>
    <row r="270" s="989" customFormat="1" ht="12.75"/>
    <row r="271" s="989" customFormat="1" ht="12.75"/>
    <row r="272" s="989" customFormat="1" ht="12.75"/>
    <row r="273" s="989" customFormat="1" ht="12.75"/>
    <row r="274" s="989" customFormat="1" ht="12.75"/>
    <row r="275" s="989" customFormat="1" ht="12.75"/>
    <row r="276" s="989" customFormat="1" ht="12.75"/>
    <row r="277" s="989" customFormat="1" ht="12.75"/>
    <row r="278" s="989" customFormat="1" ht="12.75"/>
    <row r="279" s="989" customFormat="1" ht="12.75"/>
    <row r="280" s="989" customFormat="1" ht="12.75"/>
    <row r="281" s="989" customFormat="1" ht="12.75"/>
    <row r="282" s="989" customFormat="1" ht="12.75"/>
    <row r="283" s="989" customFormat="1" ht="12.75"/>
    <row r="284" s="989" customFormat="1" ht="12.75"/>
    <row r="285" s="989" customFormat="1" ht="12.75"/>
    <row r="286" s="989" customFormat="1" ht="12.75"/>
    <row r="287" s="989" customFormat="1" ht="12.75"/>
    <row r="288" s="989" customFormat="1" ht="12.75"/>
    <row r="289" s="989" customFormat="1" ht="12.75"/>
    <row r="290" s="989" customFormat="1" ht="12.75"/>
    <row r="291" s="989" customFormat="1" ht="12.75"/>
    <row r="292" s="989" customFormat="1" ht="12.75"/>
    <row r="293" s="989" customFormat="1" ht="12.75"/>
    <row r="294" s="989" customFormat="1" ht="12.75"/>
    <row r="295" s="989" customFormat="1" ht="12.75"/>
    <row r="296" s="989" customFormat="1" ht="12.75"/>
    <row r="297" s="989" customFormat="1" ht="12.75"/>
    <row r="298" s="989" customFormat="1" ht="12.75"/>
    <row r="299" s="989" customFormat="1" ht="12.75"/>
    <row r="300" s="989" customFormat="1" ht="12.75"/>
  </sheetData>
  <mergeCells count="52">
    <mergeCell ref="A9:A10"/>
    <mergeCell ref="C30:J30"/>
    <mergeCell ref="G75:I77"/>
    <mergeCell ref="W105:W106"/>
    <mergeCell ref="A85:A86"/>
    <mergeCell ref="E100:R100"/>
    <mergeCell ref="A104:A105"/>
    <mergeCell ref="G70:I72"/>
    <mergeCell ref="C70:E72"/>
    <mergeCell ref="C75:E77"/>
    <mergeCell ref="A67:A68"/>
    <mergeCell ref="W9:W10"/>
    <mergeCell ref="W86:W87"/>
    <mergeCell ref="O71:S71"/>
    <mergeCell ref="O73:S76"/>
    <mergeCell ref="O77:S79"/>
    <mergeCell ref="A155:A156"/>
    <mergeCell ref="H119:I119"/>
    <mergeCell ref="H120:I120"/>
    <mergeCell ref="H121:I121"/>
    <mergeCell ref="C138:C140"/>
    <mergeCell ref="I138:I140"/>
    <mergeCell ref="D140:G140"/>
    <mergeCell ref="D137:G137"/>
    <mergeCell ref="D108:D110"/>
    <mergeCell ref="E108:F110"/>
    <mergeCell ref="H108:I110"/>
    <mergeCell ref="G108:G110"/>
    <mergeCell ref="H122:I122"/>
    <mergeCell ref="H115:I115"/>
    <mergeCell ref="H116:I116"/>
    <mergeCell ref="H111:I111"/>
    <mergeCell ref="H112:I112"/>
    <mergeCell ref="H114:I114"/>
    <mergeCell ref="H113:I113"/>
    <mergeCell ref="P137:W137"/>
    <mergeCell ref="J137:M137"/>
    <mergeCell ref="O72:P72"/>
    <mergeCell ref="J108:L109"/>
    <mergeCell ref="J110:L110"/>
    <mergeCell ref="O80:S82"/>
    <mergeCell ref="B199:V199"/>
    <mergeCell ref="P138:Q138"/>
    <mergeCell ref="P139:Q139"/>
    <mergeCell ref="R138:S138"/>
    <mergeCell ref="R139:S139"/>
    <mergeCell ref="T138:U138"/>
    <mergeCell ref="T139:U139"/>
    <mergeCell ref="C198:K198"/>
    <mergeCell ref="P140:W140"/>
    <mergeCell ref="O138:O140"/>
    <mergeCell ref="J140:M140"/>
  </mergeCells>
  <hyperlinks>
    <hyperlink ref="E100" r:id="rId1" xr:uid="{3A1C2A6A-CEDF-40F3-B31F-76D510E09FC0}"/>
    <hyperlink ref="C30" r:id="rId2" xr:uid="{F9C81A75-8A2B-4E74-B1DA-407399AB61DB}"/>
    <hyperlink ref="C198" r:id="rId3" display="http://www.excel-downloads.com/forum/111720-space.html" xr:uid="{A44D1AFE-B6E3-4DF0-8B43-CA51B00C42EF}"/>
    <hyperlink ref="B199" r:id="rId4" xr:uid="{24B72D72-71A8-443B-BCEA-B45CF7B66AB3}"/>
    <hyperlink ref="B189" r:id="rId5" display="Les unités pifométriques" xr:uid="{5E00A1D5-BF00-4037-88FD-9231BDDB32EE}"/>
    <hyperlink ref="D189" r:id="rId6" xr:uid="{A18DD6FA-F7AF-4D7B-BE52-AEC435014592}"/>
  </hyperlinks>
  <printOptions horizontalCentered="1"/>
  <pageMargins left="0.23622047244094491" right="0.23622047244094491" top="0.74803149606299213" bottom="0.74803149606299213" header="0.31496062992125984" footer="0.31496062992125984"/>
  <pageSetup paperSize="9" scale="32" orientation="portrait" horizontalDpi="300" verticalDpi="300" r:id="rId7"/>
  <headerFooter alignWithMargins="0"/>
  <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B065A-DECC-4CFF-AAED-6968A4670DAE}">
  <dimension ref="A1:BM115"/>
  <sheetViews>
    <sheetView showZeros="0" workbookViewId="0">
      <selection activeCell="AA23" sqref="AA23"/>
    </sheetView>
  </sheetViews>
  <sheetFormatPr baseColWidth="10" defaultRowHeight="15"/>
  <cols>
    <col min="1" max="1" width="3.140625" style="376" customWidth="1"/>
    <col min="2" max="3" width="11.42578125" style="376"/>
    <col min="4" max="4" width="7.7109375" style="376" customWidth="1"/>
    <col min="5" max="5" width="8.7109375" style="376" customWidth="1"/>
    <col min="6" max="6" width="10.7109375" style="376" customWidth="1"/>
    <col min="7" max="7" width="7.7109375" style="376" customWidth="1"/>
    <col min="8" max="8" width="8.7109375" style="376" customWidth="1"/>
    <col min="9" max="9" width="10.7109375" style="376" customWidth="1"/>
    <col min="10" max="10" width="7.7109375" style="376" customWidth="1"/>
    <col min="11" max="11" width="8.7109375" style="376" customWidth="1"/>
    <col min="12" max="12" width="10.7109375" style="376" customWidth="1"/>
    <col min="13" max="13" width="7.7109375" style="376" customWidth="1"/>
    <col min="14" max="14" width="8.7109375" style="376" customWidth="1"/>
    <col min="15" max="15" width="10.7109375" style="376" customWidth="1"/>
    <col min="16" max="16" width="7.7109375" style="376" customWidth="1"/>
    <col min="17" max="17" width="8.7109375" style="376" customWidth="1"/>
    <col min="18" max="18" width="10.7109375" style="376" customWidth="1"/>
    <col min="19" max="19" width="7.7109375" style="376" customWidth="1"/>
    <col min="20" max="20" width="8.7109375" style="376" customWidth="1"/>
    <col min="21" max="21" width="10.7109375" style="376" customWidth="1"/>
    <col min="22" max="24" width="11.7109375" style="376" customWidth="1"/>
    <col min="25" max="25" width="7.7109375" style="376" customWidth="1"/>
    <col min="26" max="26" width="4.42578125" style="376" customWidth="1"/>
    <col min="27" max="31" width="11.7109375" style="376" customWidth="1"/>
    <col min="32" max="33" width="15.7109375" style="376" customWidth="1"/>
    <col min="34" max="40" width="11.7109375" style="376" customWidth="1"/>
    <col min="41" max="41" width="7.7109375" style="376" customWidth="1"/>
    <col min="42" max="56" width="11.42578125" style="376" customWidth="1"/>
    <col min="57" max="59" width="12.7109375" style="376" customWidth="1"/>
    <col min="60" max="64" width="11.42578125" style="376" customWidth="1"/>
    <col min="65" max="16384" width="11.42578125" style="376"/>
  </cols>
  <sheetData>
    <row r="1" spans="1:65" ht="19.5" thickBot="1">
      <c r="A1" s="1" t="s">
        <v>0</v>
      </c>
      <c r="B1" s="3" t="s">
        <v>1</v>
      </c>
      <c r="C1" s="4"/>
      <c r="D1" s="5"/>
      <c r="E1" s="5"/>
      <c r="F1" s="5"/>
      <c r="G1" s="5"/>
      <c r="H1" s="5"/>
      <c r="I1" s="5"/>
      <c r="J1" s="5"/>
      <c r="K1" s="5"/>
      <c r="L1" s="5"/>
      <c r="M1" s="5"/>
      <c r="N1" s="5"/>
      <c r="O1" s="5"/>
      <c r="P1" s="5"/>
      <c r="Q1" s="5"/>
      <c r="R1" s="830"/>
      <c r="S1" s="5"/>
      <c r="T1" s="5"/>
      <c r="U1" s="829"/>
      <c r="V1" s="829"/>
      <c r="W1" s="828"/>
      <c r="X1" s="1" t="s">
        <v>312</v>
      </c>
      <c r="Y1" s="1"/>
      <c r="Z1" s="827">
        <f ca="1">CELL("largeur",Z1)</f>
        <v>4</v>
      </c>
      <c r="AA1" s="3" t="s">
        <v>1</v>
      </c>
      <c r="AB1" s="4"/>
      <c r="AC1" s="4"/>
      <c r="AD1" s="4"/>
      <c r="AE1" s="4"/>
      <c r="AF1" s="4"/>
      <c r="AG1" s="4"/>
      <c r="AH1" s="4"/>
      <c r="AI1" s="4"/>
      <c r="AJ1" s="5"/>
      <c r="AK1" s="5"/>
      <c r="AL1" s="5"/>
      <c r="AM1" s="5"/>
      <c r="AN1" s="5"/>
      <c r="AO1" s="827">
        <f ca="1">CELL("largeur",AO1)</f>
        <v>7</v>
      </c>
      <c r="AP1" s="826"/>
      <c r="AQ1" s="7"/>
      <c r="AR1" s="7"/>
      <c r="AS1" s="7"/>
      <c r="AT1" s="7"/>
      <c r="AU1" s="7"/>
      <c r="AV1" s="7"/>
      <c r="AW1" s="7"/>
      <c r="AX1" s="7"/>
      <c r="AY1" s="7"/>
      <c r="AZ1" s="7"/>
      <c r="BA1" s="7"/>
      <c r="BB1" s="7"/>
      <c r="BC1" s="7"/>
      <c r="BD1" s="7"/>
      <c r="BE1" s="7"/>
      <c r="BF1" s="7"/>
      <c r="BG1" s="7"/>
      <c r="BH1" s="7"/>
      <c r="BI1" s="7"/>
      <c r="BJ1" s="7"/>
      <c r="BK1" s="7"/>
      <c r="BL1" s="7"/>
      <c r="BM1" s="5"/>
    </row>
    <row r="2" spans="1:65" ht="33" customHeight="1" thickBot="1">
      <c r="A2" s="799"/>
      <c r="B2" s="3411" t="s">
        <v>311</v>
      </c>
      <c r="C2" s="824"/>
      <c r="D2" s="824"/>
      <c r="E2" s="824"/>
      <c r="F2" s="824"/>
      <c r="G2" s="824"/>
      <c r="H2" s="824"/>
      <c r="I2" s="824"/>
      <c r="J2" s="824"/>
      <c r="K2" s="824"/>
      <c r="L2" s="824"/>
      <c r="M2" s="824"/>
      <c r="N2" s="824"/>
      <c r="O2" s="824"/>
      <c r="P2" s="824"/>
      <c r="Q2" s="824"/>
      <c r="R2" s="824"/>
      <c r="S2" s="3410"/>
      <c r="T2" s="3410"/>
      <c r="U2" s="3410" t="s">
        <v>9</v>
      </c>
      <c r="V2" s="3410"/>
      <c r="W2" s="824"/>
      <c r="X2" s="824"/>
      <c r="Y2" s="3410" t="s">
        <v>311</v>
      </c>
      <c r="Z2" s="820"/>
      <c r="AA2" s="822" t="s">
        <v>310</v>
      </c>
      <c r="AB2" s="821"/>
      <c r="AC2" s="821"/>
      <c r="AD2" s="821"/>
      <c r="AE2" s="821"/>
      <c r="AF2" s="821"/>
      <c r="AG2" s="821"/>
      <c r="AH2" s="821"/>
      <c r="AI2" s="821"/>
      <c r="AJ2" s="821"/>
      <c r="AK2" s="821"/>
      <c r="AL2" s="821"/>
      <c r="AM2" s="821"/>
      <c r="AN2" s="821"/>
      <c r="AO2" s="821"/>
      <c r="AP2" s="820"/>
      <c r="AQ2" s="7"/>
      <c r="AR2" s="819" t="s">
        <v>309</v>
      </c>
      <c r="AS2" s="818"/>
      <c r="AT2" s="818"/>
      <c r="AU2" s="818"/>
      <c r="AV2" s="818"/>
      <c r="AW2" s="818"/>
      <c r="AX2" s="818"/>
      <c r="AY2" s="818"/>
      <c r="AZ2" s="818"/>
      <c r="BA2" s="818"/>
      <c r="BB2" s="818"/>
      <c r="BC2" s="817"/>
      <c r="BD2" s="7"/>
      <c r="BE2" s="3636" t="s">
        <v>6</v>
      </c>
      <c r="BF2" s="3989"/>
      <c r="BG2" s="3638"/>
      <c r="BH2" s="7"/>
      <c r="BI2" s="3868" t="s">
        <v>308</v>
      </c>
      <c r="BJ2" s="3868"/>
      <c r="BK2" s="3868"/>
      <c r="BL2" s="8"/>
      <c r="BM2" s="381">
        <v>33</v>
      </c>
    </row>
    <row r="3" spans="1:65" ht="28.5" customHeight="1" thickBot="1">
      <c r="A3" s="816" t="s">
        <v>307</v>
      </c>
      <c r="B3" s="815" t="str">
        <f>AA3</f>
        <v>HARICOT DE MOUTON OU CASSOULET TOULOUSAIN</v>
      </c>
      <c r="C3" s="3409"/>
      <c r="D3" s="3409"/>
      <c r="E3" s="3409"/>
      <c r="F3" s="3409"/>
      <c r="G3" s="3409"/>
      <c r="H3" s="3409"/>
      <c r="I3" s="3409"/>
      <c r="J3" s="3409"/>
      <c r="K3" s="3409"/>
      <c r="L3" s="3409"/>
      <c r="M3" s="3409"/>
      <c r="N3" s="3409"/>
      <c r="O3" s="3409"/>
      <c r="P3" s="3409"/>
      <c r="Q3" s="3409"/>
      <c r="R3" s="3409"/>
      <c r="S3" s="3409"/>
      <c r="T3" s="3409"/>
      <c r="U3" s="3409"/>
      <c r="V3" s="4024" t="str">
        <f>AL3</f>
        <v>Agneau - Mouton</v>
      </c>
      <c r="W3" s="4025"/>
      <c r="X3" s="810" t="str">
        <f>AN3</f>
        <v>021</v>
      </c>
      <c r="Y3" s="813"/>
      <c r="Z3" s="672"/>
      <c r="AA3" s="812" t="s">
        <v>6694</v>
      </c>
      <c r="AB3" s="811"/>
      <c r="AC3" s="811"/>
      <c r="AD3" s="811"/>
      <c r="AE3" s="811"/>
      <c r="AF3" s="811"/>
      <c r="AG3" s="811"/>
      <c r="AH3" s="811"/>
      <c r="AI3" s="811"/>
      <c r="AJ3" s="811"/>
      <c r="AK3" s="811"/>
      <c r="AL3" s="3629" t="s">
        <v>87</v>
      </c>
      <c r="AM3" s="3629"/>
      <c r="AN3" s="810" t="s">
        <v>88</v>
      </c>
      <c r="AO3" s="809"/>
      <c r="AP3" s="672"/>
      <c r="AQ3" s="7"/>
      <c r="AR3" s="808" t="s">
        <v>304</v>
      </c>
      <c r="AS3" s="7"/>
      <c r="AT3" s="7"/>
      <c r="AU3" s="7"/>
      <c r="AV3" s="7"/>
      <c r="AW3" s="7"/>
      <c r="AX3" s="7"/>
      <c r="AY3" s="7"/>
      <c r="AZ3" s="7"/>
      <c r="BA3" s="807"/>
      <c r="BB3" s="3407"/>
      <c r="BC3" s="805"/>
      <c r="BD3" s="7"/>
      <c r="BE3" s="3639"/>
      <c r="BF3" s="3640"/>
      <c r="BG3" s="3641"/>
      <c r="BH3" s="7"/>
      <c r="BI3" s="3868"/>
      <c r="BJ3" s="3868"/>
      <c r="BK3" s="3868"/>
      <c r="BL3" s="804"/>
      <c r="BM3" s="381">
        <v>28.5</v>
      </c>
    </row>
    <row r="4" spans="1:65" ht="28.5" customHeight="1">
      <c r="A4" s="3862" t="str">
        <f>B3</f>
        <v>HARICOT DE MOUTON OU CASSOULET TOULOUSAIN</v>
      </c>
      <c r="B4" s="803" t="s">
        <v>14</v>
      </c>
      <c r="C4" s="802" t="str">
        <f>AC4</f>
        <v>Grosmann et Le franc la cuisine de collectivité BPI 2007</v>
      </c>
      <c r="D4" s="801"/>
      <c r="E4" s="801"/>
      <c r="F4" s="801"/>
      <c r="G4" s="801"/>
      <c r="H4" s="801"/>
      <c r="I4" s="801"/>
      <c r="J4" s="801"/>
      <c r="K4" s="801"/>
      <c r="L4" s="801"/>
      <c r="M4" s="801"/>
      <c r="N4" s="801"/>
      <c r="O4" s="801"/>
      <c r="P4" s="801"/>
      <c r="Q4" s="801"/>
      <c r="R4" s="801"/>
      <c r="S4" s="801"/>
      <c r="T4" s="801"/>
      <c r="U4" s="801"/>
      <c r="V4" s="801"/>
      <c r="W4" s="801"/>
      <c r="X4" s="801"/>
      <c r="Y4" s="4020" t="str">
        <f>AO4</f>
        <v>PLAT PRINCIPAL</v>
      </c>
      <c r="Z4" s="672"/>
      <c r="AA4" s="3427" t="s">
        <v>8</v>
      </c>
      <c r="AB4" s="799"/>
      <c r="AC4" s="798" t="s">
        <v>6693</v>
      </c>
      <c r="AD4" s="797"/>
      <c r="AE4" s="797"/>
      <c r="AF4" s="797"/>
      <c r="AG4" s="797"/>
      <c r="AH4" s="796"/>
      <c r="AI4" s="796"/>
      <c r="AJ4" s="796"/>
      <c r="AK4" s="3426"/>
      <c r="AL4" s="3426"/>
      <c r="AM4" s="3426"/>
      <c r="AN4" s="3425"/>
      <c r="AO4" s="3925" t="s">
        <v>302</v>
      </c>
      <c r="AP4" s="672"/>
      <c r="AQ4" s="7"/>
      <c r="AR4" s="793" t="s">
        <v>301</v>
      </c>
      <c r="AS4" s="356"/>
      <c r="AT4" s="356"/>
      <c r="AU4" s="356"/>
      <c r="AV4" s="356"/>
      <c r="AW4" s="356"/>
      <c r="AX4" s="356"/>
      <c r="AY4" s="356"/>
      <c r="AZ4" s="356"/>
      <c r="BA4" s="7"/>
      <c r="BB4" s="7"/>
      <c r="BC4" s="792"/>
      <c r="BD4" s="7"/>
      <c r="BE4" s="3720" t="s">
        <v>11</v>
      </c>
      <c r="BF4" s="3721"/>
      <c r="BG4" s="3722"/>
      <c r="BH4" s="7"/>
      <c r="BI4" s="3872" t="s">
        <v>300</v>
      </c>
      <c r="BJ4" s="4022"/>
      <c r="BK4" s="3874"/>
      <c r="BL4" s="791"/>
      <c r="BM4" s="381">
        <v>28.5</v>
      </c>
    </row>
    <row r="5" spans="1:65" ht="28.5" customHeight="1">
      <c r="A5" s="3862"/>
      <c r="B5" s="764" t="s">
        <v>295</v>
      </c>
      <c r="C5" s="764"/>
      <c r="D5" s="778" t="s">
        <v>294</v>
      </c>
      <c r="E5" s="356"/>
      <c r="F5" s="356"/>
      <c r="G5" s="786"/>
      <c r="H5" s="786"/>
      <c r="I5" s="786"/>
      <c r="J5" s="786"/>
      <c r="K5" s="786"/>
      <c r="L5" s="786"/>
      <c r="M5" s="786"/>
      <c r="N5" s="786"/>
      <c r="O5" s="786"/>
      <c r="P5" s="785"/>
      <c r="Q5" s="785"/>
      <c r="R5" s="785"/>
      <c r="S5" s="784"/>
      <c r="T5" s="784"/>
      <c r="U5" s="784"/>
      <c r="V5" s="784"/>
      <c r="W5" s="784"/>
      <c r="X5" s="3405"/>
      <c r="Y5" s="4021"/>
      <c r="Z5" s="672"/>
      <c r="AA5" s="780"/>
      <c r="AB5" s="789"/>
      <c r="AC5" s="789"/>
      <c r="AD5" s="789"/>
      <c r="AE5" s="789"/>
      <c r="AF5" s="789"/>
      <c r="AG5" s="789"/>
      <c r="AH5" s="3927" t="s">
        <v>21</v>
      </c>
      <c r="AI5" s="3866"/>
      <c r="AJ5" s="3867"/>
      <c r="AK5" s="3930" t="s">
        <v>299</v>
      </c>
      <c r="AL5" s="3881"/>
      <c r="AM5" s="3881"/>
      <c r="AN5" s="3882"/>
      <c r="AO5" s="3926"/>
      <c r="AP5" s="672"/>
      <c r="AQ5" s="7"/>
      <c r="AR5" s="3883" t="s">
        <v>298</v>
      </c>
      <c r="AS5" s="3884"/>
      <c r="AT5" s="356"/>
      <c r="AU5" s="378"/>
      <c r="AV5" s="768"/>
      <c r="AW5" s="378"/>
      <c r="AX5" s="788" t="s">
        <v>297</v>
      </c>
      <c r="AY5" s="378"/>
      <c r="AZ5" s="378"/>
      <c r="BA5" s="7"/>
      <c r="BB5" s="3885" t="s">
        <v>296</v>
      </c>
      <c r="BC5" s="3886"/>
      <c r="BD5" s="7"/>
      <c r="BE5" s="3732" t="s">
        <v>13</v>
      </c>
      <c r="BF5" s="3733"/>
      <c r="BG5" s="3734"/>
      <c r="BH5" s="7"/>
      <c r="BI5" s="3875"/>
      <c r="BJ5" s="3876"/>
      <c r="BK5" s="3877"/>
      <c r="BL5" s="356"/>
      <c r="BM5" s="381">
        <v>28.5</v>
      </c>
    </row>
    <row r="6" spans="1:65" ht="28.5" customHeight="1">
      <c r="A6" s="3862"/>
      <c r="B6" s="764"/>
      <c r="C6" s="764"/>
      <c r="D6" s="787"/>
      <c r="E6" s="356"/>
      <c r="F6" s="31"/>
      <c r="G6" s="786"/>
      <c r="H6" s="786"/>
      <c r="I6" s="786"/>
      <c r="J6" s="786"/>
      <c r="K6" s="786"/>
      <c r="L6" s="786"/>
      <c r="M6" s="786"/>
      <c r="N6" s="786"/>
      <c r="O6" s="786"/>
      <c r="P6" s="785"/>
      <c r="Q6" s="785"/>
      <c r="R6" s="785"/>
      <c r="S6" s="784"/>
      <c r="T6" s="784"/>
      <c r="U6" s="783" t="s">
        <v>21</v>
      </c>
      <c r="V6" s="3424">
        <f>BA13</f>
        <v>195.22604285714291</v>
      </c>
      <c r="W6" s="782"/>
      <c r="X6" s="781"/>
      <c r="Y6" s="4021"/>
      <c r="Z6" s="672"/>
      <c r="AA6" s="780" t="s">
        <v>295</v>
      </c>
      <c r="AB6" s="779"/>
      <c r="AC6" s="778" t="s">
        <v>294</v>
      </c>
      <c r="AD6" s="758"/>
      <c r="AE6" s="758"/>
      <c r="AF6" s="758"/>
      <c r="AG6" s="758"/>
      <c r="AH6" s="777" t="s">
        <v>293</v>
      </c>
      <c r="AI6" s="776" t="s">
        <v>193</v>
      </c>
      <c r="AJ6" s="775" t="s">
        <v>197</v>
      </c>
      <c r="AK6" s="3729"/>
      <c r="AL6" s="3730"/>
      <c r="AM6" s="3730"/>
      <c r="AN6" s="3731"/>
      <c r="AO6" s="3926"/>
      <c r="AP6" s="672"/>
      <c r="AQ6" s="7"/>
      <c r="AR6" s="774" t="s">
        <v>63</v>
      </c>
      <c r="AS6" s="773" t="s">
        <v>135</v>
      </c>
      <c r="AT6" s="356"/>
      <c r="AU6" s="772" t="s">
        <v>63</v>
      </c>
      <c r="AV6" s="772" t="s">
        <v>193</v>
      </c>
      <c r="AW6" s="771" t="s">
        <v>197</v>
      </c>
      <c r="AX6" s="770" t="s">
        <v>292</v>
      </c>
      <c r="AY6" s="769" t="s">
        <v>230</v>
      </c>
      <c r="AZ6" s="768" t="s">
        <v>291</v>
      </c>
      <c r="BA6" s="767" t="s">
        <v>290</v>
      </c>
      <c r="BB6" s="3878" t="s">
        <v>193</v>
      </c>
      <c r="BC6" s="3879"/>
      <c r="BD6" s="7"/>
      <c r="BE6" s="35" t="s">
        <v>14</v>
      </c>
      <c r="BF6" s="3753" t="s">
        <v>15</v>
      </c>
      <c r="BG6" s="3880"/>
      <c r="BH6" s="7"/>
      <c r="BI6" s="3809" t="s">
        <v>93</v>
      </c>
      <c r="BJ6" s="3810"/>
      <c r="BK6" s="3871"/>
      <c r="BL6" s="356"/>
      <c r="BM6" s="381">
        <v>28.5</v>
      </c>
    </row>
    <row r="7" spans="1:65" ht="28.5" customHeight="1">
      <c r="A7" s="3862"/>
      <c r="B7" s="764"/>
      <c r="C7" s="764"/>
      <c r="D7" s="641"/>
      <c r="E7" s="641"/>
      <c r="F7" s="641"/>
      <c r="G7" s="763"/>
      <c r="H7" s="763"/>
      <c r="I7" s="763"/>
      <c r="J7" s="763"/>
      <c r="K7" s="763"/>
      <c r="L7" s="763"/>
      <c r="M7" s="763"/>
      <c r="N7" s="763"/>
      <c r="O7" s="763"/>
      <c r="P7" s="763"/>
      <c r="Q7" s="763"/>
      <c r="R7" s="641"/>
      <c r="S7" s="641"/>
      <c r="T7" s="3404"/>
      <c r="U7" s="3403"/>
      <c r="V7" s="3403"/>
      <c r="W7" s="760"/>
      <c r="X7" s="759"/>
      <c r="Y7" s="4021"/>
      <c r="Z7" s="672"/>
      <c r="AA7" s="745"/>
      <c r="AB7" s="744"/>
      <c r="AC7" s="758"/>
      <c r="AD7" s="744"/>
      <c r="AE7" s="744"/>
      <c r="AF7" s="744"/>
      <c r="AG7" s="744"/>
      <c r="AH7" s="757">
        <v>150</v>
      </c>
      <c r="AI7" s="669">
        <v>180</v>
      </c>
      <c r="AJ7" s="756">
        <f>(AI7*AH7)/1000</f>
        <v>27</v>
      </c>
      <c r="AK7" s="3645" t="s">
        <v>289</v>
      </c>
      <c r="AL7" s="3646"/>
      <c r="AM7" s="3646"/>
      <c r="AN7" s="3647"/>
      <c r="AO7" s="3926"/>
      <c r="AP7" s="672"/>
      <c r="AQ7" s="7"/>
      <c r="AR7" s="3888">
        <f>AB10</f>
        <v>100</v>
      </c>
      <c r="AS7" s="3889">
        <f>AD10</f>
        <v>59.365000000000002</v>
      </c>
      <c r="AT7" s="671" t="s">
        <v>189</v>
      </c>
      <c r="AU7" s="670">
        <v>100</v>
      </c>
      <c r="AV7" s="669">
        <v>50</v>
      </c>
      <c r="AW7" s="493">
        <f t="shared" ref="AW7:AW12" si="0">(AU7*AV7)/1000</f>
        <v>5</v>
      </c>
      <c r="AX7" s="3402">
        <v>14</v>
      </c>
      <c r="AY7" s="3401">
        <v>5</v>
      </c>
      <c r="AZ7" s="666" t="s">
        <v>288</v>
      </c>
      <c r="BA7" s="493">
        <f>IF(ISBLANK(AY7),0,(AA10/AX7)*AY7)</f>
        <v>21.201785714285716</v>
      </c>
      <c r="BB7" s="665">
        <f t="shared" ref="BB7:BB12" si="1">(AY7/AU7)*1000</f>
        <v>50</v>
      </c>
      <c r="BC7" s="664">
        <f t="shared" ref="BC7:BC12" si="2">BA7/AU7</f>
        <v>0.21201785714285715</v>
      </c>
      <c r="BD7" s="7"/>
      <c r="BE7" s="3755" t="s">
        <v>17</v>
      </c>
      <c r="BF7" s="3756"/>
      <c r="BG7" s="3890" t="str">
        <f>LEFT(ADDRESS(1,COLUMN(AF12),4),LEN(ADDRESS(1,COLUMN(AF12),4))-1)</f>
        <v>AF</v>
      </c>
      <c r="BH7" s="7"/>
      <c r="BI7" s="3809"/>
      <c r="BJ7" s="3810"/>
      <c r="BK7" s="3871"/>
      <c r="BL7" s="356"/>
      <c r="BM7" s="381">
        <v>28.5</v>
      </c>
    </row>
    <row r="8" spans="1:65" ht="28.5" customHeight="1">
      <c r="A8" s="3862"/>
      <c r="B8" s="753" t="s">
        <v>287</v>
      </c>
      <c r="C8" s="3400"/>
      <c r="D8" s="3399"/>
      <c r="E8" s="3399"/>
      <c r="F8" s="3399"/>
      <c r="G8" s="3398"/>
      <c r="H8" s="3398"/>
      <c r="I8" s="3397"/>
      <c r="J8" s="3397"/>
      <c r="K8" s="3397"/>
      <c r="L8" s="3397"/>
      <c r="M8" s="3397"/>
      <c r="N8" s="3397"/>
      <c r="O8" s="3397"/>
      <c r="P8" s="3423"/>
      <c r="Q8" s="3423"/>
      <c r="R8" s="3421"/>
      <c r="S8" s="3422"/>
      <c r="T8" s="3422"/>
      <c r="U8" s="3421" t="s">
        <v>285</v>
      </c>
      <c r="V8" s="3887">
        <f ca="1">TODAY()</f>
        <v>44608</v>
      </c>
      <c r="W8" s="3887"/>
      <c r="X8" s="3887"/>
      <c r="Y8" s="4021"/>
      <c r="Z8" s="672"/>
      <c r="AA8" s="745"/>
      <c r="AB8" s="744"/>
      <c r="AC8" s="744"/>
      <c r="AD8" s="744"/>
      <c r="AE8" s="744"/>
      <c r="AF8" s="744"/>
      <c r="AG8" s="744"/>
      <c r="AH8" s="743" t="s">
        <v>231</v>
      </c>
      <c r="AI8" s="742" t="s">
        <v>230</v>
      </c>
      <c r="AJ8" s="741" t="s">
        <v>286</v>
      </c>
      <c r="AK8" s="3393"/>
      <c r="AL8" s="3393" t="s">
        <v>285</v>
      </c>
      <c r="AM8" s="3933">
        <f ca="1">TODAY()</f>
        <v>44608</v>
      </c>
      <c r="AN8" s="3933"/>
      <c r="AO8" s="3926"/>
      <c r="AP8" s="672"/>
      <c r="AQ8" s="7"/>
      <c r="AR8" s="3888"/>
      <c r="AS8" s="3889"/>
      <c r="AT8" s="671" t="s">
        <v>282</v>
      </c>
      <c r="AU8" s="670">
        <v>260</v>
      </c>
      <c r="AV8" s="669">
        <v>70</v>
      </c>
      <c r="AW8" s="493">
        <f t="shared" si="0"/>
        <v>18.2</v>
      </c>
      <c r="AX8" s="693">
        <v>14</v>
      </c>
      <c r="AY8" s="692">
        <v>18.2</v>
      </c>
      <c r="AZ8" s="666" t="s">
        <v>288</v>
      </c>
      <c r="BA8" s="493">
        <f>IF(ISBLANK(AY8),0,(AA10/AX8)*AY8)</f>
        <v>77.174500000000009</v>
      </c>
      <c r="BB8" s="665">
        <f t="shared" si="1"/>
        <v>69.999999999999986</v>
      </c>
      <c r="BC8" s="664">
        <f t="shared" si="2"/>
        <v>0.29682500000000006</v>
      </c>
      <c r="BD8" s="7"/>
      <c r="BE8" s="3755"/>
      <c r="BF8" s="3756"/>
      <c r="BG8" s="3890"/>
      <c r="BH8" s="7"/>
      <c r="BI8" s="3601" t="s">
        <v>284</v>
      </c>
      <c r="BJ8" s="3602"/>
      <c r="BK8" s="3603"/>
      <c r="BL8" s="356"/>
      <c r="BM8" s="381">
        <v>28.5</v>
      </c>
    </row>
    <row r="9" spans="1:65" ht="28.5" customHeight="1">
      <c r="A9" s="3862"/>
      <c r="B9" s="4026" t="s">
        <v>283</v>
      </c>
      <c r="C9" s="4027"/>
      <c r="D9" s="4028" t="s">
        <v>189</v>
      </c>
      <c r="E9" s="3860"/>
      <c r="F9" s="4029"/>
      <c r="G9" s="4028" t="s">
        <v>282</v>
      </c>
      <c r="H9" s="3860"/>
      <c r="I9" s="4029"/>
      <c r="J9" s="4028" t="s">
        <v>28</v>
      </c>
      <c r="K9" s="3860"/>
      <c r="L9" s="4029"/>
      <c r="M9" s="4028" t="s">
        <v>136</v>
      </c>
      <c r="N9" s="3860"/>
      <c r="O9" s="4029"/>
      <c r="P9" s="4028" t="s">
        <v>56</v>
      </c>
      <c r="Q9" s="3860"/>
      <c r="R9" s="4029"/>
      <c r="S9" s="4028" t="s">
        <v>57</v>
      </c>
      <c r="T9" s="3860"/>
      <c r="U9" s="4029"/>
      <c r="V9" s="3420" t="s">
        <v>281</v>
      </c>
      <c r="W9" s="739">
        <f>D11+G11+J11+M11+P11+S11</f>
        <v>572</v>
      </c>
      <c r="X9" s="739" t="s">
        <v>280</v>
      </c>
      <c r="Y9" s="4021"/>
      <c r="Z9" s="672"/>
      <c r="AA9" s="3392" t="s">
        <v>279</v>
      </c>
      <c r="AB9" s="737" t="s">
        <v>246</v>
      </c>
      <c r="AC9" s="736" t="s">
        <v>193</v>
      </c>
      <c r="AD9" s="736" t="s">
        <v>135</v>
      </c>
      <c r="AE9" s="735" t="s">
        <v>46</v>
      </c>
      <c r="AF9" s="734" t="s">
        <v>278</v>
      </c>
      <c r="AG9" s="733" t="s">
        <v>193</v>
      </c>
      <c r="AH9" s="732"/>
      <c r="AI9" s="731"/>
      <c r="AJ9" s="730"/>
      <c r="AK9" s="729" t="s">
        <v>277</v>
      </c>
      <c r="AL9" s="729"/>
      <c r="AM9" s="356"/>
      <c r="AN9" s="356"/>
      <c r="AO9" s="3926"/>
      <c r="AP9" s="672"/>
      <c r="AQ9" s="7"/>
      <c r="AR9" s="3888"/>
      <c r="AS9" s="3889"/>
      <c r="AT9" s="671" t="s">
        <v>28</v>
      </c>
      <c r="AU9" s="670">
        <v>120</v>
      </c>
      <c r="AV9" s="669">
        <v>110</v>
      </c>
      <c r="AW9" s="493">
        <f t="shared" si="0"/>
        <v>13.2</v>
      </c>
      <c r="AX9" s="693">
        <v>14</v>
      </c>
      <c r="AY9" s="692">
        <v>13.2</v>
      </c>
      <c r="AZ9" s="666" t="s">
        <v>288</v>
      </c>
      <c r="BA9" s="493">
        <f>IF(ISBLANK(AY9),0,(AA10/AX9)*AY9)</f>
        <v>55.972714285714289</v>
      </c>
      <c r="BB9" s="665">
        <f t="shared" si="1"/>
        <v>110</v>
      </c>
      <c r="BC9" s="664">
        <f t="shared" si="2"/>
        <v>0.46643928571428572</v>
      </c>
      <c r="BD9" s="7"/>
      <c r="BE9" s="46"/>
      <c r="BF9" s="47" t="s">
        <v>26</v>
      </c>
      <c r="BG9" s="455" t="str">
        <f>LEFT(ADDRESS(1,COLUMN(AA12),4),LEN(ADDRESS(1,COLUMN(AA12),4))-1)</f>
        <v>AA</v>
      </c>
      <c r="BH9" s="7"/>
      <c r="BI9" s="3601"/>
      <c r="BJ9" s="3602"/>
      <c r="BK9" s="3603"/>
      <c r="BL9" s="356"/>
      <c r="BM9" s="381">
        <v>28.5</v>
      </c>
    </row>
    <row r="10" spans="1:65" ht="23.25" customHeight="1" thickBot="1">
      <c r="A10" s="3862"/>
      <c r="B10" s="3857"/>
      <c r="C10" s="3858"/>
      <c r="D10" s="481" t="s">
        <v>190</v>
      </c>
      <c r="E10" s="491" t="s">
        <v>193</v>
      </c>
      <c r="F10" s="765" t="str">
        <f>F65</f>
        <v>Total ❿</v>
      </c>
      <c r="G10" s="481" t="s">
        <v>190</v>
      </c>
      <c r="H10" s="491" t="s">
        <v>193</v>
      </c>
      <c r="I10" s="765" t="str">
        <f>I65</f>
        <v>Total ❿</v>
      </c>
      <c r="J10" s="481" t="s">
        <v>190</v>
      </c>
      <c r="K10" s="491" t="s">
        <v>193</v>
      </c>
      <c r="L10" s="765" t="str">
        <f>L65</f>
        <v>Total ❿</v>
      </c>
      <c r="M10" s="481" t="s">
        <v>190</v>
      </c>
      <c r="N10" s="491" t="s">
        <v>193</v>
      </c>
      <c r="O10" s="765" t="str">
        <f>O65</f>
        <v>Total ❿</v>
      </c>
      <c r="P10" s="481" t="s">
        <v>190</v>
      </c>
      <c r="Q10" s="491" t="s">
        <v>193</v>
      </c>
      <c r="R10" s="765" t="str">
        <f>R65</f>
        <v>Total ❿</v>
      </c>
      <c r="S10" s="481" t="s">
        <v>190</v>
      </c>
      <c r="T10" s="491" t="s">
        <v>193</v>
      </c>
      <c r="U10" s="765" t="str">
        <f>U65</f>
        <v>Total ❿</v>
      </c>
      <c r="V10" s="727"/>
      <c r="W10" s="726" t="s">
        <v>276</v>
      </c>
      <c r="X10" s="725">
        <f>SUM(X13:X62)</f>
        <v>85.505816857142875</v>
      </c>
      <c r="Y10" s="4021"/>
      <c r="Z10" s="672"/>
      <c r="AA10" s="3274">
        <f>IF(ISBLANK(AA13),AC13,AA13*AC13)+IF(ISBLANK(AA14),AC14,AA14*AC14)+IF(ISBLANK(AA15),AC15,AA15*AC15)+IF(ISBLANK(AA16),AC16,AA16*AC16)+IF(ISBLANK(AA17),AC17,AA17*AC17)+IF(ISBLANK(AA18),AC18,AA18*AC18)+IF(ISBLANK(AA19),AC19,AA19*AC19)+IF(ISBLANK(AA20),AC20,AA20*AC20)+IF(ISBLANK(AA21),AC21,AA21*AC21)+IF(ISBLANK(AA22),AC22,AA22*AC22)+IF(ISBLANK(AA23),AC23,AA23*AC23)+IF(ISBLANK(AA24),AC24,AA24*AC24)+IF(ISBLANK(AA25),AC25,AA25*AC25)+IF(ISBLANK(AA26),AC26,AA26*AC26)+IF(ISBLANK(AA27),AC27,AA27*AC27)+IF(ISBLANK(AA28),AC28,AA28*AC28)+IF(ISBLANK(AA29),AC29,AA29*AC29)+IF(ISBLANK(AA30),AC30,AA30*AC30)+IF(ISBLANK(AA31),AC31,AA31*AC31)+IF(ISBLANK(AA32),AC32,AA32*AC32)+IF(ISBLANK(AA33),AC33,AA33*AC33)+IF(ISBLANK(AA34),AC34,AA34*AC34)+IF(ISBLANK(AA35),AC35,AA35*AC35)+IF(ISBLANK(AA36),AC36,AA36*AC36)+IF(ISBLANK(AA37),AC37,AA37*AC37)+IF(ISBLANK(AA38),AC38,AA38*AC38)+IF(ISBLANK(AA39),AC39,AA39*AC39)+ IF(ISBLANK(AA40),AC40,AA40*AC40)+ IF(ISBLANK(AA41),AC41,AA41*AC41)+ IF(ISBLANK(AA42),AC42,AA42*AC42)+ IF(ISBLANK(AA43),AC43,AA43*AC43)+ IF(ISBLANK(AA44),AC44,AA44*AC44)+ IF(ISBLANK(AA45),AC45,AA45*AC45)+ IF(ISBLANK(AA46),AC46,AA46*AC46)+ IF(ISBLANK(AA47),AC47,AA47*AC47)+ IF(ISBLANK(AA48),AC48,AA48*AC48)+IF(ISBLANK(AA49),AC49,AA49*AC49)+IF(ISBLANK(AA50),AC50,AA50*AC50)+ IF(ISBLANK(AA51),AC51,AA51*AC51) +IF(ISBLANK(AA52),AC52,AA52*AC52) +IF(ISBLANK(AA53),AC53,AA53*AC53) +IF(ISBLANK(AA54),AC54,AA54*AC54) +IF(ISBLANK(AA55),AC55,AA55*AC55) +IF(ISBLANK(AA56),AC56,AA56*AC56) +IF(ISBLANK(AA57),AC57,AA57*AC57) +IF(ISBLANK(AA58),AC58,AA58*AC58) +IF(ISBLANK(AA59),AC59,AA59*AC59) +IF(ISBLANK(AA60),AC60,AA60*AC60) +IF(ISBLANK(AA61),AC61,AA61*AC61) +IF(ISBLANK(AA62),AC62,AA62*AC62)</f>
        <v>59.365000000000002</v>
      </c>
      <c r="AB10" s="723">
        <v>100</v>
      </c>
      <c r="AC10" s="722">
        <f>(AD10/AB10)*1000</f>
        <v>593.65</v>
      </c>
      <c r="AD10" s="728">
        <f>SUM(AD13:AD62)</f>
        <v>59.365000000000002</v>
      </c>
      <c r="AE10" s="720">
        <v>10</v>
      </c>
      <c r="AF10" s="719">
        <f>IF(ISBLANK(AE10),"",IF(AD10=0,0,((AD10-(AD10*AE10%)))))</f>
        <v>53.4285</v>
      </c>
      <c r="AG10" s="718">
        <f>IF(ISBLANK(AE10),"",(AF10/AB10)*1000)</f>
        <v>534.28499999999997</v>
      </c>
      <c r="AH10" s="717" t="s">
        <v>190</v>
      </c>
      <c r="AI10" s="711"/>
      <c r="AJ10" s="716" t="s">
        <v>37</v>
      </c>
      <c r="AK10" s="715">
        <f>IF(ISBLANK(AI9),AH7,"")</f>
        <v>150</v>
      </c>
      <c r="AL10" s="714" t="str">
        <f>IF(ISBLANK(AI9),"Portions","")</f>
        <v>Portions</v>
      </c>
      <c r="AM10" s="713">
        <f>IF(ISBLANK(AI9),AJ7,AI9)</f>
        <v>27</v>
      </c>
      <c r="AN10" s="712" t="str">
        <f>IF(ISBLANK(AI9),"Kg",AJ9)</f>
        <v>Kg</v>
      </c>
      <c r="AO10" s="3926"/>
      <c r="AP10" s="672"/>
      <c r="AQ10" s="7"/>
      <c r="AR10" s="3888"/>
      <c r="AS10" s="711" t="s">
        <v>193</v>
      </c>
      <c r="AT10" s="671" t="s">
        <v>136</v>
      </c>
      <c r="AU10" s="670">
        <v>60</v>
      </c>
      <c r="AV10" s="669">
        <v>120</v>
      </c>
      <c r="AW10" s="493">
        <f t="shared" si="0"/>
        <v>7.2</v>
      </c>
      <c r="AX10" s="693">
        <v>14</v>
      </c>
      <c r="AY10" s="692">
        <v>7.2</v>
      </c>
      <c r="AZ10" s="666" t="s">
        <v>288</v>
      </c>
      <c r="BA10" s="493">
        <f>IF(ISBLANK(AY10),0,(AA10/AX10)*AY10)</f>
        <v>30.530571428571434</v>
      </c>
      <c r="BB10" s="665">
        <f t="shared" si="1"/>
        <v>120.00000000000001</v>
      </c>
      <c r="BC10" s="664">
        <f t="shared" si="2"/>
        <v>0.50884285714285726</v>
      </c>
      <c r="BD10" s="7"/>
      <c r="BE10" s="59"/>
      <c r="BF10" s="60" t="s">
        <v>38</v>
      </c>
      <c r="BG10" s="455" t="str">
        <f>LEFT(ADDRESS(1,COLUMN(AB12),4),LEN(ADDRESS(1,COLUMN(AB12),4))-1)</f>
        <v>AB</v>
      </c>
      <c r="BH10" s="7"/>
      <c r="BI10" s="3601" t="s">
        <v>275</v>
      </c>
      <c r="BJ10" s="3602"/>
      <c r="BK10" s="3603"/>
      <c r="BL10" s="356"/>
      <c r="BM10" s="381">
        <v>23.25</v>
      </c>
    </row>
    <row r="11" spans="1:65" ht="23.25" customHeight="1" thickTop="1" thickBot="1">
      <c r="A11" s="3862"/>
      <c r="B11" s="710" t="s">
        <v>135</v>
      </c>
      <c r="C11" s="709">
        <f>V64</f>
        <v>195.22604285714291</v>
      </c>
      <c r="D11" s="708">
        <f>AU7</f>
        <v>100</v>
      </c>
      <c r="E11" s="286">
        <f>E66</f>
        <v>212.01785714285714</v>
      </c>
      <c r="F11" s="707">
        <f>F66</f>
        <v>21.201785714285716</v>
      </c>
      <c r="G11" s="708">
        <f>AU8</f>
        <v>260</v>
      </c>
      <c r="H11" s="286">
        <f>H66</f>
        <v>296.82499999999993</v>
      </c>
      <c r="I11" s="707">
        <f>I66</f>
        <v>77.174500000000009</v>
      </c>
      <c r="J11" s="708">
        <f>AU9</f>
        <v>120</v>
      </c>
      <c r="K11" s="286">
        <f>K66</f>
        <v>466.43928571428575</v>
      </c>
      <c r="L11" s="707">
        <f>L66</f>
        <v>55.972714285714289</v>
      </c>
      <c r="M11" s="708">
        <f>AU10</f>
        <v>60</v>
      </c>
      <c r="N11" s="286">
        <f>N66</f>
        <v>508.84285714285716</v>
      </c>
      <c r="O11" s="707">
        <f>O66</f>
        <v>30.530571428571434</v>
      </c>
      <c r="P11" s="708">
        <f>AU11</f>
        <v>20</v>
      </c>
      <c r="Q11" s="286">
        <f>Q66</f>
        <v>339.22857142857134</v>
      </c>
      <c r="R11" s="707">
        <f>R66</f>
        <v>6.7845714285714296</v>
      </c>
      <c r="S11" s="708">
        <f>AU12</f>
        <v>12</v>
      </c>
      <c r="T11" s="286">
        <f>T66</f>
        <v>296.82499999999999</v>
      </c>
      <c r="U11" s="707">
        <f>U66</f>
        <v>3.5619000000000005</v>
      </c>
      <c r="V11" s="3391"/>
      <c r="W11" s="705" t="s">
        <v>274</v>
      </c>
      <c r="X11" s="704">
        <v>2.5</v>
      </c>
      <c r="Y11" s="4021"/>
      <c r="Z11" s="672"/>
      <c r="AA11" s="703" t="s">
        <v>59</v>
      </c>
      <c r="AB11" s="702" t="s">
        <v>60</v>
      </c>
      <c r="AC11" s="701" t="s">
        <v>61</v>
      </c>
      <c r="AD11" s="700"/>
      <c r="AE11" s="3934" t="s">
        <v>44</v>
      </c>
      <c r="AF11" s="3934"/>
      <c r="AG11" s="3934"/>
      <c r="AH11" s="699">
        <f>AB10</f>
        <v>100</v>
      </c>
      <c r="AI11" s="384"/>
      <c r="AJ11" s="698">
        <f>AJ64</f>
        <v>26.999999999999989</v>
      </c>
      <c r="AK11" s="697">
        <f>AL65</f>
        <v>2.2285858670934005</v>
      </c>
      <c r="AL11" s="696">
        <f>AL64</f>
        <v>24.771414132906589</v>
      </c>
      <c r="AM11" s="695"/>
      <c r="AN11" s="694" t="s">
        <v>37</v>
      </c>
      <c r="AO11" s="3926"/>
      <c r="AP11" s="672"/>
      <c r="AQ11" s="7"/>
      <c r="AR11" s="3888"/>
      <c r="AS11" s="3900">
        <f>AC10</f>
        <v>593.65</v>
      </c>
      <c r="AT11" s="671" t="s">
        <v>56</v>
      </c>
      <c r="AU11" s="670">
        <v>20</v>
      </c>
      <c r="AV11" s="669">
        <v>80</v>
      </c>
      <c r="AW11" s="493">
        <f t="shared" si="0"/>
        <v>1.6</v>
      </c>
      <c r="AX11" s="693">
        <v>14</v>
      </c>
      <c r="AY11" s="692">
        <v>1.6</v>
      </c>
      <c r="AZ11" s="666" t="s">
        <v>288</v>
      </c>
      <c r="BA11" s="493">
        <f>IF(ISBLANK(AY11),0,(AA10/AX11)*AY11)</f>
        <v>6.7845714285714296</v>
      </c>
      <c r="BB11" s="665">
        <f t="shared" si="1"/>
        <v>80</v>
      </c>
      <c r="BC11" s="664">
        <f t="shared" si="2"/>
        <v>0.33922857142857149</v>
      </c>
      <c r="BD11" s="7"/>
      <c r="BE11" s="59"/>
      <c r="BF11" s="60" t="s">
        <v>51</v>
      </c>
      <c r="BG11" s="455" t="str">
        <f>LEFT(ADDRESS(1,COLUMN(AC12),4),LEN(ADDRESS(1,COLUMN(AC12),4))-1)</f>
        <v>AC</v>
      </c>
      <c r="BH11" s="7"/>
      <c r="BI11" s="3601"/>
      <c r="BJ11" s="3602"/>
      <c r="BK11" s="3603"/>
      <c r="BL11" s="356"/>
      <c r="BM11" s="381">
        <v>23.25</v>
      </c>
    </row>
    <row r="12" spans="1:65" ht="23.25" customHeight="1" thickTop="1">
      <c r="A12" s="3862"/>
      <c r="B12" s="691" t="s">
        <v>273</v>
      </c>
      <c r="C12" s="3390"/>
      <c r="D12" s="689" t="s">
        <v>40</v>
      </c>
      <c r="E12" s="688" t="s">
        <v>41</v>
      </c>
      <c r="F12" s="687" t="s">
        <v>272</v>
      </c>
      <c r="G12" s="689" t="s">
        <v>40</v>
      </c>
      <c r="H12" s="688" t="s">
        <v>41</v>
      </c>
      <c r="I12" s="687" t="s">
        <v>272</v>
      </c>
      <c r="J12" s="689" t="s">
        <v>40</v>
      </c>
      <c r="K12" s="688" t="s">
        <v>41</v>
      </c>
      <c r="L12" s="687" t="s">
        <v>272</v>
      </c>
      <c r="M12" s="689" t="s">
        <v>40</v>
      </c>
      <c r="N12" s="688" t="s">
        <v>41</v>
      </c>
      <c r="O12" s="687" t="s">
        <v>272</v>
      </c>
      <c r="P12" s="689" t="s">
        <v>40</v>
      </c>
      <c r="Q12" s="688" t="s">
        <v>41</v>
      </c>
      <c r="R12" s="687" t="s">
        <v>272</v>
      </c>
      <c r="S12" s="689" t="s">
        <v>40</v>
      </c>
      <c r="T12" s="688" t="s">
        <v>41</v>
      </c>
      <c r="U12" s="687" t="s">
        <v>272</v>
      </c>
      <c r="V12" s="686" t="s">
        <v>272</v>
      </c>
      <c r="W12" s="685" t="s">
        <v>271</v>
      </c>
      <c r="X12" s="684">
        <f>X10*X11</f>
        <v>213.76454214285718</v>
      </c>
      <c r="Y12" s="4021"/>
      <c r="Z12" s="672"/>
      <c r="AA12" s="3273" t="s">
        <v>270</v>
      </c>
      <c r="AB12" s="3271" t="s">
        <v>41</v>
      </c>
      <c r="AC12" s="3271" t="s">
        <v>65</v>
      </c>
      <c r="AD12" s="3270" t="s">
        <v>269</v>
      </c>
      <c r="AE12" s="680" t="s">
        <v>268</v>
      </c>
      <c r="AF12" s="679" t="s">
        <v>267</v>
      </c>
      <c r="AG12" s="3389"/>
      <c r="AH12" s="1645" t="s">
        <v>40</v>
      </c>
      <c r="AI12" s="676" t="s">
        <v>41</v>
      </c>
      <c r="AJ12" s="676" t="s">
        <v>20</v>
      </c>
      <c r="AK12" s="430" t="s">
        <v>46</v>
      </c>
      <c r="AL12" s="675" t="s">
        <v>47</v>
      </c>
      <c r="AM12" s="674" t="s">
        <v>266</v>
      </c>
      <c r="AN12" s="673">
        <f>SUM(AN13:AN62)</f>
        <v>11.825558830961004</v>
      </c>
      <c r="AO12" s="3926"/>
      <c r="AP12" s="672"/>
      <c r="AQ12" s="7"/>
      <c r="AR12" s="3888"/>
      <c r="AS12" s="3900"/>
      <c r="AT12" s="671" t="s">
        <v>57</v>
      </c>
      <c r="AU12" s="670">
        <v>12</v>
      </c>
      <c r="AV12" s="669">
        <v>70</v>
      </c>
      <c r="AW12" s="493">
        <f t="shared" si="0"/>
        <v>0.84</v>
      </c>
      <c r="AX12" s="3388">
        <v>14</v>
      </c>
      <c r="AY12" s="3387">
        <v>0.84</v>
      </c>
      <c r="AZ12" s="666" t="s">
        <v>288</v>
      </c>
      <c r="BA12" s="493">
        <f>IF(ISBLANK(AY12),0,(AA10/AX12)*AY12)</f>
        <v>3.5619000000000005</v>
      </c>
      <c r="BB12" s="665">
        <f t="shared" si="1"/>
        <v>69.999999999999986</v>
      </c>
      <c r="BC12" s="664">
        <f t="shared" si="2"/>
        <v>0.29682500000000006</v>
      </c>
      <c r="BD12" s="7"/>
      <c r="BE12" s="74" t="s">
        <v>59</v>
      </c>
      <c r="BF12" s="75" t="s">
        <v>60</v>
      </c>
      <c r="BG12" s="663" t="s">
        <v>61</v>
      </c>
      <c r="BH12" s="7"/>
      <c r="BI12" s="3630" t="s">
        <v>265</v>
      </c>
      <c r="BJ12" s="3631"/>
      <c r="BK12" s="3632"/>
      <c r="BL12" s="356"/>
      <c r="BM12" s="381">
        <v>23.25</v>
      </c>
    </row>
    <row r="13" spans="1:65" ht="15" customHeight="1" thickBot="1">
      <c r="A13" s="3862"/>
      <c r="B13" s="551" t="str">
        <f t="shared" ref="B13:B44" si="3">AF13</f>
        <v xml:space="preserve">Navarin d'agneau </v>
      </c>
      <c r="C13" s="546"/>
      <c r="D13" s="3374">
        <f>IF(ISBLANK(AX7),(AA13/AS7)*AW7,(AA13/AX7)*AY7)</f>
        <v>0</v>
      </c>
      <c r="E13" s="533">
        <f t="shared" ref="E13:E44" si="4">AB13</f>
        <v>0</v>
      </c>
      <c r="F13" s="532">
        <f>IF(ISBLANK(AX7),(AD13/AS7)*AW7,(AD13/AX7)*AY7)</f>
        <v>5</v>
      </c>
      <c r="G13" s="3374">
        <f>IF(ISBLANK(AX8),(AA13/AS7)*AW8,(AA13/AX8)*AY8)</f>
        <v>0</v>
      </c>
      <c r="H13" s="533">
        <f t="shared" ref="H13:H44" si="5">AB13</f>
        <v>0</v>
      </c>
      <c r="I13" s="532">
        <f>IF(ISBLANK(AX8),(AD13/AS7)*AW8,(AD13/AX8)*AY8)</f>
        <v>18.2</v>
      </c>
      <c r="J13" s="3374">
        <f>IF(ISBLANK(AX9),(AA13/AS7)*AW9,(AA13/AX9)*AY9)</f>
        <v>0</v>
      </c>
      <c r="K13" s="533">
        <f t="shared" ref="K13:K44" si="6">AB13</f>
        <v>0</v>
      </c>
      <c r="L13" s="532">
        <f>IF(ISBLANK(AX9),(AD13/AS7)*AW9,(AD13/AX9)*AY9)</f>
        <v>13.2</v>
      </c>
      <c r="M13" s="3374">
        <f>IF(ISBLANK(AX10),(AA13/AS7)*AW10,(AA13/AX10)*AY10)</f>
        <v>0</v>
      </c>
      <c r="N13" s="533">
        <f t="shared" ref="N13:N44" si="7">AB13</f>
        <v>0</v>
      </c>
      <c r="O13" s="532">
        <f>IF(ISBLANK(AX10),(AD13/AS7)*AW10,(AD13/AX10)*AY10)</f>
        <v>7.2</v>
      </c>
      <c r="P13" s="3374">
        <f>IF(ISBLANK(AX11),(AA13/AS7)*AW11,(AA13/AX11)*AY11)</f>
        <v>0</v>
      </c>
      <c r="Q13" s="533">
        <f t="shared" ref="Q13:Q44" si="8">AB13</f>
        <v>0</v>
      </c>
      <c r="R13" s="532">
        <f>IF(ISBLANK(AX11),(AD13/AS7)*AW11,(AD13/AX11)*AY11)</f>
        <v>1.6</v>
      </c>
      <c r="S13" s="3374">
        <f>IF(ISBLANK(AX12),(AA13/AS7)*AW12,(AA13/AX12)*AY12)</f>
        <v>0</v>
      </c>
      <c r="T13" s="533">
        <f t="shared" ref="T13:T44" si="9">AB13</f>
        <v>0</v>
      </c>
      <c r="U13" s="532">
        <f>IF(ISBLANK(AX12),(AD13/AS7)*AW12,(AD13/AX12)*AY12)</f>
        <v>0.84</v>
      </c>
      <c r="V13" s="531">
        <f t="shared" ref="V13:V44" si="10">SUM(F13,I13,L13,O13,R13,U13)</f>
        <v>46.040000000000006</v>
      </c>
      <c r="W13" s="530">
        <f t="shared" ref="W13:W44" si="11">SUM(D13,G13,J13,M13,P13,S13)</f>
        <v>0</v>
      </c>
      <c r="X13" s="529">
        <f t="shared" ref="X13:X44" si="12">IF(V13&lt;0.001,AM13*W13,AM13*V13)</f>
        <v>69.06</v>
      </c>
      <c r="Y13" s="4021"/>
      <c r="Z13" s="515"/>
      <c r="AA13" s="545"/>
      <c r="AB13" s="544"/>
      <c r="AC13" s="543">
        <v>14</v>
      </c>
      <c r="AD13" s="3268">
        <f t="shared" ref="AD13:AD44" si="13">IF(ISBLANK(AA13),AC13,AA13*AC13)</f>
        <v>14</v>
      </c>
      <c r="AE13" s="541">
        <v>263551</v>
      </c>
      <c r="AF13" s="3267" t="s">
        <v>6692</v>
      </c>
      <c r="AG13" s="3266"/>
      <c r="AH13" s="540">
        <f>IF(ISBLANK(AH9),(AA13/AD10)*AJ7,(AA13/AH9)*AI9)</f>
        <v>0</v>
      </c>
      <c r="AI13" s="539">
        <f t="shared" ref="AI13:AI44" si="14">AB13</f>
        <v>0</v>
      </c>
      <c r="AJ13" s="538">
        <f>IF(ISBLANK(AH9),(AD13/AD10)*AJ7,(AD13/AH9)*AI9)</f>
        <v>6.3673881916954436</v>
      </c>
      <c r="AK13" s="518">
        <v>35</v>
      </c>
      <c r="AL13" s="537">
        <f t="shared" ref="AL13:AL44" si="15">IF(AD13=0,0,((AJ13-(AJ13*AK13%))))</f>
        <v>4.1388023246020387</v>
      </c>
      <c r="AM13" s="516">
        <v>1.5</v>
      </c>
      <c r="AN13" s="372">
        <f t="shared" ref="AN13:AN44" si="16">IF(ISBLANK(AC13),AH13*AM13,AJ13*AM13)</f>
        <v>9.5510822875431654</v>
      </c>
      <c r="AO13" s="3926"/>
      <c r="AP13" s="515"/>
      <c r="AQ13" s="378"/>
      <c r="AR13" s="3256"/>
      <c r="AS13" s="3255"/>
      <c r="AT13" s="3255"/>
      <c r="AU13" s="3255"/>
      <c r="AV13" s="3255"/>
      <c r="AW13" s="3385"/>
      <c r="AX13" s="3386"/>
      <c r="AY13" s="3385"/>
      <c r="AZ13" s="3384" t="s">
        <v>264</v>
      </c>
      <c r="BA13" s="3383">
        <f>IF(ISBLANK(AY7),AW7,BA7)+IF(ISBLANK(AY8),AW8,BA8)+IF(ISBLANK(AY9),AW9,BA9)+IF(ISBLANK(AY10),AW10,BA10)+IF(ISBLANK(AY11),AW11,BA11)+IF(ISBLANK(AY12),AW12,BA12)</f>
        <v>195.22604285714291</v>
      </c>
      <c r="BB13" s="3383"/>
      <c r="BC13" s="3382"/>
      <c r="BD13" s="654"/>
      <c r="BE13" s="3718" t="s">
        <v>64</v>
      </c>
      <c r="BF13" s="3650" t="s">
        <v>41</v>
      </c>
      <c r="BG13" s="3652" t="s">
        <v>65</v>
      </c>
      <c r="BH13" s="7"/>
      <c r="BI13" s="3630"/>
      <c r="BJ13" s="3631"/>
      <c r="BK13" s="3632"/>
      <c r="BL13" s="356"/>
      <c r="BM13" s="381">
        <v>15</v>
      </c>
    </row>
    <row r="14" spans="1:65" ht="15" customHeight="1" thickBot="1">
      <c r="A14" s="3862"/>
      <c r="B14" s="551" t="str">
        <f t="shared" si="3"/>
        <v xml:space="preserve">Ccuisson du navarin </v>
      </c>
      <c r="C14" s="546"/>
      <c r="D14" s="3374">
        <f>IF(ISBLANK(AX7),(AA14/AS7)*AW7,(AA14/AX7)*AY7)</f>
        <v>0</v>
      </c>
      <c r="E14" s="533">
        <f t="shared" si="4"/>
        <v>0</v>
      </c>
      <c r="F14" s="532">
        <f>IF(ISBLANK(AX7),(AD14/AS7)*AW7,(AD14/AX7)*AY7)</f>
        <v>0</v>
      </c>
      <c r="G14" s="3374">
        <f>IF(ISBLANK(AX8),(AA14/AS7)*AW8,(AA14/AX8)*AY8)</f>
        <v>0</v>
      </c>
      <c r="H14" s="533">
        <f t="shared" si="5"/>
        <v>0</v>
      </c>
      <c r="I14" s="532">
        <f>IF(ISBLANK(AX8),(AD14/AS7)*AW8,(AD14/AX8)*AY8)</f>
        <v>0</v>
      </c>
      <c r="J14" s="3374">
        <f>IF(ISBLANK(AX9),(AA14/AS7)*AW9,(AA14/AX9)*AY9)</f>
        <v>0</v>
      </c>
      <c r="K14" s="533">
        <f t="shared" si="6"/>
        <v>0</v>
      </c>
      <c r="L14" s="532">
        <f>IF(ISBLANK(AX9),(AD14/AS7)*AW9,(AD14/AX9)*AY9)</f>
        <v>0</v>
      </c>
      <c r="M14" s="3374">
        <f>IF(ISBLANK(AX10),(AA14/AS7)*AW10,(AA14/AX10)*AY10)</f>
        <v>0</v>
      </c>
      <c r="N14" s="533">
        <f t="shared" si="7"/>
        <v>0</v>
      </c>
      <c r="O14" s="532">
        <f>IF(ISBLANK(AX10),(AD14/AS7)*AW10,(AD14/AX10)*AY10)</f>
        <v>0</v>
      </c>
      <c r="P14" s="3374">
        <f>IF(ISBLANK(AX11),(AA14/AS7)*AW11,(AA14/AX11)*AY11)</f>
        <v>0</v>
      </c>
      <c r="Q14" s="533">
        <f t="shared" si="8"/>
        <v>0</v>
      </c>
      <c r="R14" s="532">
        <f>IF(ISBLANK(AX11),(AD14/AS7)*AW11,(AD14/AX11)*AY11)</f>
        <v>0</v>
      </c>
      <c r="S14" s="3374">
        <f>IF(ISBLANK(AX12),(AA14/AS7)*AW12,(AA14/AX12)*AY12)</f>
        <v>0</v>
      </c>
      <c r="T14" s="533">
        <f t="shared" si="9"/>
        <v>0</v>
      </c>
      <c r="U14" s="532">
        <f>IF(ISBLANK(AX12),(AD14/AS7)*AW12,(AD14/AX12)*AY12)</f>
        <v>0</v>
      </c>
      <c r="V14" s="531">
        <f t="shared" si="10"/>
        <v>0</v>
      </c>
      <c r="W14" s="530">
        <f t="shared" si="11"/>
        <v>0</v>
      </c>
      <c r="X14" s="529">
        <f t="shared" si="12"/>
        <v>0</v>
      </c>
      <c r="Y14" s="4021"/>
      <c r="Z14" s="515"/>
      <c r="AA14" s="528"/>
      <c r="AB14" s="527"/>
      <c r="AC14" s="526">
        <v>0</v>
      </c>
      <c r="AD14" s="525">
        <f t="shared" si="13"/>
        <v>0</v>
      </c>
      <c r="AE14" s="524"/>
      <c r="AF14" s="3253" t="s">
        <v>6691</v>
      </c>
      <c r="AG14" s="522"/>
      <c r="AH14" s="521">
        <f>IF(ISBLANK(AH9),(AA14/AD10)*AJ7,(AA14/AH9)*AI9)</f>
        <v>0</v>
      </c>
      <c r="AI14" s="520">
        <f t="shared" si="14"/>
        <v>0</v>
      </c>
      <c r="AJ14" s="519">
        <f>IF(ISBLANK(AH9),(AD14/AD10)*AJ7,(AD14/AH9)*AI9)</f>
        <v>0</v>
      </c>
      <c r="AK14" s="518"/>
      <c r="AL14" s="517">
        <f t="shared" si="15"/>
        <v>0</v>
      </c>
      <c r="AM14" s="516">
        <v>1</v>
      </c>
      <c r="AN14" s="372">
        <f t="shared" si="16"/>
        <v>0</v>
      </c>
      <c r="AO14" s="3926"/>
      <c r="AP14" s="515"/>
      <c r="AQ14" s="378"/>
      <c r="AZ14" s="653" t="s">
        <v>262</v>
      </c>
      <c r="BA14" s="652" t="s">
        <v>261</v>
      </c>
      <c r="BB14" s="7"/>
      <c r="BC14" s="7"/>
      <c r="BD14" s="7"/>
      <c r="BE14" s="3935"/>
      <c r="BF14" s="3936"/>
      <c r="BG14" s="3937"/>
      <c r="BH14" s="7"/>
      <c r="BI14" s="3630"/>
      <c r="BJ14" s="3631"/>
      <c r="BK14" s="3632"/>
      <c r="BL14" s="356"/>
      <c r="BM14" s="381">
        <v>15</v>
      </c>
    </row>
    <row r="15" spans="1:65" ht="15" customHeight="1">
      <c r="A15" s="3862"/>
      <c r="B15" s="551" t="str">
        <f t="shared" si="3"/>
        <v xml:space="preserve">Oignons </v>
      </c>
      <c r="C15" s="546"/>
      <c r="D15" s="3374">
        <f>IF(ISBLANK(AX7),(AA15/AS7)*AW7,(AA15/AX7)*AY7)</f>
        <v>0</v>
      </c>
      <c r="E15" s="533">
        <f t="shared" si="4"/>
        <v>0</v>
      </c>
      <c r="F15" s="532">
        <f>IF(ISBLANK(AX7),(AD15/AS7)*AW7,(AD15/AX7)*AY7)</f>
        <v>1.4285714285714284</v>
      </c>
      <c r="G15" s="3374">
        <f>IF(ISBLANK(AX8),(AA15/AS7)*AW8,(AA15/AX8)*AY8)</f>
        <v>0</v>
      </c>
      <c r="H15" s="533">
        <f t="shared" si="5"/>
        <v>0</v>
      </c>
      <c r="I15" s="532">
        <f>IF(ISBLANK(AX8),(AD15/AS7)*AW8,(AD15/AX8)*AY8)</f>
        <v>5.1999999999999993</v>
      </c>
      <c r="J15" s="3374">
        <f>IF(ISBLANK(AX9),(AA15/AS7)*AW9,(AA15/AX9)*AY9)</f>
        <v>0</v>
      </c>
      <c r="K15" s="533">
        <f t="shared" si="6"/>
        <v>0</v>
      </c>
      <c r="L15" s="532">
        <f>IF(ISBLANK(AX9),(AD15/AS7)*AW9,(AD15/AX9)*AY9)</f>
        <v>3.7714285714285709</v>
      </c>
      <c r="M15" s="3374">
        <f>IF(ISBLANK(AX10),(AA15/AS7)*AW10,(AA15/AX10)*AY10)</f>
        <v>0</v>
      </c>
      <c r="N15" s="533">
        <f t="shared" si="7"/>
        <v>0</v>
      </c>
      <c r="O15" s="532">
        <f>IF(ISBLANK(AX10),(AD15/AS7)*AW10,(AD15/AX10)*AY10)</f>
        <v>2.0571428571428569</v>
      </c>
      <c r="P15" s="3374">
        <f>IF(ISBLANK(AX11),(AA15/AS7)*AW11,(AA15/AX11)*AY11)</f>
        <v>0</v>
      </c>
      <c r="Q15" s="533">
        <f t="shared" si="8"/>
        <v>0</v>
      </c>
      <c r="R15" s="532">
        <f>IF(ISBLANK(AX11),(AD15/AS7)*AW11,(AD15/AX11)*AY11)</f>
        <v>0.45714285714285713</v>
      </c>
      <c r="S15" s="3374">
        <f>IF(ISBLANK(AX12),(AA15/AS7)*AW12,(AA15/AX12)*AY12)</f>
        <v>0</v>
      </c>
      <c r="T15" s="533">
        <f t="shared" si="9"/>
        <v>0</v>
      </c>
      <c r="U15" s="532">
        <f>IF(ISBLANK(AX12),(AD15/AS7)*AW12,(AD15/AX12)*AY12)</f>
        <v>0.24</v>
      </c>
      <c r="V15" s="531">
        <f t="shared" si="10"/>
        <v>13.154285714285713</v>
      </c>
      <c r="W15" s="530">
        <f t="shared" si="11"/>
        <v>0</v>
      </c>
      <c r="X15" s="529">
        <f t="shared" si="12"/>
        <v>13.154285714285713</v>
      </c>
      <c r="Y15" s="4021"/>
      <c r="Z15" s="515"/>
      <c r="AA15" s="545"/>
      <c r="AB15" s="544"/>
      <c r="AC15" s="543">
        <v>4</v>
      </c>
      <c r="AD15" s="542">
        <f t="shared" si="13"/>
        <v>4</v>
      </c>
      <c r="AE15" s="541">
        <v>2124568</v>
      </c>
      <c r="AF15" s="3247" t="s">
        <v>6677</v>
      </c>
      <c r="AG15" s="522"/>
      <c r="AH15" s="540">
        <f>IF(ISBLANK(AH9),(AA15/AD10)*AJ7,(AA15/AH9)*AI9)</f>
        <v>0</v>
      </c>
      <c r="AI15" s="539">
        <f t="shared" si="14"/>
        <v>0</v>
      </c>
      <c r="AJ15" s="538">
        <f>IF(ISBLANK(AH9),(AD15/AD10)*AJ7,(AD15/AH9)*AI9)</f>
        <v>1.8192537690558408</v>
      </c>
      <c r="AK15" s="518"/>
      <c r="AL15" s="537">
        <f t="shared" si="15"/>
        <v>1.8192537690558408</v>
      </c>
      <c r="AM15" s="516">
        <v>1</v>
      </c>
      <c r="AN15" s="372">
        <f t="shared" si="16"/>
        <v>1.8192537690558408</v>
      </c>
      <c r="AO15" s="3926"/>
      <c r="AP15" s="515"/>
      <c r="AQ15" s="378"/>
      <c r="AR15" s="651" t="s">
        <v>259</v>
      </c>
      <c r="AS15" s="3381"/>
      <c r="AT15" s="3381"/>
      <c r="AU15" s="3381"/>
      <c r="AV15" s="3381"/>
      <c r="AW15" s="3381"/>
      <c r="AX15" s="3381"/>
      <c r="AY15" s="3381"/>
      <c r="AZ15" s="649"/>
      <c r="BA15" s="7"/>
      <c r="BB15" s="7"/>
      <c r="BC15" s="7"/>
      <c r="BD15" s="7"/>
      <c r="BE15" s="126">
        <v>2</v>
      </c>
      <c r="BF15" s="127" t="s">
        <v>71</v>
      </c>
      <c r="BG15" s="633">
        <v>0.05</v>
      </c>
      <c r="BH15" s="7"/>
      <c r="BI15" s="3630" t="s">
        <v>258</v>
      </c>
      <c r="BJ15" s="3631"/>
      <c r="BK15" s="3632"/>
      <c r="BL15" s="356"/>
      <c r="BM15" s="381">
        <v>15</v>
      </c>
    </row>
    <row r="16" spans="1:65" ht="15" customHeight="1">
      <c r="A16" s="3862"/>
      <c r="B16" s="551" t="str">
        <f t="shared" si="3"/>
        <v>Concentré de tomate</v>
      </c>
      <c r="C16" s="546"/>
      <c r="D16" s="3374">
        <f>IF(ISBLANK(AX7),(AA16/AS7)*AW7,(AA16/AX7)*AY7)</f>
        <v>0</v>
      </c>
      <c r="E16" s="533">
        <f t="shared" si="4"/>
        <v>0</v>
      </c>
      <c r="F16" s="532">
        <f>IF(ISBLANK(AX7),(AD16/AS7)*AW7,(AD16/AX7)*AY7)</f>
        <v>0.3571428571428571</v>
      </c>
      <c r="G16" s="3374">
        <f>IF(ISBLANK(AX8),(AA16/AS7)*AW8,(AA16/AX8)*AY8)</f>
        <v>0</v>
      </c>
      <c r="H16" s="533">
        <f t="shared" si="5"/>
        <v>0</v>
      </c>
      <c r="I16" s="532">
        <f>IF(ISBLANK(AX8),(AD16/AS7)*AW8,(AD16/AX8)*AY8)</f>
        <v>1.2999999999999998</v>
      </c>
      <c r="J16" s="3374">
        <f>IF(ISBLANK(AX9),(AA16/AS7)*AW9,(AA16/AX9)*AY9)</f>
        <v>0</v>
      </c>
      <c r="K16" s="533">
        <f t="shared" si="6"/>
        <v>0</v>
      </c>
      <c r="L16" s="532">
        <f>IF(ISBLANK(AX9),(AD16/AS7)*AW9,(AD16/AX9)*AY9)</f>
        <v>0.94285714285714273</v>
      </c>
      <c r="M16" s="3374">
        <f>IF(ISBLANK(AX10),(AA16/AS7)*AW10,(AA16/AX10)*AY10)</f>
        <v>0</v>
      </c>
      <c r="N16" s="533">
        <f t="shared" si="7"/>
        <v>0</v>
      </c>
      <c r="O16" s="532">
        <f>IF(ISBLANK(AX10),(AD16/AS7)*AW10,(AD16/AX10)*AY10)</f>
        <v>0.51428571428571423</v>
      </c>
      <c r="P16" s="3374">
        <f>IF(ISBLANK(AX11),(AA16/AS7)*AW11,(AA16/AX11)*AY11)</f>
        <v>0</v>
      </c>
      <c r="Q16" s="533">
        <f t="shared" si="8"/>
        <v>0</v>
      </c>
      <c r="R16" s="532">
        <f>IF(ISBLANK(AX11),(AD16/AS7)*AW11,(AD16/AX11)*AY11)</f>
        <v>0.11428571428571428</v>
      </c>
      <c r="S16" s="3374">
        <f>IF(ISBLANK(AX12),(AA16/AS7)*AW12,(AA16/AX12)*AY12)</f>
        <v>0</v>
      </c>
      <c r="T16" s="533">
        <f t="shared" si="9"/>
        <v>0</v>
      </c>
      <c r="U16" s="532">
        <f>IF(ISBLANK(AX12),(AD16/AS7)*AW12,(AD16/AX12)*AY12)</f>
        <v>0.06</v>
      </c>
      <c r="V16" s="531">
        <f t="shared" si="10"/>
        <v>3.2885714285714283</v>
      </c>
      <c r="W16" s="530">
        <f t="shared" si="11"/>
        <v>0</v>
      </c>
      <c r="X16" s="529">
        <f t="shared" si="12"/>
        <v>3.2885714285714283</v>
      </c>
      <c r="Y16" s="4021"/>
      <c r="Z16" s="515"/>
      <c r="AA16" s="528"/>
      <c r="AB16" s="527"/>
      <c r="AC16" s="526">
        <v>1</v>
      </c>
      <c r="AD16" s="525">
        <f t="shared" si="13"/>
        <v>1</v>
      </c>
      <c r="AE16" s="524"/>
      <c r="AF16" s="3247" t="s">
        <v>6690</v>
      </c>
      <c r="AG16" s="522"/>
      <c r="AH16" s="521">
        <f>IF(ISBLANK(AH9),(AA16/AD10)*AJ7,(AA16/AH9)*AI9)</f>
        <v>0</v>
      </c>
      <c r="AI16" s="520">
        <f t="shared" si="14"/>
        <v>0</v>
      </c>
      <c r="AJ16" s="519">
        <f>IF(ISBLANK(AH9),(AD16/AD10)*AJ7,(AD16/AH9)*AI9)</f>
        <v>0.4548134422639602</v>
      </c>
      <c r="AK16" s="518"/>
      <c r="AL16" s="517">
        <f t="shared" si="15"/>
        <v>0.4548134422639602</v>
      </c>
      <c r="AM16" s="516">
        <v>1</v>
      </c>
      <c r="AN16" s="372">
        <f t="shared" si="16"/>
        <v>0.4548134422639602</v>
      </c>
      <c r="AO16" s="3926"/>
      <c r="AP16" s="515"/>
      <c r="AQ16" s="378"/>
      <c r="AR16" s="648"/>
      <c r="AS16" s="356"/>
      <c r="AT16" s="356"/>
      <c r="AU16" s="378"/>
      <c r="AV16" s="378"/>
      <c r="AW16" s="647" t="s">
        <v>256</v>
      </c>
      <c r="AX16" s="3642" t="s">
        <v>255</v>
      </c>
      <c r="AY16" s="3642"/>
      <c r="AZ16" s="646"/>
      <c r="BA16" s="7"/>
      <c r="BB16" s="7"/>
      <c r="BC16" s="7"/>
      <c r="BD16" s="7"/>
      <c r="BE16" s="145"/>
      <c r="BF16" s="146" t="s">
        <v>73</v>
      </c>
      <c r="BG16" s="635"/>
      <c r="BH16" s="7"/>
      <c r="BI16" s="3630"/>
      <c r="BJ16" s="3631"/>
      <c r="BK16" s="3632"/>
      <c r="BL16" s="356"/>
      <c r="BM16" s="381">
        <v>15</v>
      </c>
    </row>
    <row r="17" spans="1:65" ht="15" customHeight="1">
      <c r="A17" s="3862"/>
      <c r="B17" s="551" t="str">
        <f t="shared" si="3"/>
        <v xml:space="preserve">Ail haché surgelé </v>
      </c>
      <c r="C17" s="546"/>
      <c r="D17" s="3374">
        <f>IF(ISBLANK(AX7),(AA17/AS7)*AW7,(AA17/AX7)*AY7)</f>
        <v>0</v>
      </c>
      <c r="E17" s="533">
        <f t="shared" si="4"/>
        <v>0</v>
      </c>
      <c r="F17" s="532">
        <f>IF(ISBLANK(AX7),(AD17/AS7)*AW7,(AD17/AX7)*AY7)</f>
        <v>7.1428571428571438E-2</v>
      </c>
      <c r="G17" s="3374">
        <f>IF(ISBLANK(AX8),(AA17/AS7)*AW8,(AA17/AX8)*AY8)</f>
        <v>0</v>
      </c>
      <c r="H17" s="533">
        <f t="shared" si="5"/>
        <v>0</v>
      </c>
      <c r="I17" s="532">
        <f>IF(ISBLANK(AX8),(AD17/AS7)*AW8,(AD17/AX8)*AY8)</f>
        <v>0.26</v>
      </c>
      <c r="J17" s="3374">
        <f>IF(ISBLANK(AX9),(AA17/AS7)*AW9,(AA17/AX9)*AY9)</f>
        <v>0</v>
      </c>
      <c r="K17" s="533">
        <f t="shared" si="6"/>
        <v>0</v>
      </c>
      <c r="L17" s="532">
        <f>IF(ISBLANK(AX9),(AD17/AS7)*AW9,(AD17/AX9)*AY9)</f>
        <v>0.18857142857142858</v>
      </c>
      <c r="M17" s="3374">
        <f>IF(ISBLANK(AX10),(AA17/AS7)*AW10,(AA17/AX10)*AY10)</f>
        <v>0</v>
      </c>
      <c r="N17" s="533">
        <f t="shared" si="7"/>
        <v>0</v>
      </c>
      <c r="O17" s="532">
        <f>IF(ISBLANK(AX10),(AD17/AS7)*AW10,(AD17/AX10)*AY10)</f>
        <v>0.10285714285714287</v>
      </c>
      <c r="P17" s="3374">
        <f>IF(ISBLANK(AX11),(AA17/AS7)*AW11,(AA17/AX11)*AY11)</f>
        <v>0</v>
      </c>
      <c r="Q17" s="533">
        <f t="shared" si="8"/>
        <v>0</v>
      </c>
      <c r="R17" s="532">
        <f>IF(ISBLANK(AX11),(AD17/AS7)*AW11,(AD17/AX11)*AY11)</f>
        <v>2.2857142857142861E-2</v>
      </c>
      <c r="S17" s="3374">
        <f>IF(ISBLANK(AX12),(AA17/AS7)*AW12,(AA17/AX12)*AY12)</f>
        <v>0</v>
      </c>
      <c r="T17" s="533">
        <f t="shared" si="9"/>
        <v>0</v>
      </c>
      <c r="U17" s="532">
        <f>IF(ISBLANK(AX12),(AD17/AS7)*AW12,(AD17/AX12)*AY12)</f>
        <v>1.2E-2</v>
      </c>
      <c r="V17" s="531">
        <f t="shared" si="10"/>
        <v>0.65771428571428581</v>
      </c>
      <c r="W17" s="530">
        <f t="shared" si="11"/>
        <v>0</v>
      </c>
      <c r="X17" s="529">
        <f t="shared" si="12"/>
        <v>1.3154285714285716E-3</v>
      </c>
      <c r="Y17" s="4021"/>
      <c r="Z17" s="515"/>
      <c r="AA17" s="545"/>
      <c r="AB17" s="544"/>
      <c r="AC17" s="543">
        <v>0.2</v>
      </c>
      <c r="AD17" s="542">
        <f t="shared" si="13"/>
        <v>0.2</v>
      </c>
      <c r="AE17" s="541"/>
      <c r="AF17" s="3247" t="s">
        <v>6689</v>
      </c>
      <c r="AG17" s="522"/>
      <c r="AH17" s="540">
        <f>IF(ISBLANK(AH9),(AA17/AD10)*AJ7,(AA17/AH9)*AI9)</f>
        <v>0</v>
      </c>
      <c r="AI17" s="539">
        <f t="shared" si="14"/>
        <v>0</v>
      </c>
      <c r="AJ17" s="538">
        <f>IF(ISBLANK(AH9),(AD17/AD10)*AJ7,(AD17/AH9)*AI9)</f>
        <v>9.0962688452792054E-2</v>
      </c>
      <c r="AK17" s="518"/>
      <c r="AL17" s="537">
        <f t="shared" si="15"/>
        <v>9.0962688452792054E-2</v>
      </c>
      <c r="AM17" s="642">
        <v>2E-3</v>
      </c>
      <c r="AN17" s="372">
        <f t="shared" si="16"/>
        <v>1.819253769055841E-4</v>
      </c>
      <c r="AO17" s="3926"/>
      <c r="AP17" s="515"/>
      <c r="AQ17" s="378"/>
      <c r="AR17" s="645"/>
      <c r="AS17" s="590"/>
      <c r="AT17" s="590"/>
      <c r="AU17" s="644"/>
      <c r="AV17" s="590"/>
      <c r="AW17" s="644"/>
      <c r="AX17" s="643"/>
      <c r="AY17" s="643"/>
      <c r="AZ17" s="608"/>
      <c r="BA17" s="378"/>
      <c r="BB17" s="378"/>
      <c r="BC17" s="378"/>
      <c r="BD17" s="378"/>
      <c r="BE17" s="126"/>
      <c r="BF17" s="127"/>
      <c r="BG17" s="633">
        <v>0.15</v>
      </c>
      <c r="BH17" s="378"/>
      <c r="BI17" s="3630"/>
      <c r="BJ17" s="3631"/>
      <c r="BK17" s="3632"/>
      <c r="BL17" s="356"/>
      <c r="BM17" s="381">
        <v>15</v>
      </c>
    </row>
    <row r="18" spans="1:65" ht="15" customHeight="1">
      <c r="A18" s="3862"/>
      <c r="B18" s="551" t="str">
        <f t="shared" si="3"/>
        <v xml:space="preserve">Farine  </v>
      </c>
      <c r="C18" s="546"/>
      <c r="D18" s="3374">
        <f>IF(ISBLANK(AX7),(AA18/AS7)*AW7,(AA18/AX7)*AY7)</f>
        <v>0</v>
      </c>
      <c r="E18" s="533">
        <f t="shared" si="4"/>
        <v>0</v>
      </c>
      <c r="F18" s="532">
        <f>IF(ISBLANK(AX7),(AD18/AS7)*AW7,(AD18/AX7)*AY7)</f>
        <v>0.17857142857142855</v>
      </c>
      <c r="G18" s="3374">
        <f>IF(ISBLANK(AX8),(AA18/AS7)*AW8,(AA18/AX8)*AY8)</f>
        <v>0</v>
      </c>
      <c r="H18" s="533">
        <f t="shared" si="5"/>
        <v>0</v>
      </c>
      <c r="I18" s="532">
        <f>IF(ISBLANK(AX8),(AD18/AS7)*AW8,(AD18/AX8)*AY8)</f>
        <v>0.64999999999999991</v>
      </c>
      <c r="J18" s="3374">
        <f>IF(ISBLANK(AX9),(AA18/AS7)*AW9,(AA18/AX9)*AY9)</f>
        <v>0</v>
      </c>
      <c r="K18" s="533">
        <f t="shared" si="6"/>
        <v>0</v>
      </c>
      <c r="L18" s="532">
        <f>IF(ISBLANK(AX9),(AD18/AS7)*AW9,(AD18/AX9)*AY9)</f>
        <v>0.47142857142857136</v>
      </c>
      <c r="M18" s="3374">
        <f>IF(ISBLANK(AX10),(AA18/AS7)*AW10,(AA18/AX10)*AY10)</f>
        <v>0</v>
      </c>
      <c r="N18" s="533">
        <f t="shared" si="7"/>
        <v>0</v>
      </c>
      <c r="O18" s="532">
        <f>IF(ISBLANK(AX10),(AD18/AS7)*AW10,(AD18/AX10)*AY10)</f>
        <v>0.25714285714285712</v>
      </c>
      <c r="P18" s="3374">
        <f>IF(ISBLANK(AX11),(AA18/AS7)*AW11,(AA18/AX11)*AY11)</f>
        <v>0</v>
      </c>
      <c r="Q18" s="533">
        <f t="shared" si="8"/>
        <v>0</v>
      </c>
      <c r="R18" s="532">
        <f>IF(ISBLANK(AX11),(AD18/AS7)*AW11,(AD18/AX11)*AY11)</f>
        <v>5.7142857142857141E-2</v>
      </c>
      <c r="S18" s="3374">
        <f>IF(ISBLANK(AX12),(AA18/AS7)*AW12,(AA18/AX12)*AY12)</f>
        <v>0</v>
      </c>
      <c r="T18" s="533">
        <f t="shared" si="9"/>
        <v>0</v>
      </c>
      <c r="U18" s="532">
        <f>IF(ISBLANK(AX12),(AD18/AS7)*AW12,(AD18/AX12)*AY12)</f>
        <v>0.03</v>
      </c>
      <c r="V18" s="531">
        <f t="shared" si="10"/>
        <v>1.6442857142857141</v>
      </c>
      <c r="W18" s="530">
        <f t="shared" si="11"/>
        <v>0</v>
      </c>
      <c r="X18" s="529">
        <f t="shared" si="12"/>
        <v>1.6442857142857142E-3</v>
      </c>
      <c r="Y18" s="4021"/>
      <c r="Z18" s="515"/>
      <c r="AA18" s="528"/>
      <c r="AB18" s="527"/>
      <c r="AC18" s="526">
        <v>0.5</v>
      </c>
      <c r="AD18" s="525">
        <f t="shared" si="13"/>
        <v>0.5</v>
      </c>
      <c r="AE18" s="524"/>
      <c r="AF18" s="3247" t="s">
        <v>6688</v>
      </c>
      <c r="AG18" s="522"/>
      <c r="AH18" s="521">
        <f>IF(ISBLANK(AH9),(AA18/AD10)*AJ7,(AA18/AH9)*AI9)</f>
        <v>0</v>
      </c>
      <c r="AI18" s="520">
        <f t="shared" si="14"/>
        <v>0</v>
      </c>
      <c r="AJ18" s="519">
        <f>IF(ISBLANK(AH9),(AD18/AD10)*AJ7,(AD18/AH9)*AI9)</f>
        <v>0.2274067211319801</v>
      </c>
      <c r="AK18" s="518"/>
      <c r="AL18" s="517">
        <f t="shared" si="15"/>
        <v>0.2274067211319801</v>
      </c>
      <c r="AM18" s="642">
        <v>1E-3</v>
      </c>
      <c r="AN18" s="372">
        <f t="shared" si="16"/>
        <v>2.274067211319801E-4</v>
      </c>
      <c r="AO18" s="3926"/>
      <c r="AP18" s="515"/>
      <c r="AQ18" s="378"/>
      <c r="AR18" s="639" t="s">
        <v>250</v>
      </c>
      <c r="AS18" s="378"/>
      <c r="AT18" s="378"/>
      <c r="AU18" s="638" t="s">
        <v>249</v>
      </c>
      <c r="AV18" s="378"/>
      <c r="AW18" s="638" t="s">
        <v>242</v>
      </c>
      <c r="AX18" s="641"/>
      <c r="AY18" s="641"/>
      <c r="AZ18" s="640"/>
      <c r="BA18" s="378"/>
      <c r="BB18" s="378"/>
      <c r="BC18" s="378"/>
      <c r="BD18" s="378"/>
      <c r="BE18" s="145"/>
      <c r="BF18" s="146" t="s">
        <v>77</v>
      </c>
      <c r="BG18" s="635"/>
      <c r="BH18" s="378"/>
      <c r="BI18" s="3630" t="s">
        <v>248</v>
      </c>
      <c r="BJ18" s="3631"/>
      <c r="BK18" s="3632"/>
      <c r="BL18" s="356"/>
      <c r="BM18" s="381">
        <v>15</v>
      </c>
    </row>
    <row r="19" spans="1:65" ht="15" customHeight="1">
      <c r="A19" s="3862"/>
      <c r="B19" s="551" t="str">
        <f t="shared" si="3"/>
        <v>Bouquet garni</v>
      </c>
      <c r="C19" s="546"/>
      <c r="D19" s="3374">
        <f>IF(ISBLANK(AX7),(AA19/AS7)*AW7,(AA19/AX7)*AY7)</f>
        <v>0</v>
      </c>
      <c r="E19" s="533" t="str">
        <f t="shared" si="4"/>
        <v>PM</v>
      </c>
      <c r="F19" s="532">
        <f>IF(ISBLANK(AX7),(AD19/AS7)*AW7,(AD19/AX7)*AY7)</f>
        <v>0</v>
      </c>
      <c r="G19" s="3374">
        <f>IF(ISBLANK(AX8),(AA19/AS7)*AW8,(AA19/AX8)*AY8)</f>
        <v>0</v>
      </c>
      <c r="H19" s="533" t="str">
        <f t="shared" si="5"/>
        <v>PM</v>
      </c>
      <c r="I19" s="532">
        <f>IF(ISBLANK(AX8),(AD19/AS7)*AW8,(AD19/AX8)*AY8)</f>
        <v>0</v>
      </c>
      <c r="J19" s="3374">
        <f>IF(ISBLANK(AX9),(AA19/AS7)*AW9,(AA19/AX9)*AY9)</f>
        <v>0</v>
      </c>
      <c r="K19" s="533" t="str">
        <f t="shared" si="6"/>
        <v>PM</v>
      </c>
      <c r="L19" s="532">
        <f>IF(ISBLANK(AX9),(AD19/AS7)*AW9,(AD19/AX9)*AY9)</f>
        <v>0</v>
      </c>
      <c r="M19" s="3374">
        <f>IF(ISBLANK(AX10),(AA19/AS7)*AW10,(AA19/AX10)*AY10)</f>
        <v>0</v>
      </c>
      <c r="N19" s="533" t="str">
        <f t="shared" si="7"/>
        <v>PM</v>
      </c>
      <c r="O19" s="532">
        <f>IF(ISBLANK(AX10),(AD19/AS7)*AW10,(AD19/AX10)*AY10)</f>
        <v>0</v>
      </c>
      <c r="P19" s="3374">
        <f>IF(ISBLANK(AX11),(AA19/AS7)*AW11,(AA19/AX11)*AY11)</f>
        <v>0</v>
      </c>
      <c r="Q19" s="533" t="str">
        <f t="shared" si="8"/>
        <v>PM</v>
      </c>
      <c r="R19" s="532">
        <f>IF(ISBLANK(AX11),(AD19/AS7)*AW11,(AD19/AX11)*AY11)</f>
        <v>0</v>
      </c>
      <c r="S19" s="3374">
        <f>IF(ISBLANK(AX12),(AA19/AS7)*AW12,(AA19/AX12)*AY12)</f>
        <v>0</v>
      </c>
      <c r="T19" s="533" t="str">
        <f t="shared" si="9"/>
        <v>PM</v>
      </c>
      <c r="U19" s="532">
        <f>IF(ISBLANK(AX12),(AD19/AS7)*AW12,(AD19/AX12)*AY12)</f>
        <v>0</v>
      </c>
      <c r="V19" s="531">
        <f t="shared" si="10"/>
        <v>0</v>
      </c>
      <c r="W19" s="530">
        <f t="shared" si="11"/>
        <v>0</v>
      </c>
      <c r="X19" s="529">
        <f t="shared" si="12"/>
        <v>0</v>
      </c>
      <c r="Y19" s="4021"/>
      <c r="Z19" s="515"/>
      <c r="AA19" s="545"/>
      <c r="AB19" s="544" t="s">
        <v>327</v>
      </c>
      <c r="AC19" s="543"/>
      <c r="AD19" s="542">
        <f t="shared" si="13"/>
        <v>0</v>
      </c>
      <c r="AE19" s="541"/>
      <c r="AF19" s="3247" t="s">
        <v>6687</v>
      </c>
      <c r="AG19" s="522"/>
      <c r="AH19" s="540">
        <f>IF(ISBLANK(AH9),(AA19/AD10)*AJ7,(AA19/AH9)*AI9)</f>
        <v>0</v>
      </c>
      <c r="AI19" s="539" t="str">
        <f t="shared" si="14"/>
        <v>PM</v>
      </c>
      <c r="AJ19" s="538">
        <f>IF(ISBLANK(AH9),(AD19/AD10)*AJ7,(AD19/AH9)*AI9)</f>
        <v>0</v>
      </c>
      <c r="AK19" s="518"/>
      <c r="AL19" s="537">
        <f t="shared" si="15"/>
        <v>0</v>
      </c>
      <c r="AM19" s="516"/>
      <c r="AN19" s="372">
        <f t="shared" si="16"/>
        <v>0</v>
      </c>
      <c r="AO19" s="3926"/>
      <c r="AP19" s="515"/>
      <c r="AQ19" s="378"/>
      <c r="AR19" s="639"/>
      <c r="AS19" s="378"/>
      <c r="AT19" s="378"/>
      <c r="AU19" s="638"/>
      <c r="AV19" s="378"/>
      <c r="AW19" s="637" t="s">
        <v>247</v>
      </c>
      <c r="AX19" s="637"/>
      <c r="AY19" s="637"/>
      <c r="AZ19" s="636"/>
      <c r="BA19" s="378"/>
      <c r="BB19" s="378"/>
      <c r="BC19" s="378"/>
      <c r="BD19" s="378"/>
      <c r="BE19" s="126">
        <v>3</v>
      </c>
      <c r="BF19" s="127" t="s">
        <v>79</v>
      </c>
      <c r="BG19" s="633">
        <v>0.02</v>
      </c>
      <c r="BH19" s="378"/>
      <c r="BI19" s="3630"/>
      <c r="BJ19" s="3631"/>
      <c r="BK19" s="3632"/>
      <c r="BL19" s="356"/>
      <c r="BM19" s="381">
        <v>15</v>
      </c>
    </row>
    <row r="20" spans="1:65" ht="15" customHeight="1">
      <c r="A20" s="3862"/>
      <c r="B20" s="551" t="str">
        <f t="shared" si="3"/>
        <v>Fond brun clair de veau</v>
      </c>
      <c r="C20" s="546"/>
      <c r="D20" s="3374">
        <f>IF(ISBLANK(AX7),(AA20/AS7)*AW7,(AA20/AX7)*AY7)</f>
        <v>0</v>
      </c>
      <c r="E20" s="533">
        <f t="shared" si="4"/>
        <v>0</v>
      </c>
      <c r="F20" s="532">
        <f>IF(ISBLANK(AX7),(AD20/AS7)*AW7,(AD20/AX7)*AY7)</f>
        <v>4.2857142857142856</v>
      </c>
      <c r="G20" s="3374">
        <f>IF(ISBLANK(AX8),(AA20/AS7)*AW8,(AA20/AX8)*AY8)</f>
        <v>0</v>
      </c>
      <c r="H20" s="533">
        <f t="shared" si="5"/>
        <v>0</v>
      </c>
      <c r="I20" s="532">
        <f>IF(ISBLANK(AX8),(AD20/AS7)*AW8,(AD20/AX8)*AY8)</f>
        <v>15.599999999999998</v>
      </c>
      <c r="J20" s="3374">
        <f>IF(ISBLANK(AX9),(AA20/AS7)*AW9,(AA20/AX9)*AY9)</f>
        <v>0</v>
      </c>
      <c r="K20" s="533">
        <f t="shared" si="6"/>
        <v>0</v>
      </c>
      <c r="L20" s="532">
        <f>IF(ISBLANK(AX9),(AD20/AS7)*AW9,(AD20/AX9)*AY9)</f>
        <v>11.314285714285713</v>
      </c>
      <c r="M20" s="3374">
        <f>IF(ISBLANK(AX10),(AA20/AS7)*AW10,(AA20/AX10)*AY10)</f>
        <v>0</v>
      </c>
      <c r="N20" s="533">
        <f t="shared" si="7"/>
        <v>0</v>
      </c>
      <c r="O20" s="532">
        <f>IF(ISBLANK(AX10),(AD20/AS7)*AW10,(AD20/AX10)*AY10)</f>
        <v>6.1714285714285708</v>
      </c>
      <c r="P20" s="3374">
        <f>IF(ISBLANK(AX11),(AA20/AS7)*AW11,(AA20/AX11)*AY11)</f>
        <v>0</v>
      </c>
      <c r="Q20" s="533">
        <f t="shared" si="8"/>
        <v>0</v>
      </c>
      <c r="R20" s="532">
        <f>IF(ISBLANK(AX11),(AD20/AS7)*AW11,(AD20/AX11)*AY11)</f>
        <v>1.3714285714285714</v>
      </c>
      <c r="S20" s="3374">
        <f>IF(ISBLANK(AX12),(AA20/AS7)*AW12,(AA20/AX12)*AY12)</f>
        <v>0</v>
      </c>
      <c r="T20" s="533">
        <f t="shared" si="9"/>
        <v>0</v>
      </c>
      <c r="U20" s="532">
        <f>IF(ISBLANK(AX12),(AD20/AS7)*AW12,(AD20/AX12)*AY12)</f>
        <v>0.72</v>
      </c>
      <c r="V20" s="531">
        <f t="shared" si="10"/>
        <v>39.462857142857139</v>
      </c>
      <c r="W20" s="530">
        <f t="shared" si="11"/>
        <v>0</v>
      </c>
      <c r="X20" s="529">
        <f t="shared" si="12"/>
        <v>0</v>
      </c>
      <c r="Y20" s="4021"/>
      <c r="Z20" s="515"/>
      <c r="AA20" s="528"/>
      <c r="AB20" s="527"/>
      <c r="AC20" s="526">
        <v>12</v>
      </c>
      <c r="AD20" s="525">
        <f t="shared" si="13"/>
        <v>12</v>
      </c>
      <c r="AE20" s="524"/>
      <c r="AF20" s="3247" t="s">
        <v>6686</v>
      </c>
      <c r="AG20" s="522"/>
      <c r="AH20" s="521">
        <f>IF(ISBLANK(AH9),(AA20/AD10)*AJ7,(AA20/AH9)*AI9)</f>
        <v>0</v>
      </c>
      <c r="AI20" s="520">
        <f t="shared" si="14"/>
        <v>0</v>
      </c>
      <c r="AJ20" s="519">
        <f>IF(ISBLANK(AH9),(AD20/AD10)*AJ7,(AD20/AH9)*AI9)</f>
        <v>5.4577613071675231</v>
      </c>
      <c r="AK20" s="518"/>
      <c r="AL20" s="517">
        <f t="shared" si="15"/>
        <v>5.4577613071675231</v>
      </c>
      <c r="AM20" s="516"/>
      <c r="AN20" s="372">
        <f t="shared" si="16"/>
        <v>0</v>
      </c>
      <c r="AO20" s="3926"/>
      <c r="AP20" s="515"/>
      <c r="AQ20" s="378"/>
      <c r="AR20" s="609"/>
      <c r="AS20" s="378"/>
      <c r="AT20" s="378"/>
      <c r="AU20" s="378"/>
      <c r="AV20" s="378"/>
      <c r="AW20" s="378"/>
      <c r="AX20" s="378"/>
      <c r="AY20" s="378"/>
      <c r="AZ20" s="608"/>
      <c r="BA20" s="378"/>
      <c r="BB20" s="378"/>
      <c r="BC20" s="378"/>
      <c r="BD20" s="378"/>
      <c r="BE20" s="145"/>
      <c r="BF20" s="146" t="s">
        <v>81</v>
      </c>
      <c r="BG20" s="635"/>
      <c r="BH20" s="378"/>
      <c r="BI20" s="3630"/>
      <c r="BJ20" s="3631"/>
      <c r="BK20" s="3632"/>
      <c r="BL20" s="356"/>
      <c r="BM20" s="381">
        <v>15</v>
      </c>
    </row>
    <row r="21" spans="1:65" ht="15" customHeight="1">
      <c r="A21" s="3862"/>
      <c r="B21" s="551" t="str">
        <f t="shared" si="3"/>
        <v>Haricots blancs (coco)</v>
      </c>
      <c r="C21" s="546"/>
      <c r="D21" s="3374">
        <f>IF(ISBLANK(AX7),(AA21/AS7)*AW7,(AA21/AX7)*AY7)</f>
        <v>0</v>
      </c>
      <c r="E21" s="533">
        <f t="shared" si="4"/>
        <v>0</v>
      </c>
      <c r="F21" s="532">
        <f>IF(ISBLANK(AX7),(AD21/AS7)*AW7,(AD21/AX7)*AY7)</f>
        <v>0.3571428571428571</v>
      </c>
      <c r="G21" s="3374">
        <f>IF(ISBLANK(AX8),(AA21/AS7)*AW8,(AA21/AX8)*AY8)</f>
        <v>0</v>
      </c>
      <c r="H21" s="533">
        <f t="shared" si="5"/>
        <v>0</v>
      </c>
      <c r="I21" s="532">
        <f>IF(ISBLANK(AX8),(AD21/AS7)*AW8,(AD21/AX8)*AY8)</f>
        <v>1.2999999999999998</v>
      </c>
      <c r="J21" s="3374">
        <f>IF(ISBLANK(AX9),(AA21/AS7)*AW9,(AA21/AX9)*AY9)</f>
        <v>0</v>
      </c>
      <c r="K21" s="533">
        <f t="shared" si="6"/>
        <v>0</v>
      </c>
      <c r="L21" s="532">
        <f>IF(ISBLANK(AX9),(AD21/AS7)*AW9,(AD21/AX9)*AY9)</f>
        <v>0.94285714285714273</v>
      </c>
      <c r="M21" s="3374">
        <f>IF(ISBLANK(AX10),(AA21/AS7)*AW10,(AA21/AX10)*AY10)</f>
        <v>0</v>
      </c>
      <c r="N21" s="533">
        <f t="shared" si="7"/>
        <v>0</v>
      </c>
      <c r="O21" s="532">
        <f>IF(ISBLANK(AX10),(AD21/AS7)*AW10,(AD21/AX10)*AY10)</f>
        <v>0.51428571428571423</v>
      </c>
      <c r="P21" s="3374">
        <f>IF(ISBLANK(AX11),(AA21/AS7)*AW11,(AA21/AX11)*AY11)</f>
        <v>0</v>
      </c>
      <c r="Q21" s="533">
        <f t="shared" si="8"/>
        <v>0</v>
      </c>
      <c r="R21" s="532">
        <f>IF(ISBLANK(AX11),(AD21/AS7)*AW11,(AD21/AX11)*AY11)</f>
        <v>0.11428571428571428</v>
      </c>
      <c r="S21" s="3374">
        <f>IF(ISBLANK(AX12),(AA21/AS7)*AW12,(AA21/AX12)*AY12)</f>
        <v>0</v>
      </c>
      <c r="T21" s="533">
        <f t="shared" si="9"/>
        <v>0</v>
      </c>
      <c r="U21" s="532">
        <f>IF(ISBLANK(AX12),(AD21/AS7)*AW12,(AD21/AX12)*AY12)</f>
        <v>0.06</v>
      </c>
      <c r="V21" s="531">
        <f t="shared" si="10"/>
        <v>3.2885714285714283</v>
      </c>
      <c r="W21" s="530">
        <f t="shared" si="11"/>
        <v>0</v>
      </c>
      <c r="X21" s="529">
        <f t="shared" si="12"/>
        <v>0</v>
      </c>
      <c r="Y21" s="4021"/>
      <c r="Z21" s="515"/>
      <c r="AA21" s="545"/>
      <c r="AB21" s="544"/>
      <c r="AC21" s="543">
        <v>1</v>
      </c>
      <c r="AD21" s="542">
        <f t="shared" si="13"/>
        <v>1</v>
      </c>
      <c r="AE21" s="541"/>
      <c r="AF21" s="3247" t="s">
        <v>6685</v>
      </c>
      <c r="AG21" s="522"/>
      <c r="AH21" s="540">
        <f>IF(ISBLANK(AH9),(AA21/AD10)*AJ7,(AA21/AH9)*AI9)</f>
        <v>0</v>
      </c>
      <c r="AI21" s="539">
        <f t="shared" si="14"/>
        <v>0</v>
      </c>
      <c r="AJ21" s="538">
        <f>IF(ISBLANK(AH9),(AD21/AD10)*AJ7,(AD21/AH9)*AI9)</f>
        <v>0.4548134422639602</v>
      </c>
      <c r="AK21" s="518"/>
      <c r="AL21" s="537">
        <f t="shared" si="15"/>
        <v>0.4548134422639602</v>
      </c>
      <c r="AM21" s="516"/>
      <c r="AN21" s="372">
        <f t="shared" si="16"/>
        <v>0</v>
      </c>
      <c r="AO21" s="3926"/>
      <c r="AP21" s="515"/>
      <c r="AQ21" s="378"/>
      <c r="AR21" s="609"/>
      <c r="AS21" s="3737" t="s">
        <v>246</v>
      </c>
      <c r="AT21" s="3738" t="s">
        <v>245</v>
      </c>
      <c r="AU21" s="3697" t="s">
        <v>46</v>
      </c>
      <c r="AV21" s="3698" t="s">
        <v>244</v>
      </c>
      <c r="AW21" s="3735" t="s">
        <v>243</v>
      </c>
      <c r="AX21" s="3736" t="s">
        <v>225</v>
      </c>
      <c r="AY21" s="634"/>
      <c r="AZ21" s="608"/>
      <c r="BA21" s="378"/>
      <c r="BB21" s="378"/>
      <c r="BC21" s="378"/>
      <c r="BD21" s="378"/>
      <c r="BE21" s="126">
        <v>5</v>
      </c>
      <c r="BF21" s="127" t="s">
        <v>83</v>
      </c>
      <c r="BG21" s="633">
        <v>0.05</v>
      </c>
      <c r="BH21" s="378"/>
      <c r="BI21" s="3610" t="s">
        <v>177</v>
      </c>
      <c r="BJ21" s="3611"/>
      <c r="BK21" s="3612"/>
      <c r="BL21" s="356"/>
      <c r="BM21" s="381">
        <v>15</v>
      </c>
    </row>
    <row r="22" spans="1:65" ht="15" customHeight="1">
      <c r="A22" s="3862"/>
      <c r="B22" s="551">
        <f t="shared" si="3"/>
        <v>0</v>
      </c>
      <c r="C22" s="546"/>
      <c r="D22" s="3374">
        <f>IF(ISBLANK(AX7),(AA22/AS7)*AW7,(AA22/AX7)*AY7)</f>
        <v>0</v>
      </c>
      <c r="E22" s="533">
        <f t="shared" si="4"/>
        <v>0</v>
      </c>
      <c r="F22" s="532">
        <f>IF(ISBLANK(AX7),(AD22/AS7)*AW7,(AD22/AX7)*AY7)</f>
        <v>0</v>
      </c>
      <c r="G22" s="3374">
        <f>IF(ISBLANK(AX8),(AA22/AS7)*AW8,(AA22/AX8)*AY8)</f>
        <v>0</v>
      </c>
      <c r="H22" s="533">
        <f t="shared" si="5"/>
        <v>0</v>
      </c>
      <c r="I22" s="532">
        <f>IF(ISBLANK(AX8),(AD22/AS7)*AW8,(AD22/AX8)*AY8)</f>
        <v>0</v>
      </c>
      <c r="J22" s="3374">
        <f>IF(ISBLANK(AX9),(AA22/AS7)*AW9,(AA22/AX9)*AY9)</f>
        <v>0</v>
      </c>
      <c r="K22" s="533">
        <f t="shared" si="6"/>
        <v>0</v>
      </c>
      <c r="L22" s="532">
        <f>IF(ISBLANK(AX9),(AD22/AS7)*AW9,(AD22/AX9)*AY9)</f>
        <v>0</v>
      </c>
      <c r="M22" s="3374">
        <f>IF(ISBLANK(AX10),(AA22/AS7)*AW10,(AA22/AX10)*AY10)</f>
        <v>0</v>
      </c>
      <c r="N22" s="533">
        <f t="shared" si="7"/>
        <v>0</v>
      </c>
      <c r="O22" s="532">
        <f>IF(ISBLANK(AX10),(AD22/AS7)*AW10,(AD22/AX10)*AY10)</f>
        <v>0</v>
      </c>
      <c r="P22" s="3374">
        <f>IF(ISBLANK(AX11),(AA22/AS7)*AW11,(AA22/AX11)*AY11)</f>
        <v>0</v>
      </c>
      <c r="Q22" s="533">
        <f t="shared" si="8"/>
        <v>0</v>
      </c>
      <c r="R22" s="532">
        <f>IF(ISBLANK(AX11),(AD22/AS7)*AW11,(AD22/AX11)*AY11)</f>
        <v>0</v>
      </c>
      <c r="S22" s="3374">
        <f>IF(ISBLANK(AX12),(AA22/AS7)*AW12,(AA22/AX12)*AY12)</f>
        <v>0</v>
      </c>
      <c r="T22" s="533">
        <f t="shared" si="9"/>
        <v>0</v>
      </c>
      <c r="U22" s="532">
        <f>IF(ISBLANK(AX12),(AD22/AS7)*AW12,(AD22/AX12)*AY12)</f>
        <v>0</v>
      </c>
      <c r="V22" s="531">
        <f t="shared" si="10"/>
        <v>0</v>
      </c>
      <c r="W22" s="530">
        <f t="shared" si="11"/>
        <v>0</v>
      </c>
      <c r="X22" s="529">
        <f t="shared" si="12"/>
        <v>0</v>
      </c>
      <c r="Y22" s="4021"/>
      <c r="Z22" s="515"/>
      <c r="AA22" s="528"/>
      <c r="AB22" s="527"/>
      <c r="AC22" s="526"/>
      <c r="AD22" s="525">
        <f t="shared" si="13"/>
        <v>0</v>
      </c>
      <c r="AE22" s="524"/>
      <c r="AF22" s="3247"/>
      <c r="AG22" s="522"/>
      <c r="AH22" s="521">
        <f>IF(ISBLANK(AH9),(AA22/AD10)*AJ7,(AA22/AH9)*AI9)</f>
        <v>0</v>
      </c>
      <c r="AI22" s="520">
        <f t="shared" si="14"/>
        <v>0</v>
      </c>
      <c r="AJ22" s="519">
        <f>IF(ISBLANK(AH9),(AD22/AD10)*AJ7,(AD22/AH9)*AI9)</f>
        <v>0</v>
      </c>
      <c r="AK22" s="518"/>
      <c r="AL22" s="517">
        <f t="shared" si="15"/>
        <v>0</v>
      </c>
      <c r="AM22" s="516"/>
      <c r="AN22" s="372">
        <f t="shared" si="16"/>
        <v>0</v>
      </c>
      <c r="AO22" s="3926"/>
      <c r="AP22" s="515"/>
      <c r="AQ22" s="378"/>
      <c r="AR22" s="609"/>
      <c r="AS22" s="3737"/>
      <c r="AT22" s="3738"/>
      <c r="AU22" s="3697"/>
      <c r="AV22" s="3698"/>
      <c r="AW22" s="3735"/>
      <c r="AX22" s="3736"/>
      <c r="AY22" s="632" t="str">
        <f>ADDRESS(ROW(AX23),COLUMN(AX23),4)</f>
        <v>AX23</v>
      </c>
      <c r="AZ22" s="608"/>
      <c r="BA22" s="378"/>
      <c r="BB22" s="378"/>
      <c r="BC22" s="378"/>
      <c r="BD22" s="378"/>
      <c r="BE22" s="168"/>
      <c r="BF22" s="169"/>
      <c r="BG22" s="447"/>
      <c r="BH22" s="378"/>
      <c r="BI22" s="3610"/>
      <c r="BJ22" s="3611"/>
      <c r="BK22" s="3612"/>
      <c r="BL22" s="356"/>
      <c r="BM22" s="381">
        <v>15</v>
      </c>
    </row>
    <row r="23" spans="1:65" ht="15" customHeight="1">
      <c r="A23" s="3862"/>
      <c r="B23" s="551" t="str">
        <f t="shared" si="3"/>
        <v xml:space="preserve">Garniture aromatique </v>
      </c>
      <c r="C23" s="546"/>
      <c r="D23" s="3374">
        <f>IF(ISBLANK(AX7),(AA23/AS7)*AW7,(AA23/AX7)*AY7)</f>
        <v>0</v>
      </c>
      <c r="E23" s="533">
        <f t="shared" si="4"/>
        <v>0</v>
      </c>
      <c r="F23" s="532">
        <f>IF(ISBLANK(AX7),(AD23/AS7)*AW7,(AD23/AX7)*AY7)</f>
        <v>0</v>
      </c>
      <c r="G23" s="3374">
        <f>IF(ISBLANK(AX8),(AA23/AS7)*AW8,(AA23/AX8)*AY8)</f>
        <v>0</v>
      </c>
      <c r="H23" s="533">
        <f t="shared" si="5"/>
        <v>0</v>
      </c>
      <c r="I23" s="532">
        <f>IF(ISBLANK(AX8),(AD23/AS7)*AW8,(AD23/AX8)*AY8)</f>
        <v>0</v>
      </c>
      <c r="J23" s="3374">
        <f>IF(ISBLANK(AX9),(AA23/AS7)*AW9,(AA23/AX9)*AY9)</f>
        <v>0</v>
      </c>
      <c r="K23" s="533">
        <f t="shared" si="6"/>
        <v>0</v>
      </c>
      <c r="L23" s="532">
        <f>IF(ISBLANK(AX9),(AD23/AS7)*AW9,(AD23/AX9)*AY9)</f>
        <v>0</v>
      </c>
      <c r="M23" s="3374">
        <f>IF(ISBLANK(AX10),(AA23/AS7)*AW10,(AA23/AX10)*AY10)</f>
        <v>0</v>
      </c>
      <c r="N23" s="533">
        <f t="shared" si="7"/>
        <v>0</v>
      </c>
      <c r="O23" s="532">
        <f>IF(ISBLANK(AX10),(AD23/AS7)*AW10,(AD23/AX10)*AY10)</f>
        <v>0</v>
      </c>
      <c r="P23" s="3374">
        <f>IF(ISBLANK(AX11),(AA23/AS7)*AW11,(AA23/AX11)*AY11)</f>
        <v>0</v>
      </c>
      <c r="Q23" s="533">
        <f t="shared" si="8"/>
        <v>0</v>
      </c>
      <c r="R23" s="532">
        <f>IF(ISBLANK(AX11),(AD23/AS7)*AW11,(AD23/AX11)*AY11)</f>
        <v>0</v>
      </c>
      <c r="S23" s="3374">
        <f>IF(ISBLANK(AX12),(AA23/AS7)*AW12,(AA23/AX12)*AY12)</f>
        <v>0</v>
      </c>
      <c r="T23" s="533">
        <f t="shared" si="9"/>
        <v>0</v>
      </c>
      <c r="U23" s="532">
        <f>IF(ISBLANK(AX12),(AD23/AS7)*AW12,(AD23/AX12)*AY12)</f>
        <v>0</v>
      </c>
      <c r="V23" s="531">
        <f t="shared" si="10"/>
        <v>0</v>
      </c>
      <c r="W23" s="530">
        <f t="shared" si="11"/>
        <v>0</v>
      </c>
      <c r="X23" s="529">
        <f t="shared" si="12"/>
        <v>0</v>
      </c>
      <c r="Y23" s="4021"/>
      <c r="Z23" s="515"/>
      <c r="AA23" s="545"/>
      <c r="AB23" s="544"/>
      <c r="AC23" s="543"/>
      <c r="AD23" s="542">
        <f t="shared" si="13"/>
        <v>0</v>
      </c>
      <c r="AE23" s="541"/>
      <c r="AF23" s="3253" t="s">
        <v>6684</v>
      </c>
      <c r="AG23" s="522"/>
      <c r="AH23" s="540">
        <f>IF(ISBLANK(AH9),(AA23/AD10)*AJ7,(AA23/AH9)*AI9)</f>
        <v>0</v>
      </c>
      <c r="AI23" s="539">
        <f t="shared" si="14"/>
        <v>0</v>
      </c>
      <c r="AJ23" s="538">
        <f>IF(ISBLANK(AH9),(AD23/AD10)*AJ7,(AD23/AH9)*AI9)</f>
        <v>0</v>
      </c>
      <c r="AK23" s="518"/>
      <c r="AL23" s="537">
        <f t="shared" si="15"/>
        <v>0</v>
      </c>
      <c r="AM23" s="516"/>
      <c r="AN23" s="372">
        <f t="shared" si="16"/>
        <v>0</v>
      </c>
      <c r="AO23" s="3926"/>
      <c r="AP23" s="515"/>
      <c r="AQ23" s="378"/>
      <c r="AR23" s="609"/>
      <c r="AS23" s="631">
        <f>AB10</f>
        <v>100</v>
      </c>
      <c r="AT23" s="630">
        <v>14</v>
      </c>
      <c r="AU23" s="308">
        <v>35</v>
      </c>
      <c r="AV23" s="485">
        <f>IF(AT23=0,0,((AT23-(AT23*AU23%))))</f>
        <v>9.1000000000000014</v>
      </c>
      <c r="AW23" s="286">
        <f>IF(ISBLANK(AS23),0,(AT23/AS23)*1000)</f>
        <v>140</v>
      </c>
      <c r="AX23" s="286">
        <f>IF(ISBLANK(AS23),0,(AV23/AS23)*1000)</f>
        <v>91.000000000000014</v>
      </c>
      <c r="AY23" s="3695" t="s">
        <v>242</v>
      </c>
      <c r="AZ23" s="3696"/>
      <c r="BA23" s="378"/>
      <c r="BB23" s="378"/>
      <c r="BC23" s="378"/>
      <c r="BD23" s="378"/>
      <c r="BE23" s="171"/>
      <c r="BF23" s="172" t="s">
        <v>241</v>
      </c>
      <c r="BG23" s="581" t="str">
        <f>ADDRESS(ROW(AB10),COLUMN(AB10),4)</f>
        <v>AB10</v>
      </c>
      <c r="BH23" s="378"/>
      <c r="BI23" s="3610"/>
      <c r="BJ23" s="3611"/>
      <c r="BK23" s="3612"/>
      <c r="BL23" s="356"/>
      <c r="BM23" s="381">
        <v>15</v>
      </c>
    </row>
    <row r="24" spans="1:65" ht="15" customHeight="1">
      <c r="A24" s="3862"/>
      <c r="B24" s="551" t="str">
        <f t="shared" si="3"/>
        <v>haricots</v>
      </c>
      <c r="C24" s="546"/>
      <c r="D24" s="3374">
        <f>IF(ISBLANK(AX7),(AA24/AS7)*AW7,(AA24/AX7)*AY7)</f>
        <v>0</v>
      </c>
      <c r="E24" s="533">
        <f t="shared" si="4"/>
        <v>0</v>
      </c>
      <c r="F24" s="532">
        <f>IF(ISBLANK(AX7),(AD24/AS7)*AW7,(AD24/AX7)*AY7)</f>
        <v>1.7857142857142858</v>
      </c>
      <c r="G24" s="3374">
        <f>IF(ISBLANK(AX8),(AA24/AS7)*AW8,(AA24/AX8)*AY8)</f>
        <v>0</v>
      </c>
      <c r="H24" s="533">
        <f t="shared" si="5"/>
        <v>0</v>
      </c>
      <c r="I24" s="532">
        <f>IF(ISBLANK(AX8),(AD24/AS7)*AW8,(AD24/AX8)*AY8)</f>
        <v>6.5</v>
      </c>
      <c r="J24" s="3374">
        <f>IF(ISBLANK(AX9),(AA24/AS7)*AW9,(AA24/AX9)*AY9)</f>
        <v>0</v>
      </c>
      <c r="K24" s="533">
        <f t="shared" si="6"/>
        <v>0</v>
      </c>
      <c r="L24" s="532">
        <f>IF(ISBLANK(AX9),(AD24/AS7)*AW9,(AD24/AX9)*AY9)</f>
        <v>4.7142857142857144</v>
      </c>
      <c r="M24" s="3374">
        <f>IF(ISBLANK(AX10),(AA24/AS7)*AW10,(AA24/AX10)*AY10)</f>
        <v>0</v>
      </c>
      <c r="N24" s="533">
        <f t="shared" si="7"/>
        <v>0</v>
      </c>
      <c r="O24" s="532">
        <f>IF(ISBLANK(AX10),(AD24/AS7)*AW10,(AD24/AX10)*AY10)</f>
        <v>2.5714285714285716</v>
      </c>
      <c r="P24" s="3374">
        <f>IF(ISBLANK(AX11),(AA24/AS7)*AW11,(AA24/AX11)*AY11)</f>
        <v>0</v>
      </c>
      <c r="Q24" s="533">
        <f t="shared" si="8"/>
        <v>0</v>
      </c>
      <c r="R24" s="532">
        <f>IF(ISBLANK(AX11),(AD24/AS7)*AW11,(AD24/AX11)*AY11)</f>
        <v>0.57142857142857151</v>
      </c>
      <c r="S24" s="3374">
        <f>IF(ISBLANK(AX12),(AA24/AS7)*AW12,(AA24/AX12)*AY12)</f>
        <v>0</v>
      </c>
      <c r="T24" s="533">
        <f t="shared" si="9"/>
        <v>0</v>
      </c>
      <c r="U24" s="532">
        <f>IF(ISBLANK(AX12),(AD24/AS7)*AW12,(AD24/AX12)*AY12)</f>
        <v>0.3</v>
      </c>
      <c r="V24" s="531">
        <f t="shared" si="10"/>
        <v>16.442857142857143</v>
      </c>
      <c r="W24" s="530">
        <f t="shared" si="11"/>
        <v>0</v>
      </c>
      <c r="X24" s="529">
        <f t="shared" si="12"/>
        <v>0</v>
      </c>
      <c r="Y24" s="4021"/>
      <c r="Z24" s="515"/>
      <c r="AA24" s="528"/>
      <c r="AB24" s="527"/>
      <c r="AC24" s="526">
        <v>5</v>
      </c>
      <c r="AD24" s="525">
        <f t="shared" si="13"/>
        <v>5</v>
      </c>
      <c r="AE24" s="524"/>
      <c r="AF24" s="3247" t="s">
        <v>6683</v>
      </c>
      <c r="AG24" s="522"/>
      <c r="AH24" s="521">
        <f>IF(ISBLANK(AH9),(AA24/AD10)*AJ7,(AA24/AH9)*AI9)</f>
        <v>0</v>
      </c>
      <c r="AI24" s="520">
        <f t="shared" si="14"/>
        <v>0</v>
      </c>
      <c r="AJ24" s="519">
        <f>IF(ISBLANK(AH9),(AD24/AD10)*AJ7,(AD24/AH9)*AI9)</f>
        <v>2.2740672113198013</v>
      </c>
      <c r="AK24" s="518"/>
      <c r="AL24" s="517">
        <f t="shared" si="15"/>
        <v>2.2740672113198013</v>
      </c>
      <c r="AM24" s="516"/>
      <c r="AN24" s="372">
        <f t="shared" si="16"/>
        <v>0</v>
      </c>
      <c r="AO24" s="3926"/>
      <c r="AP24" s="515"/>
      <c r="AQ24" s="378"/>
      <c r="AR24" s="609"/>
      <c r="AS24" s="629"/>
      <c r="AU24" s="628"/>
      <c r="AV24" s="628"/>
      <c r="AX24" s="378"/>
      <c r="AY24" s="3695"/>
      <c r="AZ24" s="3696"/>
      <c r="BA24" s="378"/>
      <c r="BB24" s="378"/>
      <c r="BC24" s="378"/>
      <c r="BD24" s="378"/>
      <c r="BE24" s="3379"/>
      <c r="BF24" s="3378"/>
      <c r="BG24" s="3377"/>
      <c r="BH24" s="378"/>
      <c r="BI24" s="3891" t="s">
        <v>176</v>
      </c>
      <c r="BJ24" s="3892"/>
      <c r="BK24" s="3893"/>
      <c r="BL24" s="356"/>
      <c r="BM24" s="381">
        <v>15</v>
      </c>
    </row>
    <row r="25" spans="1:65" ht="15" customHeight="1">
      <c r="A25" s="3862"/>
      <c r="B25" s="551" t="str">
        <f t="shared" si="3"/>
        <v>Oignons</v>
      </c>
      <c r="C25" s="546"/>
      <c r="D25" s="3374">
        <f>IF(ISBLANK(AX7),(AA25/AS7)*AW7,(AA25/AX7)*AY7)</f>
        <v>0</v>
      </c>
      <c r="E25" s="533">
        <f t="shared" si="4"/>
        <v>0</v>
      </c>
      <c r="F25" s="532">
        <f>IF(ISBLANK(AX7),(AD25/AS7)*AW7,(AD25/AX7)*AY7)</f>
        <v>0.3571428571428571</v>
      </c>
      <c r="G25" s="3374">
        <f>IF(ISBLANK(AX8),(AA25/AS7)*AW8,(AA25/AX8)*AY8)</f>
        <v>0</v>
      </c>
      <c r="H25" s="533">
        <f t="shared" si="5"/>
        <v>0</v>
      </c>
      <c r="I25" s="532">
        <f>IF(ISBLANK(AX8),(AD25/AS7)*AW8,(AD25/AX8)*AY8)</f>
        <v>1.2999999999999998</v>
      </c>
      <c r="J25" s="3374">
        <f>IF(ISBLANK(AX9),(AA25/AS7)*AW9,(AA25/AX9)*AY9)</f>
        <v>0</v>
      </c>
      <c r="K25" s="533">
        <f t="shared" si="6"/>
        <v>0</v>
      </c>
      <c r="L25" s="532">
        <f>IF(ISBLANK(AX9),(AD25/AS7)*AW9,(AD25/AX9)*AY9)</f>
        <v>0.94285714285714273</v>
      </c>
      <c r="M25" s="3374">
        <f>IF(ISBLANK(AX10),(AA25/AS7)*AW10,(AA25/AX10)*AY10)</f>
        <v>0</v>
      </c>
      <c r="N25" s="533">
        <f t="shared" si="7"/>
        <v>0</v>
      </c>
      <c r="O25" s="532">
        <f>IF(ISBLANK(AX10),(AD25/AS7)*AW10,(AD25/AX10)*AY10)</f>
        <v>0.51428571428571423</v>
      </c>
      <c r="P25" s="3374">
        <f>IF(ISBLANK(AX11),(AA25/AS7)*AW11,(AA25/AX11)*AY11)</f>
        <v>0</v>
      </c>
      <c r="Q25" s="533">
        <f t="shared" si="8"/>
        <v>0</v>
      </c>
      <c r="R25" s="532">
        <f>IF(ISBLANK(AX11),(AD25/AS7)*AW11,(AD25/AX11)*AY11)</f>
        <v>0.11428571428571428</v>
      </c>
      <c r="S25" s="3374">
        <f>IF(ISBLANK(AX12),(AA25/AS7)*AW12,(AA25/AX12)*AY12)</f>
        <v>0</v>
      </c>
      <c r="T25" s="533">
        <f t="shared" si="9"/>
        <v>0</v>
      </c>
      <c r="U25" s="532">
        <f>IF(ISBLANK(AX12),(AD25/AS7)*AW12,(AD25/AX12)*AY12)</f>
        <v>0.06</v>
      </c>
      <c r="V25" s="531">
        <f t="shared" si="10"/>
        <v>3.2885714285714283</v>
      </c>
      <c r="W25" s="530">
        <f t="shared" si="11"/>
        <v>0</v>
      </c>
      <c r="X25" s="529">
        <f t="shared" si="12"/>
        <v>0</v>
      </c>
      <c r="Y25" s="4021"/>
      <c r="Z25" s="515"/>
      <c r="AA25" s="545"/>
      <c r="AB25" s="544"/>
      <c r="AC25" s="543">
        <v>1</v>
      </c>
      <c r="AD25" s="542">
        <f t="shared" si="13"/>
        <v>1</v>
      </c>
      <c r="AE25" s="541"/>
      <c r="AF25" s="3247" t="s">
        <v>6682</v>
      </c>
      <c r="AG25" s="522"/>
      <c r="AH25" s="540">
        <f>IF(ISBLANK(AH9),(AA25/AD10)*AJ7,(AA25/AH9)*AI9)</f>
        <v>0</v>
      </c>
      <c r="AI25" s="539">
        <f t="shared" si="14"/>
        <v>0</v>
      </c>
      <c r="AJ25" s="538">
        <f>IF(ISBLANK(AH9),(AD25/AD10)*AJ7,(AD25/AH9)*AI9)</f>
        <v>0.4548134422639602</v>
      </c>
      <c r="AK25" s="518"/>
      <c r="AL25" s="537">
        <f t="shared" si="15"/>
        <v>0.4548134422639602</v>
      </c>
      <c r="AM25" s="516"/>
      <c r="AN25" s="372">
        <f t="shared" si="16"/>
        <v>0</v>
      </c>
      <c r="AO25" s="3926"/>
      <c r="AP25" s="515"/>
      <c r="AQ25" s="378"/>
      <c r="AR25" s="609"/>
      <c r="AS25" s="624" t="s">
        <v>240</v>
      </c>
      <c r="AT25" s="623">
        <f>(AT23/AX23)*AX25</f>
        <v>18.46153846153846</v>
      </c>
      <c r="AU25" s="622"/>
      <c r="AW25" s="286">
        <f>(AW23/AX23)*AX25</f>
        <v>184.61538461538458</v>
      </c>
      <c r="AX25" s="621">
        <v>120</v>
      </c>
      <c r="AY25" s="620" t="s">
        <v>223</v>
      </c>
      <c r="AZ25" s="619"/>
      <c r="BA25" s="378"/>
      <c r="BB25" s="378"/>
      <c r="BC25" s="378"/>
      <c r="BD25" s="378"/>
      <c r="BE25" s="3894" t="s">
        <v>239</v>
      </c>
      <c r="BF25" s="4030"/>
      <c r="BG25" s="4031"/>
      <c r="BH25" s="378"/>
      <c r="BI25" s="3891"/>
      <c r="BJ25" s="3892"/>
      <c r="BK25" s="3893"/>
      <c r="BL25" s="356"/>
      <c r="BM25" s="381">
        <v>15</v>
      </c>
    </row>
    <row r="26" spans="1:65" ht="15" customHeight="1">
      <c r="A26" s="3862"/>
      <c r="B26" s="551" t="str">
        <f t="shared" si="3"/>
        <v>Carottes</v>
      </c>
      <c r="C26" s="546"/>
      <c r="D26" s="3374">
        <f>IF(ISBLANK(AX7),(AA26/AS7)*AW7,(AA26/AX7)*AY7)</f>
        <v>0</v>
      </c>
      <c r="E26" s="533">
        <f t="shared" si="4"/>
        <v>0</v>
      </c>
      <c r="F26" s="532">
        <f>IF(ISBLANK(AX7),(AD26/AS7)*AW7,(AD26/AX7)*AY7)</f>
        <v>0.3571428571428571</v>
      </c>
      <c r="G26" s="3374">
        <f>IF(ISBLANK(AX8),(AA26/AS7)*AW8,(AA26/AX8)*AY8)</f>
        <v>0</v>
      </c>
      <c r="H26" s="533">
        <f t="shared" si="5"/>
        <v>0</v>
      </c>
      <c r="I26" s="532">
        <f>IF(ISBLANK(AX8),(AD26/AS7)*AW8,(AD26/AX8)*AY8)</f>
        <v>1.2999999999999998</v>
      </c>
      <c r="J26" s="3374">
        <f>IF(ISBLANK(AX9),(AA26/AS7)*AW9,(AA26/AX9)*AY9)</f>
        <v>0</v>
      </c>
      <c r="K26" s="533">
        <f t="shared" si="6"/>
        <v>0</v>
      </c>
      <c r="L26" s="532">
        <f>IF(ISBLANK(AX9),(AD26/AS7)*AW9,(AD26/AX9)*AY9)</f>
        <v>0.94285714285714273</v>
      </c>
      <c r="M26" s="3374">
        <f>IF(ISBLANK(AX10),(AA26/AS7)*AW10,(AA26/AX10)*AY10)</f>
        <v>0</v>
      </c>
      <c r="N26" s="533">
        <f t="shared" si="7"/>
        <v>0</v>
      </c>
      <c r="O26" s="532">
        <f>IF(ISBLANK(AX10),(AD26/AS7)*AW10,(AD26/AX10)*AY10)</f>
        <v>0.51428571428571423</v>
      </c>
      <c r="P26" s="3374">
        <f>IF(ISBLANK(AX11),(AA26/AS7)*AW11,(AA26/AX11)*AY11)</f>
        <v>0</v>
      </c>
      <c r="Q26" s="533">
        <f t="shared" si="8"/>
        <v>0</v>
      </c>
      <c r="R26" s="532">
        <f>IF(ISBLANK(AX11),(AD26/AS7)*AW11,(AD26/AX11)*AY11)</f>
        <v>0.11428571428571428</v>
      </c>
      <c r="S26" s="3374">
        <f>IF(ISBLANK(AX12),(AA26/AS7)*AW12,(AA26/AX12)*AY12)</f>
        <v>0</v>
      </c>
      <c r="T26" s="533">
        <f t="shared" si="9"/>
        <v>0</v>
      </c>
      <c r="U26" s="532">
        <f>IF(ISBLANK(AX12),(AD26/AS7)*AW12,(AD26/AX12)*AY12)</f>
        <v>0.06</v>
      </c>
      <c r="V26" s="531">
        <f t="shared" si="10"/>
        <v>3.2885714285714283</v>
      </c>
      <c r="W26" s="530">
        <f t="shared" si="11"/>
        <v>0</v>
      </c>
      <c r="X26" s="529">
        <f t="shared" si="12"/>
        <v>0</v>
      </c>
      <c r="Y26" s="4021"/>
      <c r="Z26" s="515"/>
      <c r="AA26" s="528"/>
      <c r="AB26" s="527"/>
      <c r="AC26" s="526">
        <v>1</v>
      </c>
      <c r="AD26" s="525">
        <f t="shared" si="13"/>
        <v>1</v>
      </c>
      <c r="AE26" s="524"/>
      <c r="AF26" s="3247" t="s">
        <v>757</v>
      </c>
      <c r="AG26" s="522"/>
      <c r="AH26" s="521">
        <f>IF(ISBLANK(AH9),(AA26/AD10)*AJ7,(AA26/AH9)*AI9)</f>
        <v>0</v>
      </c>
      <c r="AI26" s="520">
        <f t="shared" si="14"/>
        <v>0</v>
      </c>
      <c r="AJ26" s="519">
        <f>IF(ISBLANK(AH9),(AD26/AD10)*AJ7,(AD26/AH9)*AI9)</f>
        <v>0.4548134422639602</v>
      </c>
      <c r="AK26" s="518"/>
      <c r="AL26" s="517">
        <f t="shared" si="15"/>
        <v>0.4548134422639602</v>
      </c>
      <c r="AM26" s="516"/>
      <c r="AN26" s="372">
        <f t="shared" si="16"/>
        <v>0</v>
      </c>
      <c r="AO26" s="3926"/>
      <c r="AP26" s="515"/>
      <c r="AQ26" s="378"/>
      <c r="AR26" s="618" t="s">
        <v>238</v>
      </c>
      <c r="AS26" s="617"/>
      <c r="AT26" s="617"/>
      <c r="AU26" s="617"/>
      <c r="AV26" s="617"/>
      <c r="AW26" s="617"/>
      <c r="AX26" s="617"/>
      <c r="AY26" s="617"/>
      <c r="AZ26" s="616"/>
      <c r="BA26" s="378"/>
      <c r="BB26" s="378"/>
      <c r="BC26" s="378"/>
      <c r="BD26" s="378"/>
      <c r="BE26" s="3897"/>
      <c r="BF26" s="3898"/>
      <c r="BG26" s="3899"/>
      <c r="BH26" s="378"/>
      <c r="BI26" s="3891"/>
      <c r="BJ26" s="3892"/>
      <c r="BK26" s="3893"/>
      <c r="BL26" s="356"/>
      <c r="BM26" s="381">
        <v>15</v>
      </c>
    </row>
    <row r="27" spans="1:65" ht="15" customHeight="1">
      <c r="A27" s="3862"/>
      <c r="B27" s="551" t="str">
        <f t="shared" si="3"/>
        <v xml:space="preserve">Bouquet garni </v>
      </c>
      <c r="C27" s="546"/>
      <c r="D27" s="3374">
        <f>IF(ISBLANK(AX7),(AA27/AS7)*AW7,(AA27/AX7)*AY7)</f>
        <v>0</v>
      </c>
      <c r="E27" s="533" t="str">
        <f t="shared" si="4"/>
        <v>PM</v>
      </c>
      <c r="F27" s="532">
        <f>IF(ISBLANK(AX7),(AD27/AS7)*AW7,(AD27/AX7)*AY7)</f>
        <v>0</v>
      </c>
      <c r="G27" s="3374">
        <f>IF(ISBLANK(AX8),(AA27/AS7)*AW8,(AA27/AX8)*AY8)</f>
        <v>0</v>
      </c>
      <c r="H27" s="533" t="str">
        <f t="shared" si="5"/>
        <v>PM</v>
      </c>
      <c r="I27" s="532">
        <f>IF(ISBLANK(AX8),(AD27/AS7)*AW8,(AD27/AX8)*AY8)</f>
        <v>0</v>
      </c>
      <c r="J27" s="3374">
        <f>IF(ISBLANK(AX9),(AA27/AS7)*AW9,(AA27/AX9)*AY9)</f>
        <v>0</v>
      </c>
      <c r="K27" s="533" t="str">
        <f t="shared" si="6"/>
        <v>PM</v>
      </c>
      <c r="L27" s="532">
        <f>IF(ISBLANK(AX9),(AD27/AS7)*AW9,(AD27/AX9)*AY9)</f>
        <v>0</v>
      </c>
      <c r="M27" s="3374">
        <f>IF(ISBLANK(AX10),(AA27/AS7)*AW10,(AA27/AX10)*AY10)</f>
        <v>0</v>
      </c>
      <c r="N27" s="533" t="str">
        <f t="shared" si="7"/>
        <v>PM</v>
      </c>
      <c r="O27" s="532">
        <f>IF(ISBLANK(AX10),(AD27/AS7)*AW10,(AD27/AX10)*AY10)</f>
        <v>0</v>
      </c>
      <c r="P27" s="3374">
        <f>IF(ISBLANK(AX11),(AA27/AS7)*AW11,(AA27/AX11)*AY11)</f>
        <v>0</v>
      </c>
      <c r="Q27" s="533" t="str">
        <f t="shared" si="8"/>
        <v>PM</v>
      </c>
      <c r="R27" s="532">
        <f>IF(ISBLANK(AX11),(AD27/AS7)*AW11,(AD27/AX11)*AY11)</f>
        <v>0</v>
      </c>
      <c r="S27" s="3374">
        <f>IF(ISBLANK(AX12),(AA27/AS7)*AW12,(AA27/AX12)*AY12)</f>
        <v>0</v>
      </c>
      <c r="T27" s="533" t="str">
        <f t="shared" si="9"/>
        <v>PM</v>
      </c>
      <c r="U27" s="532">
        <f>IF(ISBLANK(AX12),(AD27/AS7)*AW12,(AD27/AX12)*AY12)</f>
        <v>0</v>
      </c>
      <c r="V27" s="531">
        <f t="shared" si="10"/>
        <v>0</v>
      </c>
      <c r="W27" s="530">
        <f t="shared" si="11"/>
        <v>0</v>
      </c>
      <c r="X27" s="529">
        <f t="shared" si="12"/>
        <v>0</v>
      </c>
      <c r="Y27" s="4021"/>
      <c r="Z27" s="515"/>
      <c r="AA27" s="545"/>
      <c r="AB27" s="544" t="s">
        <v>327</v>
      </c>
      <c r="AC27" s="543"/>
      <c r="AD27" s="542">
        <f t="shared" si="13"/>
        <v>0</v>
      </c>
      <c r="AE27" s="541"/>
      <c r="AF27" s="3247" t="s">
        <v>326</v>
      </c>
      <c r="AG27" s="522"/>
      <c r="AH27" s="540">
        <f>IF(ISBLANK(AH9),(AA27/AD10)*AJ7,(AA27/AH9)*AI9)</f>
        <v>0</v>
      </c>
      <c r="AI27" s="539" t="str">
        <f t="shared" si="14"/>
        <v>PM</v>
      </c>
      <c r="AJ27" s="538">
        <f>IF(ISBLANK(AH9),(AD27/AD10)*AJ7,(AD27/AH9)*AI9)</f>
        <v>0</v>
      </c>
      <c r="AK27" s="518"/>
      <c r="AL27" s="537">
        <f t="shared" si="15"/>
        <v>0</v>
      </c>
      <c r="AM27" s="516"/>
      <c r="AN27" s="372">
        <f t="shared" si="16"/>
        <v>0</v>
      </c>
      <c r="AO27" s="3926"/>
      <c r="AP27" s="515"/>
      <c r="AQ27" s="378"/>
      <c r="AR27" s="615">
        <v>14</v>
      </c>
      <c r="AS27" s="378" t="s">
        <v>237</v>
      </c>
      <c r="AT27" s="378"/>
      <c r="AU27" s="378"/>
      <c r="AV27" s="378"/>
      <c r="AW27" s="378"/>
      <c r="AX27" s="378"/>
      <c r="AY27" s="378"/>
      <c r="AZ27" s="608"/>
      <c r="BA27" s="378"/>
      <c r="BB27" s="378"/>
      <c r="BC27" s="378"/>
      <c r="BD27" s="378"/>
      <c r="BE27" s="3625" t="s">
        <v>236</v>
      </c>
      <c r="BF27" s="3626"/>
      <c r="BG27" s="3627"/>
      <c r="BH27" s="378"/>
      <c r="BI27" s="3908" t="s">
        <v>235</v>
      </c>
      <c r="BJ27" s="3909"/>
      <c r="BK27" s="3910"/>
      <c r="BL27" s="356"/>
      <c r="BM27" s="381">
        <v>15</v>
      </c>
    </row>
    <row r="28" spans="1:65" ht="15" customHeight="1">
      <c r="A28" s="3862"/>
      <c r="B28" s="551" t="str">
        <f t="shared" si="3"/>
        <v xml:space="preserve">Clous de girofle </v>
      </c>
      <c r="C28" s="546"/>
      <c r="D28" s="3374">
        <f>IF(ISBLANK(AX7),(AA28/AS7)*AW7,(AA28/AX7)*AY7)</f>
        <v>4.2857142857142856</v>
      </c>
      <c r="E28" s="533" t="str">
        <f t="shared" si="4"/>
        <v>clous</v>
      </c>
      <c r="F28" s="532">
        <f>IF(ISBLANK(AX7),(AD28/AS7)*AW7,(AD28/AX7)*AY7)</f>
        <v>0</v>
      </c>
      <c r="G28" s="3374">
        <f>IF(ISBLANK(AX8),(AA28/AS7)*AW8,(AA28/AX8)*AY8)</f>
        <v>15.599999999999998</v>
      </c>
      <c r="H28" s="533" t="str">
        <f t="shared" si="5"/>
        <v>clous</v>
      </c>
      <c r="I28" s="532">
        <f>IF(ISBLANK(AX8),(AD28/AS7)*AW8,(AD28/AX8)*AY8)</f>
        <v>0</v>
      </c>
      <c r="J28" s="3374">
        <f>IF(ISBLANK(AX9),(AA28/AS7)*AW9,(AA28/AX9)*AY9)</f>
        <v>11.314285714285713</v>
      </c>
      <c r="K28" s="533" t="str">
        <f t="shared" si="6"/>
        <v>clous</v>
      </c>
      <c r="L28" s="532">
        <f>IF(ISBLANK(AX9),(AD28/AS7)*AW9,(AD28/AX9)*AY9)</f>
        <v>0</v>
      </c>
      <c r="M28" s="3374">
        <f>IF(ISBLANK(AX10),(AA28/AS7)*AW10,(AA28/AX10)*AY10)</f>
        <v>6.1714285714285708</v>
      </c>
      <c r="N28" s="533" t="str">
        <f t="shared" si="7"/>
        <v>clous</v>
      </c>
      <c r="O28" s="532">
        <f>IF(ISBLANK(AX10),(AD28/AS7)*AW10,(AD28/AX10)*AY10)</f>
        <v>0</v>
      </c>
      <c r="P28" s="3374">
        <f>IF(ISBLANK(AX11),(AA28/AS7)*AW11,(AA28/AX11)*AY11)</f>
        <v>1.3714285714285714</v>
      </c>
      <c r="Q28" s="533" t="str">
        <f t="shared" si="8"/>
        <v>clous</v>
      </c>
      <c r="R28" s="532">
        <f>IF(ISBLANK(AX11),(AD28/AS7)*AW11,(AD28/AX11)*AY11)</f>
        <v>0</v>
      </c>
      <c r="S28" s="3374">
        <f>IF(ISBLANK(AX12),(AA28/AS7)*AW12,(AA28/AX12)*AY12)</f>
        <v>0.72</v>
      </c>
      <c r="T28" s="533" t="str">
        <f t="shared" si="9"/>
        <v>clous</v>
      </c>
      <c r="U28" s="532">
        <f>IF(ISBLANK(AX12),(AD28/AS7)*AW12,(AD28/AX12)*AY12)</f>
        <v>0</v>
      </c>
      <c r="V28" s="531">
        <f t="shared" si="10"/>
        <v>0</v>
      </c>
      <c r="W28" s="530">
        <f t="shared" si="11"/>
        <v>39.462857142857139</v>
      </c>
      <c r="X28" s="529">
        <f t="shared" si="12"/>
        <v>0</v>
      </c>
      <c r="Y28" s="4021"/>
      <c r="Z28" s="515"/>
      <c r="AA28" s="528">
        <v>12</v>
      </c>
      <c r="AB28" s="527" t="s">
        <v>252</v>
      </c>
      <c r="AC28" s="526"/>
      <c r="AD28" s="525">
        <f t="shared" si="13"/>
        <v>0</v>
      </c>
      <c r="AE28" s="524"/>
      <c r="AF28" s="3247" t="s">
        <v>251</v>
      </c>
      <c r="AG28" s="522"/>
      <c r="AH28" s="521">
        <f>IF(ISBLANK(AH9),(AA28/AD10)*AJ7,(AA28/AH9)*AI9)</f>
        <v>5.4577613071675231</v>
      </c>
      <c r="AI28" s="520" t="str">
        <f t="shared" si="14"/>
        <v>clous</v>
      </c>
      <c r="AJ28" s="519">
        <f>IF(ISBLANK(AH9),(AD28/AD10)*AJ7,(AD28/AH9)*AI9)</f>
        <v>0</v>
      </c>
      <c r="AK28" s="518"/>
      <c r="AL28" s="517">
        <f t="shared" si="15"/>
        <v>0</v>
      </c>
      <c r="AM28" s="516"/>
      <c r="AN28" s="372">
        <f t="shared" si="16"/>
        <v>0</v>
      </c>
      <c r="AO28" s="3926"/>
      <c r="AP28" s="515"/>
      <c r="AQ28" s="378"/>
      <c r="AR28" s="609"/>
      <c r="AS28" s="378" t="s">
        <v>234</v>
      </c>
      <c r="AT28" s="378"/>
      <c r="AU28" s="378"/>
      <c r="AV28" s="378"/>
      <c r="AW28" s="378"/>
      <c r="AX28" s="378"/>
      <c r="AY28" s="378"/>
      <c r="AZ28" s="608"/>
      <c r="BA28" s="378"/>
      <c r="BB28" s="378"/>
      <c r="BC28" s="378"/>
      <c r="BD28" s="378"/>
      <c r="BE28" s="3625"/>
      <c r="BF28" s="3626"/>
      <c r="BG28" s="3627"/>
      <c r="BH28" s="378"/>
      <c r="BI28" s="3908"/>
      <c r="BJ28" s="3909"/>
      <c r="BK28" s="3910"/>
      <c r="BL28" s="356"/>
      <c r="BM28" s="381">
        <v>15</v>
      </c>
    </row>
    <row r="29" spans="1:65" ht="15" customHeight="1">
      <c r="A29" s="3862"/>
      <c r="B29" s="551">
        <f t="shared" si="3"/>
        <v>0</v>
      </c>
      <c r="C29" s="546"/>
      <c r="D29" s="3374">
        <f>IF(ISBLANK(AX7),(AA29/AS7)*AW7,(AA29/AX7)*AY7)</f>
        <v>0</v>
      </c>
      <c r="E29" s="533">
        <f t="shared" si="4"/>
        <v>0</v>
      </c>
      <c r="F29" s="532">
        <f>IF(ISBLANK(AX7),(AD29/AS7)*AW7,(AD29/AX7)*AY7)</f>
        <v>0</v>
      </c>
      <c r="G29" s="3374">
        <f>IF(ISBLANK(AX8),(AA29/AS7)*AW8,(AA29/AX8)*AY8)</f>
        <v>0</v>
      </c>
      <c r="H29" s="533">
        <f t="shared" si="5"/>
        <v>0</v>
      </c>
      <c r="I29" s="532">
        <f>IF(ISBLANK(AX8),(AD29/AS7)*AW8,(AD29/AX8)*AY8)</f>
        <v>0</v>
      </c>
      <c r="J29" s="3374">
        <f>IF(ISBLANK(AX9),(AA29/AS7)*AW9,(AA29/AX9)*AY9)</f>
        <v>0</v>
      </c>
      <c r="K29" s="533">
        <f t="shared" si="6"/>
        <v>0</v>
      </c>
      <c r="L29" s="532">
        <f>IF(ISBLANK(AX9),(AD29/AS7)*AW9,(AD29/AX9)*AY9)</f>
        <v>0</v>
      </c>
      <c r="M29" s="3374">
        <f>IF(ISBLANK(AX10),(AA29/AS7)*AW10,(AA29/AX10)*AY10)</f>
        <v>0</v>
      </c>
      <c r="N29" s="533">
        <f t="shared" si="7"/>
        <v>0</v>
      </c>
      <c r="O29" s="532">
        <f>IF(ISBLANK(AX10),(AD29/AS7)*AW10,(AD29/AX10)*AY10)</f>
        <v>0</v>
      </c>
      <c r="P29" s="3374">
        <f>IF(ISBLANK(AX11),(AA29/AS7)*AW11,(AA29/AX11)*AY11)</f>
        <v>0</v>
      </c>
      <c r="Q29" s="533">
        <f t="shared" si="8"/>
        <v>0</v>
      </c>
      <c r="R29" s="532">
        <f>IF(ISBLANK(AX11),(AD29/AS7)*AW11,(AD29/AX11)*AY11)</f>
        <v>0</v>
      </c>
      <c r="S29" s="3374">
        <f>IF(ISBLANK(AX12),(AA29/AS7)*AW12,(AA29/AX12)*AY12)</f>
        <v>0</v>
      </c>
      <c r="T29" s="533">
        <f t="shared" si="9"/>
        <v>0</v>
      </c>
      <c r="U29" s="532">
        <f>IF(ISBLANK(AX12),(AD29/AS7)*AW12,(AD29/AX12)*AY12)</f>
        <v>0</v>
      </c>
      <c r="V29" s="531">
        <f t="shared" si="10"/>
        <v>0</v>
      </c>
      <c r="W29" s="530">
        <f t="shared" si="11"/>
        <v>0</v>
      </c>
      <c r="X29" s="529">
        <f t="shared" si="12"/>
        <v>0</v>
      </c>
      <c r="Y29" s="4021"/>
      <c r="Z29" s="515"/>
      <c r="AA29" s="545"/>
      <c r="AB29" s="544"/>
      <c r="AC29" s="543"/>
      <c r="AD29" s="542">
        <f t="shared" si="13"/>
        <v>0</v>
      </c>
      <c r="AE29" s="541"/>
      <c r="AF29" s="3247"/>
      <c r="AG29" s="522"/>
      <c r="AH29" s="540">
        <f>IF(ISBLANK(AH9),(AA29/AD10)*AJ7,(AA29/AH9)*AI9)</f>
        <v>0</v>
      </c>
      <c r="AI29" s="539">
        <f t="shared" si="14"/>
        <v>0</v>
      </c>
      <c r="AJ29" s="538">
        <f>IF(ISBLANK(AH9),(AD29/AD10)*AJ7,(AD29/AH9)*AI9)</f>
        <v>0</v>
      </c>
      <c r="AK29" s="518"/>
      <c r="AL29" s="537">
        <f t="shared" si="15"/>
        <v>0</v>
      </c>
      <c r="AM29" s="516"/>
      <c r="AN29" s="372">
        <f t="shared" si="16"/>
        <v>0</v>
      </c>
      <c r="AO29" s="3926"/>
      <c r="AP29" s="515"/>
      <c r="AQ29" s="378"/>
      <c r="AR29" s="609"/>
      <c r="AS29" s="378" t="s">
        <v>233</v>
      </c>
      <c r="AT29" s="378"/>
      <c r="AU29" s="378"/>
      <c r="AV29" s="378"/>
      <c r="AW29" s="378"/>
      <c r="AX29" s="378"/>
      <c r="AY29" s="378"/>
      <c r="AZ29" s="608"/>
      <c r="BA29" s="378"/>
      <c r="BB29" s="378"/>
      <c r="BC29" s="378"/>
      <c r="BD29" s="378"/>
      <c r="BE29" s="3625"/>
      <c r="BF29" s="3626"/>
      <c r="BG29" s="3627"/>
      <c r="BH29" s="378"/>
      <c r="BI29" s="3908"/>
      <c r="BJ29" s="3909"/>
      <c r="BK29" s="3910"/>
      <c r="BL29" s="356"/>
      <c r="BM29" s="381">
        <v>15</v>
      </c>
    </row>
    <row r="30" spans="1:65" ht="15" customHeight="1" thickBot="1">
      <c r="A30" s="3862"/>
      <c r="B30" s="551" t="str">
        <f t="shared" si="3"/>
        <v xml:space="preserve">Garniture du cassoulet </v>
      </c>
      <c r="C30" s="546"/>
      <c r="D30" s="3374">
        <f>IF(ISBLANK(AX7),(AA30/AS7)*AW7,(AA30/AX7)*AY7)</f>
        <v>0</v>
      </c>
      <c r="E30" s="533">
        <f t="shared" si="4"/>
        <v>0</v>
      </c>
      <c r="F30" s="532">
        <f>IF(ISBLANK(AX7),(AD30/AS7)*AW7,(AD30/AX7)*AY7)</f>
        <v>0</v>
      </c>
      <c r="G30" s="3374">
        <f>IF(ISBLANK(AX8),(AA30/AS7)*AW8,(AA30/AX8)*AY8)</f>
        <v>0</v>
      </c>
      <c r="H30" s="533">
        <f t="shared" si="5"/>
        <v>0</v>
      </c>
      <c r="I30" s="532">
        <f>IF(ISBLANK(AX8),(AD30/AS7)*AW8,(AD30/AX8)*AY8)</f>
        <v>0</v>
      </c>
      <c r="J30" s="3374">
        <f>IF(ISBLANK(AX9),(AA30/AS7)*AW9,(AA30/AX9)*AY9)</f>
        <v>0</v>
      </c>
      <c r="K30" s="533">
        <f t="shared" si="6"/>
        <v>0</v>
      </c>
      <c r="L30" s="532">
        <f>IF(ISBLANK(AX9),(AD30/AS7)*AW9,(AD30/AX9)*AY9)</f>
        <v>0</v>
      </c>
      <c r="M30" s="3374">
        <f>IF(ISBLANK(AX10),(AA30/AS7)*AW10,(AA30/AX10)*AY10)</f>
        <v>0</v>
      </c>
      <c r="N30" s="533">
        <f t="shared" si="7"/>
        <v>0</v>
      </c>
      <c r="O30" s="532">
        <f>IF(ISBLANK(AX10),(AD30/AS7)*AW10,(AD30/AX10)*AY10)</f>
        <v>0</v>
      </c>
      <c r="P30" s="3374">
        <f>IF(ISBLANK(AX11),(AA30/AS7)*AW11,(AA30/AX11)*AY11)</f>
        <v>0</v>
      </c>
      <c r="Q30" s="533">
        <f t="shared" si="8"/>
        <v>0</v>
      </c>
      <c r="R30" s="532">
        <f>IF(ISBLANK(AX11),(AD30/AS7)*AW11,(AD30/AX11)*AY11)</f>
        <v>0</v>
      </c>
      <c r="S30" s="3374">
        <f>IF(ISBLANK(AX12),(AA30/AS7)*AW12,(AA30/AX12)*AY12)</f>
        <v>0</v>
      </c>
      <c r="T30" s="533">
        <f t="shared" si="9"/>
        <v>0</v>
      </c>
      <c r="U30" s="532">
        <f>IF(ISBLANK(AX12),(AD30/AS7)*AW12,(AD30/AX12)*AY12)</f>
        <v>0</v>
      </c>
      <c r="V30" s="531">
        <f t="shared" si="10"/>
        <v>0</v>
      </c>
      <c r="W30" s="530">
        <f t="shared" si="11"/>
        <v>0</v>
      </c>
      <c r="X30" s="529">
        <f t="shared" si="12"/>
        <v>0</v>
      </c>
      <c r="Y30" s="4021"/>
      <c r="Z30" s="515"/>
      <c r="AA30" s="528"/>
      <c r="AB30" s="527"/>
      <c r="AC30" s="526"/>
      <c r="AD30" s="525">
        <f t="shared" si="13"/>
        <v>0</v>
      </c>
      <c r="AE30" s="524"/>
      <c r="AF30" s="3253" t="s">
        <v>6681</v>
      </c>
      <c r="AG30" s="522"/>
      <c r="AH30" s="521">
        <f>IF(ISBLANK(AH9),(AA30/AD10)*AJ7,(AA30/AH9)*AI9)</f>
        <v>0</v>
      </c>
      <c r="AI30" s="520">
        <f t="shared" si="14"/>
        <v>0</v>
      </c>
      <c r="AJ30" s="519">
        <f>IF(ISBLANK(AH9),(AD30/AD10)*AJ7,(AD30/AH9)*AI9)</f>
        <v>0</v>
      </c>
      <c r="AK30" s="518"/>
      <c r="AL30" s="517">
        <f t="shared" si="15"/>
        <v>0</v>
      </c>
      <c r="AM30" s="516"/>
      <c r="AN30" s="372">
        <f t="shared" si="16"/>
        <v>0</v>
      </c>
      <c r="AO30" s="3926"/>
      <c r="AP30" s="515"/>
      <c r="AQ30" s="378"/>
      <c r="AR30" s="614" t="s">
        <v>232</v>
      </c>
      <c r="AS30" s="3938" t="s">
        <v>231</v>
      </c>
      <c r="AT30" s="3939" t="s">
        <v>230</v>
      </c>
      <c r="AU30" s="3265"/>
      <c r="AV30" s="3265"/>
      <c r="AW30" s="3265"/>
      <c r="AX30" s="3265"/>
      <c r="AY30" s="3265"/>
      <c r="AZ30" s="3264"/>
      <c r="BA30" s="378"/>
      <c r="BB30" s="378"/>
      <c r="BC30" s="378"/>
      <c r="BD30" s="378"/>
      <c r="BE30" s="583" t="s">
        <v>229</v>
      </c>
      <c r="BF30" s="611"/>
      <c r="BG30" s="610"/>
      <c r="BH30" s="378"/>
      <c r="BI30" s="3908"/>
      <c r="BJ30" s="3909"/>
      <c r="BK30" s="3910"/>
      <c r="BL30" s="356"/>
      <c r="BM30" s="381">
        <v>15</v>
      </c>
    </row>
    <row r="31" spans="1:65" ht="15" customHeight="1">
      <c r="A31" s="3862"/>
      <c r="B31" s="551" t="str">
        <f t="shared" si="3"/>
        <v>Poitrine fraîche</v>
      </c>
      <c r="C31" s="546"/>
      <c r="D31" s="3374">
        <f>IF(ISBLANK(AX7),(AA31/AS7)*AW7,(AA31/AX7)*AY7)</f>
        <v>0</v>
      </c>
      <c r="E31" s="533">
        <f t="shared" si="4"/>
        <v>0</v>
      </c>
      <c r="F31" s="532">
        <f>IF(ISBLANK(AX7),(AD31/AS7)*AW7,(AD31/AX7)*AY7)</f>
        <v>1.4285714285714284</v>
      </c>
      <c r="G31" s="3374">
        <f>IF(ISBLANK(AX8),(AA31/AS7)*AW8,(AA31/AX8)*AY8)</f>
        <v>0</v>
      </c>
      <c r="H31" s="533">
        <f t="shared" si="5"/>
        <v>0</v>
      </c>
      <c r="I31" s="532">
        <f>IF(ISBLANK(AX8),(AD31/AS7)*AW8,(AD31/AX8)*AY8)</f>
        <v>5.1999999999999993</v>
      </c>
      <c r="J31" s="3374">
        <f>IF(ISBLANK(AX9),(AA31/AS7)*AW9,(AA31/AX9)*AY9)</f>
        <v>0</v>
      </c>
      <c r="K31" s="533">
        <f t="shared" si="6"/>
        <v>0</v>
      </c>
      <c r="L31" s="532">
        <f>IF(ISBLANK(AX9),(AD31/AS7)*AW9,(AD31/AX9)*AY9)</f>
        <v>3.7714285714285709</v>
      </c>
      <c r="M31" s="3374">
        <f>IF(ISBLANK(AX10),(AA31/AS7)*AW10,(AA31/AX10)*AY10)</f>
        <v>0</v>
      </c>
      <c r="N31" s="533">
        <f t="shared" si="7"/>
        <v>0</v>
      </c>
      <c r="O31" s="532">
        <f>IF(ISBLANK(AX10),(AD31/AS7)*AW10,(AD31/AX10)*AY10)</f>
        <v>2.0571428571428569</v>
      </c>
      <c r="P31" s="3374">
        <f>IF(ISBLANK(AX11),(AA31/AS7)*AW11,(AA31/AX11)*AY11)</f>
        <v>0</v>
      </c>
      <c r="Q31" s="533">
        <f t="shared" si="8"/>
        <v>0</v>
      </c>
      <c r="R31" s="532">
        <f>IF(ISBLANK(AX11),(AD31/AS7)*AW11,(AD31/AX11)*AY11)</f>
        <v>0.45714285714285713</v>
      </c>
      <c r="S31" s="3374">
        <f>IF(ISBLANK(AX12),(AA31/AS7)*AW12,(AA31/AX12)*AY12)</f>
        <v>0</v>
      </c>
      <c r="T31" s="533">
        <f t="shared" si="9"/>
        <v>0</v>
      </c>
      <c r="U31" s="532">
        <f>IF(ISBLANK(AX12),(AD31/AS7)*AW12,(AD31/AX12)*AY12)</f>
        <v>0.24</v>
      </c>
      <c r="V31" s="531">
        <f t="shared" si="10"/>
        <v>13.154285714285713</v>
      </c>
      <c r="W31" s="530">
        <f t="shared" si="11"/>
        <v>0</v>
      </c>
      <c r="X31" s="529">
        <f t="shared" si="12"/>
        <v>0</v>
      </c>
      <c r="Y31" s="4021"/>
      <c r="Z31" s="515"/>
      <c r="AA31" s="545"/>
      <c r="AB31" s="544"/>
      <c r="AC31" s="543">
        <v>4</v>
      </c>
      <c r="AD31" s="542">
        <f t="shared" si="13"/>
        <v>4</v>
      </c>
      <c r="AE31" s="541"/>
      <c r="AF31" s="3247" t="s">
        <v>6680</v>
      </c>
      <c r="AG31" s="522"/>
      <c r="AH31" s="540">
        <f>IF(ISBLANK(AH9),(AA31/AD10)*AJ7,(AA31/AH9)*AI9)</f>
        <v>0</v>
      </c>
      <c r="AI31" s="539">
        <f t="shared" si="14"/>
        <v>0</v>
      </c>
      <c r="AJ31" s="538">
        <f>IF(ISBLANK(AH9),(AD31/AD10)*AJ7,(AD31/AH9)*AI9)</f>
        <v>1.8192537690558408</v>
      </c>
      <c r="AK31" s="518"/>
      <c r="AL31" s="537">
        <f t="shared" si="15"/>
        <v>1.8192537690558408</v>
      </c>
      <c r="AM31" s="516"/>
      <c r="AN31" s="372">
        <f t="shared" si="16"/>
        <v>0</v>
      </c>
      <c r="AO31" s="3926"/>
      <c r="AP31" s="515"/>
      <c r="AQ31" s="378"/>
      <c r="AR31" s="609"/>
      <c r="AS31" s="3688"/>
      <c r="AT31" s="3690"/>
      <c r="AU31" s="378"/>
      <c r="AV31" s="378"/>
      <c r="AW31" s="378"/>
      <c r="AX31" s="378"/>
      <c r="AY31" s="378"/>
      <c r="AZ31" s="608"/>
      <c r="BA31" s="378"/>
      <c r="BB31" s="378"/>
      <c r="BC31" s="378"/>
      <c r="BD31" s="378"/>
      <c r="BE31" s="3628" t="s">
        <v>87</v>
      </c>
      <c r="BF31" s="3629"/>
      <c r="BG31" s="178" t="s">
        <v>88</v>
      </c>
      <c r="BH31" s="378"/>
      <c r="BI31" s="3908"/>
      <c r="BJ31" s="3909"/>
      <c r="BK31" s="3910"/>
      <c r="BL31" s="356"/>
      <c r="BM31" s="381">
        <v>15</v>
      </c>
    </row>
    <row r="32" spans="1:65" ht="15" customHeight="1" thickBot="1">
      <c r="A32" s="3862"/>
      <c r="B32" s="551" t="str">
        <f t="shared" si="3"/>
        <v>Saucisson à l'ail</v>
      </c>
      <c r="C32" s="546"/>
      <c r="D32" s="3374">
        <f>IF(ISBLANK(AX7),(AA32/AS7)*AW7,(AA32/AX7)*AY7)</f>
        <v>0</v>
      </c>
      <c r="E32" s="533">
        <f t="shared" si="4"/>
        <v>0</v>
      </c>
      <c r="F32" s="532">
        <f>IF(ISBLANK(AX7),(AD32/AS7)*AW7,(AD32/AX7)*AY7)</f>
        <v>0.3571428571428571</v>
      </c>
      <c r="G32" s="3374">
        <f>IF(ISBLANK(AX8),(AA32/AS7)*AW8,(AA32/AX8)*AY8)</f>
        <v>0</v>
      </c>
      <c r="H32" s="533">
        <f t="shared" si="5"/>
        <v>0</v>
      </c>
      <c r="I32" s="532">
        <f>IF(ISBLANK(AX8),(AD32/AS7)*AW8,(AD32/AX8)*AY8)</f>
        <v>1.2999999999999998</v>
      </c>
      <c r="J32" s="3374">
        <f>IF(ISBLANK(AX9),(AA32/AS7)*AW9,(AA32/AX9)*AY9)</f>
        <v>0</v>
      </c>
      <c r="K32" s="533">
        <f t="shared" si="6"/>
        <v>0</v>
      </c>
      <c r="L32" s="532">
        <f>IF(ISBLANK(AX9),(AD32/AS7)*AW9,(AD32/AX9)*AY9)</f>
        <v>0.94285714285714273</v>
      </c>
      <c r="M32" s="3374">
        <f>IF(ISBLANK(AX10),(AA32/AS7)*AW10,(AA32/AX10)*AY10)</f>
        <v>0</v>
      </c>
      <c r="N32" s="533">
        <f t="shared" si="7"/>
        <v>0</v>
      </c>
      <c r="O32" s="532">
        <f>IF(ISBLANK(AX10),(AD32/AS7)*AW10,(AD32/AX10)*AY10)</f>
        <v>0.51428571428571423</v>
      </c>
      <c r="P32" s="3374">
        <f>IF(ISBLANK(AX11),(AA32/AS7)*AW11,(AA32/AX11)*AY11)</f>
        <v>0</v>
      </c>
      <c r="Q32" s="533">
        <f t="shared" si="8"/>
        <v>0</v>
      </c>
      <c r="R32" s="532">
        <f>IF(ISBLANK(AX11),(AD32/AS7)*AW11,(AD32/AX11)*AY11)</f>
        <v>0.11428571428571428</v>
      </c>
      <c r="S32" s="3374">
        <f>IF(ISBLANK(AX12),(AA32/AS7)*AW12,(AA32/AX12)*AY12)</f>
        <v>0</v>
      </c>
      <c r="T32" s="533">
        <f t="shared" si="9"/>
        <v>0</v>
      </c>
      <c r="U32" s="532">
        <f>IF(ISBLANK(AX12),(AD32/AS7)*AW12,(AD32/AX12)*AY12)</f>
        <v>0.06</v>
      </c>
      <c r="V32" s="531">
        <f t="shared" si="10"/>
        <v>3.2885714285714283</v>
      </c>
      <c r="W32" s="530">
        <f t="shared" si="11"/>
        <v>0</v>
      </c>
      <c r="X32" s="529">
        <f t="shared" si="12"/>
        <v>0</v>
      </c>
      <c r="Y32" s="4021"/>
      <c r="Z32" s="515"/>
      <c r="AA32" s="528"/>
      <c r="AB32" s="527"/>
      <c r="AC32" s="526">
        <v>1</v>
      </c>
      <c r="AD32" s="525">
        <f t="shared" si="13"/>
        <v>1</v>
      </c>
      <c r="AE32" s="524"/>
      <c r="AF32" s="3247" t="s">
        <v>6679</v>
      </c>
      <c r="AG32" s="522"/>
      <c r="AH32" s="521">
        <f>IF(ISBLANK(AH9),(AA32/AD10)*AJ7,(AA32/AH9)*AI9)</f>
        <v>0</v>
      </c>
      <c r="AI32" s="520">
        <f t="shared" si="14"/>
        <v>0</v>
      </c>
      <c r="AJ32" s="519">
        <f>IF(ISBLANK(AH9),(AD32/AD10)*AJ7,(AD32/AH9)*AI9)</f>
        <v>0.4548134422639602</v>
      </c>
      <c r="AK32" s="518"/>
      <c r="AL32" s="517">
        <f t="shared" si="15"/>
        <v>0.4548134422639602</v>
      </c>
      <c r="AM32" s="516"/>
      <c r="AN32" s="372">
        <f t="shared" si="16"/>
        <v>0</v>
      </c>
      <c r="AO32" s="3926"/>
      <c r="AP32" s="515"/>
      <c r="AQ32" s="378"/>
      <c r="AR32" s="3256"/>
      <c r="AS32" s="3263">
        <v>14</v>
      </c>
      <c r="AT32" s="3262">
        <v>18.46</v>
      </c>
      <c r="AU32" s="3261" t="s">
        <v>228</v>
      </c>
      <c r="AV32" s="3255"/>
      <c r="AW32" s="3255"/>
      <c r="AX32" s="3255"/>
      <c r="AY32" s="3255"/>
      <c r="AZ32" s="3260"/>
      <c r="BA32" s="378"/>
      <c r="BB32" s="378"/>
      <c r="BC32" s="378"/>
      <c r="BD32" s="378"/>
      <c r="BE32" s="3252"/>
      <c r="BF32" s="3376"/>
      <c r="BG32" s="3250" t="s">
        <v>89</v>
      </c>
      <c r="BH32" s="378"/>
      <c r="BI32" s="3908"/>
      <c r="BJ32" s="3909"/>
      <c r="BK32" s="3910"/>
      <c r="BL32" s="356"/>
      <c r="BM32" s="381">
        <v>15</v>
      </c>
    </row>
    <row r="33" spans="1:65" ht="15" customHeight="1" thickBot="1">
      <c r="A33" s="3862"/>
      <c r="B33" s="551" t="str">
        <f t="shared" si="3"/>
        <v xml:space="preserve">ou saucisse de Toulouse </v>
      </c>
      <c r="C33" s="546"/>
      <c r="D33" s="3374">
        <f>IF(ISBLANK(AX7),(AA33/AS7)*AW7,(AA33/AX7)*AY7)</f>
        <v>0</v>
      </c>
      <c r="E33" s="533">
        <f t="shared" si="4"/>
        <v>0</v>
      </c>
      <c r="F33" s="532">
        <f>IF(ISBLANK(AX7),(AD33/AS7)*AW7,(AD33/AX7)*AY7)</f>
        <v>1.4285714285714284</v>
      </c>
      <c r="G33" s="3374">
        <f>IF(ISBLANK(AX8),(AA33/AS7)*AW8,(AA33/AX8)*AY8)</f>
        <v>0</v>
      </c>
      <c r="H33" s="533">
        <f t="shared" si="5"/>
        <v>0</v>
      </c>
      <c r="I33" s="532">
        <f>IF(ISBLANK(AX8),(AD33/AS7)*AW8,(AD33/AX8)*AY8)</f>
        <v>5.1999999999999993</v>
      </c>
      <c r="J33" s="3374">
        <f>IF(ISBLANK(AX9),(AA33/AS7)*AW9,(AA33/AX9)*AY9)</f>
        <v>0</v>
      </c>
      <c r="K33" s="533">
        <f t="shared" si="6"/>
        <v>0</v>
      </c>
      <c r="L33" s="532">
        <f>IF(ISBLANK(AX9),(AD33/AS7)*AW9,(AD33/AX9)*AY9)</f>
        <v>3.7714285714285709</v>
      </c>
      <c r="M33" s="3374">
        <f>IF(ISBLANK(AX10),(AA33/AS7)*AW10,(AA33/AX10)*AY10)</f>
        <v>0</v>
      </c>
      <c r="N33" s="533">
        <f t="shared" si="7"/>
        <v>0</v>
      </c>
      <c r="O33" s="532">
        <f>IF(ISBLANK(AX10),(AD33/AS7)*AW10,(AD33/AX10)*AY10)</f>
        <v>2.0571428571428569</v>
      </c>
      <c r="P33" s="3374">
        <f>IF(ISBLANK(AX11),(AA33/AS7)*AW11,(AA33/AX11)*AY11)</f>
        <v>0</v>
      </c>
      <c r="Q33" s="533">
        <f t="shared" si="8"/>
        <v>0</v>
      </c>
      <c r="R33" s="532">
        <f>IF(ISBLANK(AX11),(AD33/AS7)*AW11,(AD33/AX11)*AY11)</f>
        <v>0.45714285714285713</v>
      </c>
      <c r="S33" s="3374">
        <f>IF(ISBLANK(AX12),(AA33/AS7)*AW12,(AA33/AX12)*AY12)</f>
        <v>0</v>
      </c>
      <c r="T33" s="533">
        <f t="shared" si="9"/>
        <v>0</v>
      </c>
      <c r="U33" s="532">
        <f>IF(ISBLANK(AX12),(AD33/AS7)*AW12,(AD33/AX12)*AY12)</f>
        <v>0.24</v>
      </c>
      <c r="V33" s="531">
        <f t="shared" si="10"/>
        <v>13.154285714285713</v>
      </c>
      <c r="W33" s="530">
        <f t="shared" si="11"/>
        <v>0</v>
      </c>
      <c r="X33" s="529">
        <f t="shared" si="12"/>
        <v>0</v>
      </c>
      <c r="Y33" s="4021"/>
      <c r="Z33" s="515"/>
      <c r="AA33" s="545"/>
      <c r="AB33" s="544"/>
      <c r="AC33" s="543">
        <v>4</v>
      </c>
      <c r="AD33" s="542">
        <f t="shared" si="13"/>
        <v>4</v>
      </c>
      <c r="AE33" s="541"/>
      <c r="AF33" s="3247" t="s">
        <v>6678</v>
      </c>
      <c r="AG33" s="522"/>
      <c r="AH33" s="540">
        <f>IF(ISBLANK(AH9),(AA33/AD10)*AJ7,(AA33/AH9)*AI9)</f>
        <v>0</v>
      </c>
      <c r="AI33" s="539">
        <f t="shared" si="14"/>
        <v>0</v>
      </c>
      <c r="AJ33" s="538">
        <f>IF(ISBLANK(AH9),(AD33/AD10)*AJ7,(AD33/AH9)*AI9)</f>
        <v>1.8192537690558408</v>
      </c>
      <c r="AK33" s="518"/>
      <c r="AL33" s="537">
        <f t="shared" si="15"/>
        <v>1.8192537690558408</v>
      </c>
      <c r="AM33" s="516"/>
      <c r="AN33" s="372">
        <f t="shared" si="16"/>
        <v>0</v>
      </c>
      <c r="AO33" s="3926"/>
      <c r="AP33" s="515"/>
      <c r="AQ33" s="378"/>
      <c r="BA33" s="378"/>
      <c r="BB33" s="378"/>
      <c r="BC33" s="378"/>
      <c r="BD33" s="378"/>
      <c r="BE33" s="3897" t="s">
        <v>90</v>
      </c>
      <c r="BF33" s="3898"/>
      <c r="BG33" s="3899"/>
      <c r="BH33" s="378"/>
      <c r="BI33" s="3908"/>
      <c r="BJ33" s="3909"/>
      <c r="BK33" s="3910"/>
      <c r="BL33" s="356"/>
      <c r="BM33" s="381">
        <v>15</v>
      </c>
    </row>
    <row r="34" spans="1:65" ht="15" customHeight="1">
      <c r="A34" s="3862"/>
      <c r="B34" s="551" t="str">
        <f t="shared" si="3"/>
        <v xml:space="preserve">Oignons </v>
      </c>
      <c r="C34" s="546"/>
      <c r="D34" s="3374">
        <f>IF(ISBLANK(AX7),(AA34/AS7)*AW7,(AA34/AX7)*AY7)</f>
        <v>0</v>
      </c>
      <c r="E34" s="533">
        <f t="shared" si="4"/>
        <v>0</v>
      </c>
      <c r="F34" s="532">
        <f>IF(ISBLANK(AX7),(AD34/AS7)*AW7,(AD34/AX7)*AY7)</f>
        <v>1.4285714285714284</v>
      </c>
      <c r="G34" s="3374">
        <f>IF(ISBLANK(AX8),(AA34/AS7)*AW8,(AA34/AX8)*AY8)</f>
        <v>0</v>
      </c>
      <c r="H34" s="533">
        <f t="shared" si="5"/>
        <v>0</v>
      </c>
      <c r="I34" s="532">
        <f>IF(ISBLANK(AX8),(AD34/AS7)*AW8,(AD34/AX8)*AY8)</f>
        <v>5.1999999999999993</v>
      </c>
      <c r="J34" s="3374">
        <f>IF(ISBLANK(AX9),(AA34/AS7)*AW9,(AA34/AX9)*AY9)</f>
        <v>0</v>
      </c>
      <c r="K34" s="533">
        <f t="shared" si="6"/>
        <v>0</v>
      </c>
      <c r="L34" s="532">
        <f>IF(ISBLANK(AX9),(AD34/AS7)*AW9,(AD34/AX9)*AY9)</f>
        <v>3.7714285714285709</v>
      </c>
      <c r="M34" s="3374">
        <f>IF(ISBLANK(AX10),(AA34/AS7)*AW10,(AA34/AX10)*AY10)</f>
        <v>0</v>
      </c>
      <c r="N34" s="533">
        <f t="shared" si="7"/>
        <v>0</v>
      </c>
      <c r="O34" s="532">
        <f>IF(ISBLANK(AX10),(AD34/AS7)*AW10,(AD34/AX10)*AY10)</f>
        <v>2.0571428571428569</v>
      </c>
      <c r="P34" s="3374">
        <f>IF(ISBLANK(AX11),(AA34/AS7)*AW11,(AA34/AX11)*AY11)</f>
        <v>0</v>
      </c>
      <c r="Q34" s="533">
        <f t="shared" si="8"/>
        <v>0</v>
      </c>
      <c r="R34" s="532">
        <f>IF(ISBLANK(AX11),(AD34/AS7)*AW11,(AD34/AX11)*AY11)</f>
        <v>0.45714285714285713</v>
      </c>
      <c r="S34" s="3374">
        <f>IF(ISBLANK(AX12),(AA34/AS7)*AW12,(AA34/AX12)*AY12)</f>
        <v>0</v>
      </c>
      <c r="T34" s="533">
        <f t="shared" si="9"/>
        <v>0</v>
      </c>
      <c r="U34" s="532">
        <f>IF(ISBLANK(AX12),(AD34/AS7)*AW12,(AD34/AX12)*AY12)</f>
        <v>0.24</v>
      </c>
      <c r="V34" s="531">
        <f t="shared" si="10"/>
        <v>13.154285714285713</v>
      </c>
      <c r="W34" s="530">
        <f t="shared" si="11"/>
        <v>0</v>
      </c>
      <c r="X34" s="529">
        <f t="shared" si="12"/>
        <v>0</v>
      </c>
      <c r="Y34" s="4021"/>
      <c r="Z34" s="515"/>
      <c r="AA34" s="528"/>
      <c r="AB34" s="527"/>
      <c r="AC34" s="526">
        <v>4</v>
      </c>
      <c r="AD34" s="525">
        <f t="shared" si="13"/>
        <v>4</v>
      </c>
      <c r="AE34" s="524"/>
      <c r="AF34" s="3247" t="s">
        <v>6677</v>
      </c>
      <c r="AG34" s="522"/>
      <c r="AH34" s="521">
        <f>IF(ISBLANK(AH9),(AA34/AD10)*AJ7,(AA34/AH9)*AI9)</f>
        <v>0</v>
      </c>
      <c r="AI34" s="520">
        <f t="shared" si="14"/>
        <v>0</v>
      </c>
      <c r="AJ34" s="519">
        <f>IF(ISBLANK(AH9),(AD34/AD10)*AJ7,(AD34/AH9)*AI9)</f>
        <v>1.8192537690558408</v>
      </c>
      <c r="AK34" s="518"/>
      <c r="AL34" s="517">
        <f t="shared" si="15"/>
        <v>1.8192537690558408</v>
      </c>
      <c r="AM34" s="516"/>
      <c r="AN34" s="372">
        <f t="shared" si="16"/>
        <v>0</v>
      </c>
      <c r="AO34" s="3926"/>
      <c r="AP34" s="515"/>
      <c r="AQ34" s="378"/>
      <c r="AR34" s="3691" t="s">
        <v>227</v>
      </c>
      <c r="AS34" s="4032"/>
      <c r="AT34" s="4032"/>
      <c r="AU34" s="4032"/>
      <c r="AV34" s="4032"/>
      <c r="AW34" s="4032"/>
      <c r="AX34" s="4032"/>
      <c r="AY34" s="4032"/>
      <c r="AZ34" s="3693"/>
      <c r="BA34" s="568"/>
      <c r="BB34" s="568"/>
      <c r="BC34" s="568"/>
      <c r="BD34" s="568"/>
      <c r="BE34" s="3897"/>
      <c r="BF34" s="3898"/>
      <c r="BG34" s="3899"/>
      <c r="BH34" s="378"/>
      <c r="BI34" s="3908"/>
      <c r="BJ34" s="3909"/>
      <c r="BK34" s="3910"/>
      <c r="BL34" s="356"/>
      <c r="BM34" s="381">
        <v>15</v>
      </c>
    </row>
    <row r="35" spans="1:65" ht="15" customHeight="1">
      <c r="A35" s="3862"/>
      <c r="B35" s="551" t="str">
        <f t="shared" si="3"/>
        <v xml:space="preserve">Dés de tomates surgelés </v>
      </c>
      <c r="C35" s="546"/>
      <c r="D35" s="3374">
        <f>IF(ISBLANK(AX7),(AA35/AS7)*AW7,(AA35/AX7)*AY7)</f>
        <v>0</v>
      </c>
      <c r="E35" s="533">
        <f t="shared" si="4"/>
        <v>0</v>
      </c>
      <c r="F35" s="532">
        <f>IF(ISBLANK(AX7),(AD35/AS7)*AW7,(AD35/AX7)*AY7)</f>
        <v>1.7857142857142858</v>
      </c>
      <c r="G35" s="3374">
        <f>IF(ISBLANK(AX8),(AA35/AS7)*AW8,(AA35/AX8)*AY8)</f>
        <v>0</v>
      </c>
      <c r="H35" s="533">
        <f t="shared" si="5"/>
        <v>0</v>
      </c>
      <c r="I35" s="532">
        <f>IF(ISBLANK(AX8),(AD35/AS7)*AW8,(AD35/AX8)*AY8)</f>
        <v>6.5</v>
      </c>
      <c r="J35" s="3374">
        <f>IF(ISBLANK(AX9),(AA35/AS7)*AW9,(AA35/AX9)*AY9)</f>
        <v>0</v>
      </c>
      <c r="K35" s="533">
        <f t="shared" si="6"/>
        <v>0</v>
      </c>
      <c r="L35" s="532">
        <f>IF(ISBLANK(AX9),(AD35/AS7)*AW9,(AD35/AX9)*AY9)</f>
        <v>4.7142857142857144</v>
      </c>
      <c r="M35" s="3374">
        <f>IF(ISBLANK(AX10),(AA35/AS7)*AW10,(AA35/AX10)*AY10)</f>
        <v>0</v>
      </c>
      <c r="N35" s="533">
        <f t="shared" si="7"/>
        <v>0</v>
      </c>
      <c r="O35" s="532">
        <f>IF(ISBLANK(AX10),(AD35/AS7)*AW10,(AD35/AX10)*AY10)</f>
        <v>2.5714285714285716</v>
      </c>
      <c r="P35" s="3374">
        <f>IF(ISBLANK(AX11),(AA35/AS7)*AW11,(AA35/AX11)*AY11)</f>
        <v>0</v>
      </c>
      <c r="Q35" s="533">
        <f t="shared" si="8"/>
        <v>0</v>
      </c>
      <c r="R35" s="532">
        <f>IF(ISBLANK(AX11),(AD35/AS7)*AW11,(AD35/AX11)*AY11)</f>
        <v>0.57142857142857151</v>
      </c>
      <c r="S35" s="3374">
        <f>IF(ISBLANK(AX12),(AA35/AS7)*AW12,(AA35/AX12)*AY12)</f>
        <v>0</v>
      </c>
      <c r="T35" s="533">
        <f t="shared" si="9"/>
        <v>0</v>
      </c>
      <c r="U35" s="532">
        <f>IF(ISBLANK(AX12),(AD35/AS7)*AW12,(AD35/AX12)*AY12)</f>
        <v>0.3</v>
      </c>
      <c r="V35" s="531">
        <f t="shared" si="10"/>
        <v>16.442857142857143</v>
      </c>
      <c r="W35" s="530">
        <f t="shared" si="11"/>
        <v>0</v>
      </c>
      <c r="X35" s="529">
        <f t="shared" si="12"/>
        <v>0</v>
      </c>
      <c r="Y35" s="4021"/>
      <c r="Z35" s="515"/>
      <c r="AA35" s="545"/>
      <c r="AB35" s="544"/>
      <c r="AC35" s="543">
        <v>5</v>
      </c>
      <c r="AD35" s="542">
        <f t="shared" si="13"/>
        <v>5</v>
      </c>
      <c r="AE35" s="541"/>
      <c r="AF35" s="3247" t="s">
        <v>6676</v>
      </c>
      <c r="AG35" s="522"/>
      <c r="AH35" s="540">
        <f>IF(ISBLANK(AH9),(AA35/AD10)*AJ7,(AA35/AH9)*AI9)</f>
        <v>0</v>
      </c>
      <c r="AI35" s="539">
        <f t="shared" si="14"/>
        <v>0</v>
      </c>
      <c r="AJ35" s="538">
        <f>IF(ISBLANK(AH9),(AD35/AD10)*AJ7,(AD35/AH9)*AI9)</f>
        <v>2.2740672113198013</v>
      </c>
      <c r="AK35" s="518"/>
      <c r="AL35" s="537">
        <f t="shared" si="15"/>
        <v>2.2740672113198013</v>
      </c>
      <c r="AM35" s="516"/>
      <c r="AN35" s="372">
        <f t="shared" si="16"/>
        <v>0</v>
      </c>
      <c r="AO35" s="3926"/>
      <c r="AP35" s="515"/>
      <c r="AQ35" s="378"/>
      <c r="AR35" s="600"/>
      <c r="AS35" s="579"/>
      <c r="AT35" s="579"/>
      <c r="AU35" s="579"/>
      <c r="AV35" s="579"/>
      <c r="AW35" s="579"/>
      <c r="AX35" s="579"/>
      <c r="AY35" s="579"/>
      <c r="AZ35" s="584"/>
      <c r="BA35" s="568"/>
      <c r="BB35" s="568"/>
      <c r="BC35" s="568"/>
      <c r="BD35" s="568"/>
      <c r="BE35" s="3901" t="s">
        <v>91</v>
      </c>
      <c r="BF35" s="3902"/>
      <c r="BG35" s="3903"/>
      <c r="BH35" s="378"/>
      <c r="BI35" s="3304" t="s">
        <v>102</v>
      </c>
      <c r="BJ35" s="3375"/>
      <c r="BK35" s="3302"/>
      <c r="BL35" s="356"/>
      <c r="BM35" s="381">
        <v>15</v>
      </c>
    </row>
    <row r="36" spans="1:65" ht="15" customHeight="1">
      <c r="A36" s="3862"/>
      <c r="B36" s="551" t="str">
        <f t="shared" si="3"/>
        <v xml:space="preserve">Tomate concentrée </v>
      </c>
      <c r="C36" s="546"/>
      <c r="D36" s="3374">
        <f>IF(ISBLANK(AX7),(AA36/AS7)*AW7,(AA36/AX7)*AY7)</f>
        <v>0</v>
      </c>
      <c r="E36" s="533">
        <f t="shared" si="4"/>
        <v>0</v>
      </c>
      <c r="F36" s="532">
        <f>IF(ISBLANK(AX7),(AD36/AS7)*AW7,(AD36/AX7)*AY7)</f>
        <v>0.14285714285714288</v>
      </c>
      <c r="G36" s="3374">
        <f>IF(ISBLANK(AX8),(AA36/AS7)*AW8,(AA36/AX8)*AY8)</f>
        <v>0</v>
      </c>
      <c r="H36" s="533">
        <f t="shared" si="5"/>
        <v>0</v>
      </c>
      <c r="I36" s="532">
        <f>IF(ISBLANK(AX8),(AD36/AS7)*AW8,(AD36/AX8)*AY8)</f>
        <v>0.52</v>
      </c>
      <c r="J36" s="3374">
        <f>IF(ISBLANK(AX9),(AA36/AS7)*AW9,(AA36/AX9)*AY9)</f>
        <v>0</v>
      </c>
      <c r="K36" s="533">
        <f t="shared" si="6"/>
        <v>0</v>
      </c>
      <c r="L36" s="532">
        <f>IF(ISBLANK(AX9),(AD36/AS7)*AW9,(AD36/AX9)*AY9)</f>
        <v>0.37714285714285717</v>
      </c>
      <c r="M36" s="3374">
        <f>IF(ISBLANK(AX10),(AA36/AS7)*AW10,(AA36/AX10)*AY10)</f>
        <v>0</v>
      </c>
      <c r="N36" s="533">
        <f t="shared" si="7"/>
        <v>0</v>
      </c>
      <c r="O36" s="532">
        <f>IF(ISBLANK(AX10),(AD36/AS7)*AW10,(AD36/AX10)*AY10)</f>
        <v>0.20571428571428574</v>
      </c>
      <c r="P36" s="3374">
        <f>IF(ISBLANK(AX11),(AA36/AS7)*AW11,(AA36/AX11)*AY11)</f>
        <v>0</v>
      </c>
      <c r="Q36" s="533">
        <f t="shared" si="8"/>
        <v>0</v>
      </c>
      <c r="R36" s="532">
        <f>IF(ISBLANK(AX11),(AD36/AS7)*AW11,(AD36/AX11)*AY11)</f>
        <v>4.5714285714285721E-2</v>
      </c>
      <c r="S36" s="3374">
        <f>IF(ISBLANK(AX12),(AA36/AS7)*AW12,(AA36/AX12)*AY12)</f>
        <v>0</v>
      </c>
      <c r="T36" s="533">
        <f t="shared" si="9"/>
        <v>0</v>
      </c>
      <c r="U36" s="532">
        <f>IF(ISBLANK(AX12),(AD36/AS7)*AW12,(AD36/AX12)*AY12)</f>
        <v>2.4E-2</v>
      </c>
      <c r="V36" s="531">
        <f t="shared" si="10"/>
        <v>1.3154285714285716</v>
      </c>
      <c r="W36" s="530">
        <f t="shared" si="11"/>
        <v>0</v>
      </c>
      <c r="X36" s="529">
        <f t="shared" si="12"/>
        <v>0</v>
      </c>
      <c r="Y36" s="4021"/>
      <c r="Z36" s="515"/>
      <c r="AA36" s="528"/>
      <c r="AB36" s="527"/>
      <c r="AC36" s="526">
        <v>0.4</v>
      </c>
      <c r="AD36" s="525">
        <f t="shared" si="13"/>
        <v>0.4</v>
      </c>
      <c r="AE36" s="524"/>
      <c r="AF36" s="3247" t="s">
        <v>6675</v>
      </c>
      <c r="AG36" s="522"/>
      <c r="AH36" s="521">
        <f>IF(ISBLANK(AH9),(AA36/AD10)*AJ7,(AA36/AH9)*AI9)</f>
        <v>0</v>
      </c>
      <c r="AI36" s="520">
        <f t="shared" si="14"/>
        <v>0</v>
      </c>
      <c r="AJ36" s="519">
        <f>IF(ISBLANK(AH9),(AD36/AD10)*AJ7,(AD36/AH9)*AI9)</f>
        <v>0.18192537690558411</v>
      </c>
      <c r="AK36" s="518"/>
      <c r="AL36" s="517">
        <f t="shared" si="15"/>
        <v>0.18192537690558411</v>
      </c>
      <c r="AM36" s="516"/>
      <c r="AN36" s="372">
        <f t="shared" si="16"/>
        <v>0</v>
      </c>
      <c r="AO36" s="3926"/>
      <c r="AP36" s="515"/>
      <c r="AQ36" s="378"/>
      <c r="AR36" s="599"/>
      <c r="AS36" s="579"/>
      <c r="AT36" s="579"/>
      <c r="AU36" s="579"/>
      <c r="AV36" s="598" t="s">
        <v>226</v>
      </c>
      <c r="AW36" s="587" t="str">
        <f>ADDRESS(ROW(AX23),COLUMN(AX23),4)</f>
        <v>AX23</v>
      </c>
      <c r="AX36" s="597">
        <f>AX23</f>
        <v>91.000000000000014</v>
      </c>
      <c r="AY36" s="579" t="s">
        <v>225</v>
      </c>
      <c r="AZ36" s="584"/>
      <c r="BA36" s="568"/>
      <c r="BB36" s="568"/>
      <c r="BC36" s="568"/>
      <c r="BD36" s="568"/>
      <c r="BE36" s="3901"/>
      <c r="BF36" s="3902"/>
      <c r="BG36" s="3903"/>
      <c r="BH36" s="378"/>
      <c r="BI36" s="206" t="s">
        <v>104</v>
      </c>
      <c r="BJ36" s="169"/>
      <c r="BK36" s="447"/>
      <c r="BL36" s="356"/>
      <c r="BM36" s="381">
        <v>15</v>
      </c>
    </row>
    <row r="37" spans="1:65" ht="15" customHeight="1">
      <c r="A37" s="3862"/>
      <c r="B37" s="551" t="str">
        <f t="shared" si="3"/>
        <v>Ail haché surgelé</v>
      </c>
      <c r="C37" s="546"/>
      <c r="D37" s="3374">
        <f>IF(ISBLANK(AX7),(AA37/AS7)*AW7,(AA37/AX7)*AY7)</f>
        <v>0</v>
      </c>
      <c r="E37" s="533">
        <f t="shared" si="4"/>
        <v>0</v>
      </c>
      <c r="F37" s="532">
        <f>IF(ISBLANK(AX7),(AD37/AS7)*AW7,(AD37/AX7)*AY7)</f>
        <v>8.9285714285714274E-2</v>
      </c>
      <c r="G37" s="3374">
        <f>IF(ISBLANK(AX8),(AA37/AS7)*AW8,(AA37/AX8)*AY8)</f>
        <v>0</v>
      </c>
      <c r="H37" s="533">
        <f t="shared" si="5"/>
        <v>0</v>
      </c>
      <c r="I37" s="532">
        <f>IF(ISBLANK(AX8),(AD37/AS7)*AW8,(AD37/AX8)*AY8)</f>
        <v>0.32499999999999996</v>
      </c>
      <c r="J37" s="3374">
        <f>IF(ISBLANK(AX9),(AA37/AS7)*AW9,(AA37/AX9)*AY9)</f>
        <v>0</v>
      </c>
      <c r="K37" s="533">
        <f t="shared" si="6"/>
        <v>0</v>
      </c>
      <c r="L37" s="532">
        <f>IF(ISBLANK(AX9),(AD37/AS7)*AW9,(AD37/AX9)*AY9)</f>
        <v>0.23571428571428568</v>
      </c>
      <c r="M37" s="3374">
        <f>IF(ISBLANK(AX10),(AA37/AS7)*AW10,(AA37/AX10)*AY10)</f>
        <v>0</v>
      </c>
      <c r="N37" s="533">
        <f t="shared" si="7"/>
        <v>0</v>
      </c>
      <c r="O37" s="532">
        <f>IF(ISBLANK(AX10),(AD37/AS7)*AW10,(AD37/AX10)*AY10)</f>
        <v>0.12857142857142856</v>
      </c>
      <c r="P37" s="3374">
        <f>IF(ISBLANK(AX11),(AA37/AS7)*AW11,(AA37/AX11)*AY11)</f>
        <v>0</v>
      </c>
      <c r="Q37" s="533">
        <f t="shared" si="8"/>
        <v>0</v>
      </c>
      <c r="R37" s="532">
        <f>IF(ISBLANK(AX11),(AD37/AS7)*AW11,(AD37/AX11)*AY11)</f>
        <v>2.8571428571428571E-2</v>
      </c>
      <c r="S37" s="3374">
        <f>IF(ISBLANK(AX12),(AA37/AS7)*AW12,(AA37/AX12)*AY12)</f>
        <v>0</v>
      </c>
      <c r="T37" s="533">
        <f t="shared" si="9"/>
        <v>0</v>
      </c>
      <c r="U37" s="532">
        <f>IF(ISBLANK(AX12),(AD37/AS7)*AW12,(AD37/AX12)*AY12)</f>
        <v>1.4999999999999999E-2</v>
      </c>
      <c r="V37" s="531">
        <f t="shared" si="10"/>
        <v>0.82214285714285706</v>
      </c>
      <c r="W37" s="530">
        <f t="shared" si="11"/>
        <v>0</v>
      </c>
      <c r="X37" s="529">
        <f t="shared" si="12"/>
        <v>0</v>
      </c>
      <c r="Y37" s="4021"/>
      <c r="Z37" s="515"/>
      <c r="AA37" s="545"/>
      <c r="AB37" s="544"/>
      <c r="AC37" s="543">
        <v>0.25</v>
      </c>
      <c r="AD37" s="542">
        <f t="shared" si="13"/>
        <v>0.25</v>
      </c>
      <c r="AE37" s="541"/>
      <c r="AF37" s="3247" t="s">
        <v>6674</v>
      </c>
      <c r="AG37" s="522"/>
      <c r="AH37" s="540">
        <f>IF(ISBLANK(AH9),(AA37/AD10)*AJ7,(AA37/AH9)*AI9)</f>
        <v>0</v>
      </c>
      <c r="AI37" s="539">
        <f t="shared" si="14"/>
        <v>0</v>
      </c>
      <c r="AJ37" s="538">
        <f>IF(ISBLANK(AH9),(AD37/AD10)*AJ7,(AD37/AH9)*AI9)</f>
        <v>0.11370336056599005</v>
      </c>
      <c r="AK37" s="518"/>
      <c r="AL37" s="537">
        <f t="shared" si="15"/>
        <v>0.11370336056599005</v>
      </c>
      <c r="AM37" s="516"/>
      <c r="AN37" s="372">
        <f t="shared" si="16"/>
        <v>0</v>
      </c>
      <c r="AO37" s="3926"/>
      <c r="AP37" s="515"/>
      <c r="AQ37" s="378"/>
      <c r="AR37" s="580"/>
      <c r="AS37" s="579"/>
      <c r="AT37" s="579"/>
      <c r="AU37" s="579"/>
      <c r="AV37" s="596" t="s">
        <v>224</v>
      </c>
      <c r="AW37" s="595" t="str">
        <f>ADDRESS(ROW(AX25),COLUMN(AX25),4)</f>
        <v>AX25</v>
      </c>
      <c r="AX37" s="594">
        <f>AX25</f>
        <v>120</v>
      </c>
      <c r="AY37" s="593" t="s">
        <v>223</v>
      </c>
      <c r="AZ37" s="584"/>
      <c r="BA37" s="568"/>
      <c r="BB37" s="568"/>
      <c r="BC37" s="568"/>
      <c r="BD37" s="568"/>
      <c r="BE37" s="413"/>
      <c r="BF37" s="412"/>
      <c r="BG37" s="411"/>
      <c r="BH37" s="378"/>
      <c r="BI37" s="206" t="s">
        <v>105</v>
      </c>
      <c r="BJ37" s="169"/>
      <c r="BK37" s="447"/>
      <c r="BL37" s="356"/>
      <c r="BM37" s="381">
        <v>15</v>
      </c>
    </row>
    <row r="38" spans="1:65" ht="15" customHeight="1">
      <c r="A38" s="3862"/>
      <c r="B38" s="551" t="str">
        <f t="shared" si="3"/>
        <v xml:space="preserve">Herbes de Provence </v>
      </c>
      <c r="C38" s="546"/>
      <c r="D38" s="3374">
        <f>IF(ISBLANK(AX7),(AA38/AS7)*AW7,(AA38/AX7)*AY7)</f>
        <v>0</v>
      </c>
      <c r="E38" s="533">
        <f t="shared" si="4"/>
        <v>0</v>
      </c>
      <c r="F38" s="532">
        <f>IF(ISBLANK(AX7),(AD38/AS7)*AW7,(AD38/AX7)*AY7)</f>
        <v>5.3571428571428572E-3</v>
      </c>
      <c r="G38" s="3374">
        <f>IF(ISBLANK(AX8),(AA38/AS7)*AW8,(AA38/AX8)*AY8)</f>
        <v>0</v>
      </c>
      <c r="H38" s="533">
        <f t="shared" si="5"/>
        <v>0</v>
      </c>
      <c r="I38" s="532">
        <f>IF(ISBLANK(AX8),(AD38/AS7)*AW8,(AD38/AX8)*AY8)</f>
        <v>1.95E-2</v>
      </c>
      <c r="J38" s="3374">
        <f>IF(ISBLANK(AX9),(AA38/AS7)*AW9,(AA38/AX9)*AY9)</f>
        <v>0</v>
      </c>
      <c r="K38" s="533">
        <f t="shared" si="6"/>
        <v>0</v>
      </c>
      <c r="L38" s="532">
        <f>IF(ISBLANK(AX9),(AD38/AS7)*AW9,(AD38/AX9)*AY9)</f>
        <v>1.4142857142857143E-2</v>
      </c>
      <c r="M38" s="3374">
        <f>IF(ISBLANK(AX10),(AA38/AS7)*AW10,(AA38/AX10)*AY10)</f>
        <v>0</v>
      </c>
      <c r="N38" s="533">
        <f t="shared" si="7"/>
        <v>0</v>
      </c>
      <c r="O38" s="532">
        <f>IF(ISBLANK(AX10),(AD38/AS7)*AW10,(AD38/AX10)*AY10)</f>
        <v>7.7142857142857152E-3</v>
      </c>
      <c r="P38" s="3374">
        <f>IF(ISBLANK(AX11),(AA38/AS7)*AW11,(AA38/AX11)*AY11)</f>
        <v>0</v>
      </c>
      <c r="Q38" s="533">
        <f t="shared" si="8"/>
        <v>0</v>
      </c>
      <c r="R38" s="532">
        <f>IF(ISBLANK(AX11),(AD38/AS7)*AW11,(AD38/AX11)*AY11)</f>
        <v>1.7142857142857144E-3</v>
      </c>
      <c r="S38" s="3374">
        <f>IF(ISBLANK(AX12),(AA38/AS7)*AW12,(AA38/AX12)*AY12)</f>
        <v>0</v>
      </c>
      <c r="T38" s="533">
        <f t="shared" si="9"/>
        <v>0</v>
      </c>
      <c r="U38" s="532">
        <f>IF(ISBLANK(AX12),(AD38/AS7)*AW12,(AD38/AX12)*AY12)</f>
        <v>8.9999999999999998E-4</v>
      </c>
      <c r="V38" s="531">
        <f t="shared" si="10"/>
        <v>4.932857142857143E-2</v>
      </c>
      <c r="W38" s="530">
        <f t="shared" si="11"/>
        <v>0</v>
      </c>
      <c r="X38" s="529">
        <f t="shared" si="12"/>
        <v>0</v>
      </c>
      <c r="Y38" s="4021"/>
      <c r="Z38" s="515"/>
      <c r="AA38" s="528"/>
      <c r="AB38" s="527"/>
      <c r="AC38" s="526">
        <v>1.4999999999999999E-2</v>
      </c>
      <c r="AD38" s="525">
        <f t="shared" si="13"/>
        <v>1.4999999999999999E-2</v>
      </c>
      <c r="AE38" s="524"/>
      <c r="AF38" s="3247" t="s">
        <v>6673</v>
      </c>
      <c r="AG38" s="522"/>
      <c r="AH38" s="521">
        <f>IF(ISBLANK(AH9),(AA38/AD10)*AJ7,(AA38/AH9)*AI9)</f>
        <v>0</v>
      </c>
      <c r="AI38" s="520">
        <f t="shared" si="14"/>
        <v>0</v>
      </c>
      <c r="AJ38" s="519">
        <f>IF(ISBLANK(AH9),(AD38/AD10)*AJ7,(AD38/AH9)*AI9)</f>
        <v>6.8222016339594032E-3</v>
      </c>
      <c r="AK38" s="518"/>
      <c r="AL38" s="517">
        <f t="shared" si="15"/>
        <v>6.8222016339594032E-3</v>
      </c>
      <c r="AM38" s="516"/>
      <c r="AN38" s="372">
        <f t="shared" si="16"/>
        <v>0</v>
      </c>
      <c r="AO38" s="3926"/>
      <c r="AP38" s="515"/>
      <c r="AQ38" s="378"/>
      <c r="AR38" s="592" t="s">
        <v>222</v>
      </c>
      <c r="AS38" s="579"/>
      <c r="AT38" s="579"/>
      <c r="AU38" s="579"/>
      <c r="AV38" s="585"/>
      <c r="AW38" s="579"/>
      <c r="AX38" s="579"/>
      <c r="AY38" s="579"/>
      <c r="AZ38" s="584"/>
      <c r="BA38" s="568"/>
      <c r="BB38" s="568"/>
      <c r="BC38" s="568"/>
      <c r="BD38" s="568"/>
      <c r="BE38" s="3668" t="s">
        <v>221</v>
      </c>
      <c r="BF38" s="3669"/>
      <c r="BG38" s="3670"/>
      <c r="BH38" s="378"/>
      <c r="BI38" s="3815" t="s">
        <v>107</v>
      </c>
      <c r="BJ38" s="3816"/>
      <c r="BK38" s="3904"/>
      <c r="BL38" s="356"/>
      <c r="BM38" s="381">
        <v>15</v>
      </c>
    </row>
    <row r="39" spans="1:65" ht="15" customHeight="1">
      <c r="A39" s="3862"/>
      <c r="B39" s="551" t="str">
        <f t="shared" si="3"/>
        <v>Sel  quantités suffisantes</v>
      </c>
      <c r="C39" s="546"/>
      <c r="D39" s="3374">
        <f>IF(ISBLANK(AX7),(AA39/AS7)*AW7,(AA39/AX7)*AY7)</f>
        <v>0</v>
      </c>
      <c r="E39" s="533" t="str">
        <f t="shared" si="4"/>
        <v>QS</v>
      </c>
      <c r="F39" s="532">
        <f>IF(ISBLANK(AX7),(AD39/AS7)*AW7,(AD39/AX7)*AY7)</f>
        <v>0</v>
      </c>
      <c r="G39" s="3374">
        <f>IF(ISBLANK(AX8),(AA39/AS7)*AW8,(AA39/AX8)*AY8)</f>
        <v>0</v>
      </c>
      <c r="H39" s="533" t="str">
        <f t="shared" si="5"/>
        <v>QS</v>
      </c>
      <c r="I39" s="532">
        <f>IF(ISBLANK(AX8),(AD39/AS7)*AW8,(AD39/AX8)*AY8)</f>
        <v>0</v>
      </c>
      <c r="J39" s="3374">
        <f>IF(ISBLANK(AX9),(AA39/AS7)*AW9,(AA39/AX9)*AY9)</f>
        <v>0</v>
      </c>
      <c r="K39" s="533" t="str">
        <f t="shared" si="6"/>
        <v>QS</v>
      </c>
      <c r="L39" s="532">
        <f>IF(ISBLANK(AX9),(AD39/AS7)*AW9,(AD39/AX9)*AY9)</f>
        <v>0</v>
      </c>
      <c r="M39" s="3374">
        <f>IF(ISBLANK(AX10),(AA39/AS7)*AW10,(AA39/AX10)*AY10)</f>
        <v>0</v>
      </c>
      <c r="N39" s="533" t="str">
        <f t="shared" si="7"/>
        <v>QS</v>
      </c>
      <c r="O39" s="532">
        <f>IF(ISBLANK(AX10),(AD39/AS7)*AW10,(AD39/AX10)*AY10)</f>
        <v>0</v>
      </c>
      <c r="P39" s="3374">
        <f>IF(ISBLANK(AX11),(AA39/AS7)*AW11,(AA39/AX11)*AY11)</f>
        <v>0</v>
      </c>
      <c r="Q39" s="533" t="str">
        <f t="shared" si="8"/>
        <v>QS</v>
      </c>
      <c r="R39" s="532">
        <f>IF(ISBLANK(AX11),(AD39/AS7)*AW11,(AD39/AX11)*AY11)</f>
        <v>0</v>
      </c>
      <c r="S39" s="3374">
        <f>IF(ISBLANK(AX12),(AA39/AS7)*AW12,(AA39/AX12)*AY12)</f>
        <v>0</v>
      </c>
      <c r="T39" s="533" t="str">
        <f t="shared" si="9"/>
        <v>QS</v>
      </c>
      <c r="U39" s="532">
        <f>IF(ISBLANK(AX12),(AD39/AS7)*AW12,(AD39/AX12)*AY12)</f>
        <v>0</v>
      </c>
      <c r="V39" s="531">
        <f t="shared" si="10"/>
        <v>0</v>
      </c>
      <c r="W39" s="530">
        <f t="shared" si="11"/>
        <v>0</v>
      </c>
      <c r="X39" s="529">
        <f t="shared" si="12"/>
        <v>0</v>
      </c>
      <c r="Y39" s="4021"/>
      <c r="Z39" s="515"/>
      <c r="AA39" s="545"/>
      <c r="AB39" s="544" t="s">
        <v>325</v>
      </c>
      <c r="AC39" s="543">
        <v>0</v>
      </c>
      <c r="AD39" s="542">
        <f t="shared" si="13"/>
        <v>0</v>
      </c>
      <c r="AE39" s="541"/>
      <c r="AF39" s="3247" t="s">
        <v>6672</v>
      </c>
      <c r="AG39" s="522"/>
      <c r="AH39" s="540">
        <f>IF(ISBLANK(AH9),(AA39/AD10)*AJ7,(AA39/AH9)*AI9)</f>
        <v>0</v>
      </c>
      <c r="AI39" s="539" t="str">
        <f t="shared" si="14"/>
        <v>QS</v>
      </c>
      <c r="AJ39" s="538">
        <f>IF(ISBLANK(AH9),(AD39/AD10)*AJ7,(AD39/AH9)*AI9)</f>
        <v>0</v>
      </c>
      <c r="AK39" s="518"/>
      <c r="AL39" s="537">
        <f t="shared" si="15"/>
        <v>0</v>
      </c>
      <c r="AM39" s="516"/>
      <c r="AN39" s="372">
        <f t="shared" si="16"/>
        <v>0</v>
      </c>
      <c r="AO39" s="3926"/>
      <c r="AP39" s="515"/>
      <c r="AQ39" s="378"/>
      <c r="AR39" s="591"/>
      <c r="AS39" s="590"/>
      <c r="AT39" s="589"/>
      <c r="AU39" s="589"/>
      <c r="AV39" s="588" t="s">
        <v>220</v>
      </c>
      <c r="AW39" s="587" t="str">
        <f>LEFT(ADDRESS(1,COLUMN(AD12),4),LEN(ADDRESS(1,COLUMN(AD12),4))-1)</f>
        <v>AD</v>
      </c>
      <c r="AX39" s="378"/>
      <c r="AY39" s="378"/>
      <c r="AZ39" s="584"/>
      <c r="BA39" s="568"/>
      <c r="BB39" s="568"/>
      <c r="BC39" s="568"/>
      <c r="BD39" s="568"/>
      <c r="BE39" s="3668"/>
      <c r="BF39" s="3669"/>
      <c r="BG39" s="3670"/>
      <c r="BH39" s="378"/>
      <c r="BI39" s="3815"/>
      <c r="BJ39" s="3816"/>
      <c r="BK39" s="3904"/>
      <c r="BL39" s="356"/>
      <c r="BM39" s="381">
        <v>15</v>
      </c>
    </row>
    <row r="40" spans="1:65" ht="15" customHeight="1">
      <c r="A40" s="3862"/>
      <c r="B40" s="551" t="str">
        <f t="shared" si="3"/>
        <v>Poivre    quantités suffisantes</v>
      </c>
      <c r="C40" s="546"/>
      <c r="D40" s="3374">
        <f>IF(ISBLANK(AX7),(AA40/AS7)*AW7,(AA40/AX7)*AY7)</f>
        <v>0</v>
      </c>
      <c r="E40" s="533" t="str">
        <f t="shared" si="4"/>
        <v>QS</v>
      </c>
      <c r="F40" s="532">
        <f>IF(ISBLANK(AX7),(AD40/AS7)*AW7,(AD40/AX7)*AY7)</f>
        <v>0</v>
      </c>
      <c r="G40" s="3374">
        <f>IF(ISBLANK(AX8),(AA40/AS7)*AW8,(AA40/AX8)*AY8)</f>
        <v>0</v>
      </c>
      <c r="H40" s="533" t="str">
        <f t="shared" si="5"/>
        <v>QS</v>
      </c>
      <c r="I40" s="532">
        <f>IF(ISBLANK(AX8),(AD40/AS7)*AW8,(AD40/AX8)*AY8)</f>
        <v>0</v>
      </c>
      <c r="J40" s="3374">
        <f>IF(ISBLANK(AX9),(AA40/AS7)*AW9,(AA40/AX9)*AY9)</f>
        <v>0</v>
      </c>
      <c r="K40" s="533" t="str">
        <f t="shared" si="6"/>
        <v>QS</v>
      </c>
      <c r="L40" s="532">
        <f>IF(ISBLANK(AX9),(AD40/AS7)*AW9,(AD40/AX9)*AY9)</f>
        <v>0</v>
      </c>
      <c r="M40" s="3374">
        <f>IF(ISBLANK(AX10),(AA40/AS7)*AW10,(AA40/AX10)*AY10)</f>
        <v>0</v>
      </c>
      <c r="N40" s="533" t="str">
        <f t="shared" si="7"/>
        <v>QS</v>
      </c>
      <c r="O40" s="532">
        <f>IF(ISBLANK(AX10),(AD40/AS7)*AW10,(AD40/AX10)*AY10)</f>
        <v>0</v>
      </c>
      <c r="P40" s="3374">
        <f>IF(ISBLANK(AX11),(AA40/AS7)*AW11,(AA40/AX11)*AY11)</f>
        <v>0</v>
      </c>
      <c r="Q40" s="533" t="str">
        <f t="shared" si="8"/>
        <v>QS</v>
      </c>
      <c r="R40" s="532">
        <f>IF(ISBLANK(AX11),(AD40/AS7)*AW11,(AD40/AX11)*AY11)</f>
        <v>0</v>
      </c>
      <c r="S40" s="3374">
        <f>IF(ISBLANK(AX12),(AA40/AS7)*AW12,(AA40/AX12)*AY12)</f>
        <v>0</v>
      </c>
      <c r="T40" s="533" t="str">
        <f t="shared" si="9"/>
        <v>QS</v>
      </c>
      <c r="U40" s="532">
        <f>IF(ISBLANK(AX12),(AD40/AS7)*AW12,(AD40/AX12)*AY12)</f>
        <v>0</v>
      </c>
      <c r="V40" s="531">
        <f t="shared" si="10"/>
        <v>0</v>
      </c>
      <c r="W40" s="530">
        <f t="shared" si="11"/>
        <v>0</v>
      </c>
      <c r="X40" s="529">
        <f t="shared" si="12"/>
        <v>0</v>
      </c>
      <c r="Y40" s="4021"/>
      <c r="Z40" s="515"/>
      <c r="AA40" s="528"/>
      <c r="AB40" s="527" t="s">
        <v>325</v>
      </c>
      <c r="AC40" s="526">
        <v>0</v>
      </c>
      <c r="AD40" s="525">
        <f t="shared" si="13"/>
        <v>0</v>
      </c>
      <c r="AE40" s="524"/>
      <c r="AF40" s="3247" t="s">
        <v>6671</v>
      </c>
      <c r="AG40" s="522"/>
      <c r="AH40" s="521">
        <f>IF(ISBLANK(AH9),(AA40/AD10)*AJ7,(AA40/AH9)*AI9)</f>
        <v>0</v>
      </c>
      <c r="AI40" s="520" t="str">
        <f t="shared" si="14"/>
        <v>QS</v>
      </c>
      <c r="AJ40" s="519">
        <f>IF(ISBLANK(AH9),(AD40/AD10)*AJ7,(AD40/AH9)*AI9)</f>
        <v>0</v>
      </c>
      <c r="AK40" s="518"/>
      <c r="AL40" s="517">
        <f t="shared" si="15"/>
        <v>0</v>
      </c>
      <c r="AM40" s="516"/>
      <c r="AN40" s="372">
        <f t="shared" si="16"/>
        <v>0</v>
      </c>
      <c r="AO40" s="3926"/>
      <c r="AP40" s="515"/>
      <c r="AQ40" s="378"/>
      <c r="AR40" s="586" t="s">
        <v>219</v>
      </c>
      <c r="AS40" s="579"/>
      <c r="AT40" s="579"/>
      <c r="AU40" s="579"/>
      <c r="AV40" s="585"/>
      <c r="AW40" s="579"/>
      <c r="AX40" s="579"/>
      <c r="AY40" s="579"/>
      <c r="AZ40" s="584"/>
      <c r="BA40" s="568"/>
      <c r="BB40" s="568"/>
      <c r="BC40" s="568"/>
      <c r="BD40" s="568"/>
      <c r="BE40" s="583" t="s">
        <v>218</v>
      </c>
      <c r="BF40" s="582" t="str">
        <f>LEFT(ADDRESS(1,COLUMN(AH6),4),LEN(ADDRESS(1,COLUMN(AH6),4))-1)</f>
        <v>AH</v>
      </c>
      <c r="BG40" s="581" t="str">
        <f>LEFT(ADDRESS(1,COLUMN(AJ6),4),LEN(ADDRESS(1,COLUMN(AJ6),4))-1)</f>
        <v>AJ</v>
      </c>
      <c r="BH40" s="378"/>
      <c r="BI40" s="3815"/>
      <c r="BJ40" s="3816"/>
      <c r="BK40" s="3904"/>
      <c r="BL40" s="356"/>
      <c r="BM40" s="381">
        <v>15</v>
      </c>
    </row>
    <row r="41" spans="1:65" ht="15" customHeight="1">
      <c r="A41" s="3862"/>
      <c r="B41" s="551" t="str">
        <f t="shared" si="3"/>
        <v>Chapelure</v>
      </c>
      <c r="C41" s="546"/>
      <c r="D41" s="3374">
        <f>IF(ISBLANK(AX7),(AA41/AS7)*AW7,(AA41/AX7)*AY7)</f>
        <v>0</v>
      </c>
      <c r="E41" s="533">
        <f t="shared" si="4"/>
        <v>0</v>
      </c>
      <c r="F41" s="532">
        <f>IF(ISBLANK(AX7),(AD41/AS7)*AW7,(AD41/AX7)*AY7)</f>
        <v>0.3571428571428571</v>
      </c>
      <c r="G41" s="3374">
        <f>IF(ISBLANK(AX8),(AA41/AS7)*AW8,(AA41/AX8)*AY8)</f>
        <v>0</v>
      </c>
      <c r="H41" s="533">
        <f t="shared" si="5"/>
        <v>0</v>
      </c>
      <c r="I41" s="532">
        <f>IF(ISBLANK(AX8),(AD41/AS7)*AW8,(AD41/AX8)*AY8)</f>
        <v>1.2999999999999998</v>
      </c>
      <c r="J41" s="3374">
        <f>IF(ISBLANK(AX9),(AA41/AS7)*AW9,(AA41/AX9)*AY9)</f>
        <v>0</v>
      </c>
      <c r="K41" s="533">
        <f t="shared" si="6"/>
        <v>0</v>
      </c>
      <c r="L41" s="532">
        <f>IF(ISBLANK(AX9),(AD41/AS7)*AW9,(AD41/AX9)*AY9)</f>
        <v>0.94285714285714273</v>
      </c>
      <c r="M41" s="3374">
        <f>IF(ISBLANK(AX10),(AA41/AS7)*AW10,(AA41/AX10)*AY10)</f>
        <v>0</v>
      </c>
      <c r="N41" s="533">
        <f t="shared" si="7"/>
        <v>0</v>
      </c>
      <c r="O41" s="532">
        <f>IF(ISBLANK(AX10),(AD41/AS7)*AW10,(AD41/AX10)*AY10)</f>
        <v>0.51428571428571423</v>
      </c>
      <c r="P41" s="3374">
        <f>IF(ISBLANK(AX11),(AA41/AS7)*AW11,(AA41/AX11)*AY11)</f>
        <v>0</v>
      </c>
      <c r="Q41" s="533">
        <f t="shared" si="8"/>
        <v>0</v>
      </c>
      <c r="R41" s="532">
        <f>IF(ISBLANK(AX11),(AD41/AS7)*AW11,(AD41/AX11)*AY11)</f>
        <v>0.11428571428571428</v>
      </c>
      <c r="S41" s="3374">
        <f>IF(ISBLANK(AX12),(AA41/AS7)*AW12,(AA41/AX12)*AY12)</f>
        <v>0</v>
      </c>
      <c r="T41" s="533">
        <f t="shared" si="9"/>
        <v>0</v>
      </c>
      <c r="U41" s="532">
        <f>IF(ISBLANK(AX12),(AD41/AS7)*AW12,(AD41/AX12)*AY12)</f>
        <v>0.06</v>
      </c>
      <c r="V41" s="531">
        <f t="shared" si="10"/>
        <v>3.2885714285714283</v>
      </c>
      <c r="W41" s="530">
        <f t="shared" si="11"/>
        <v>0</v>
      </c>
      <c r="X41" s="529">
        <f t="shared" si="12"/>
        <v>0</v>
      </c>
      <c r="Y41" s="4021"/>
      <c r="Z41" s="515"/>
      <c r="AA41" s="545"/>
      <c r="AB41" s="544"/>
      <c r="AC41" s="543">
        <v>1</v>
      </c>
      <c r="AD41" s="542">
        <f t="shared" si="13"/>
        <v>1</v>
      </c>
      <c r="AE41" s="541"/>
      <c r="AF41" s="3247" t="s">
        <v>6670</v>
      </c>
      <c r="AG41" s="522"/>
      <c r="AH41" s="540">
        <f>IF(ISBLANK(AH9),(AA41/AD10)*AJ7,(AA41/AH9)*AI9)</f>
        <v>0</v>
      </c>
      <c r="AI41" s="539">
        <f t="shared" si="14"/>
        <v>0</v>
      </c>
      <c r="AJ41" s="538">
        <f>IF(ISBLANK(AH9),(AD41/AD10)*AJ7,(AD41/AH9)*AI9)</f>
        <v>0.4548134422639602</v>
      </c>
      <c r="AK41" s="518"/>
      <c r="AL41" s="537">
        <f t="shared" si="15"/>
        <v>0.4548134422639602</v>
      </c>
      <c r="AM41" s="516"/>
      <c r="AN41" s="372">
        <f t="shared" si="16"/>
        <v>0</v>
      </c>
      <c r="AO41" s="3926"/>
      <c r="AP41" s="515"/>
      <c r="AQ41" s="378"/>
      <c r="AR41" s="580"/>
      <c r="AS41" s="579"/>
      <c r="AT41" s="579"/>
      <c r="AU41" s="578" t="s">
        <v>217</v>
      </c>
      <c r="AV41" s="577" t="s">
        <v>216</v>
      </c>
      <c r="AW41" s="576" t="str">
        <f>LEFT(ADDRESS(1,COLUMN(AY6),4),LEN(ADDRESS(1,COLUMN(AY6),4))-1)</f>
        <v>AY</v>
      </c>
      <c r="AX41" s="376" t="s">
        <v>215</v>
      </c>
      <c r="AY41" s="575" t="s">
        <v>214</v>
      </c>
      <c r="AZ41" s="574" t="str">
        <f>ADDRESS(ROW(AI9),COLUMN(AI9),4)</f>
        <v>AI9</v>
      </c>
      <c r="BA41" s="568"/>
      <c r="BB41" s="568"/>
      <c r="BC41" s="568"/>
      <c r="BD41" s="568"/>
      <c r="BE41" s="413"/>
      <c r="BF41" s="573" t="s">
        <v>94</v>
      </c>
      <c r="BG41" s="572" t="str">
        <f>ADDRESS(ROW(AH7),COLUMN(AH7),4)</f>
        <v>AH7</v>
      </c>
      <c r="BH41" s="378"/>
      <c r="BI41" s="206" t="s">
        <v>110</v>
      </c>
      <c r="BJ41" s="169"/>
      <c r="BK41" s="447"/>
      <c r="BL41" s="356"/>
      <c r="BM41" s="381">
        <v>15</v>
      </c>
    </row>
    <row r="42" spans="1:65" ht="15" customHeight="1" thickBot="1">
      <c r="A42" s="3862"/>
      <c r="B42" s="551">
        <f t="shared" si="3"/>
        <v>0</v>
      </c>
      <c r="C42" s="546"/>
      <c r="D42" s="3374">
        <f>IF(ISBLANK(AX7),(AA42/AS7)*AW7,(AA42/AX7)*AY7)</f>
        <v>0</v>
      </c>
      <c r="E42" s="533">
        <f t="shared" si="4"/>
        <v>0</v>
      </c>
      <c r="F42" s="532">
        <f>IF(ISBLANK(AX7),(AD42/AS7)*AW7,(AD42/AX7)*AY7)</f>
        <v>0</v>
      </c>
      <c r="G42" s="3374">
        <f>IF(ISBLANK(AX8),(AA42/AS7)*AW8,(AA42/AX8)*AY8)</f>
        <v>0</v>
      </c>
      <c r="H42" s="533">
        <f t="shared" si="5"/>
        <v>0</v>
      </c>
      <c r="I42" s="532">
        <f>IF(ISBLANK(AX8),(AD42/AS7)*AW8,(AD42/AX8)*AY8)</f>
        <v>0</v>
      </c>
      <c r="J42" s="3374">
        <f>IF(ISBLANK(AX9),(AA42/AS7)*AW9,(AA42/AX9)*AY9)</f>
        <v>0</v>
      </c>
      <c r="K42" s="533">
        <f t="shared" si="6"/>
        <v>0</v>
      </c>
      <c r="L42" s="532">
        <f>IF(ISBLANK(AX9),(AD42/AS7)*AW9,(AD42/AX9)*AY9)</f>
        <v>0</v>
      </c>
      <c r="M42" s="3374">
        <f>IF(ISBLANK(AX10),(AA42/AS7)*AW10,(AA42/AX10)*AY10)</f>
        <v>0</v>
      </c>
      <c r="N42" s="533">
        <f t="shared" si="7"/>
        <v>0</v>
      </c>
      <c r="O42" s="532">
        <f>IF(ISBLANK(AX10),(AD42/AS7)*AW10,(AD42/AX10)*AY10)</f>
        <v>0</v>
      </c>
      <c r="P42" s="3374">
        <f>IF(ISBLANK(AX11),(AA42/AS7)*AW11,(AA42/AX11)*AY11)</f>
        <v>0</v>
      </c>
      <c r="Q42" s="533">
        <f t="shared" si="8"/>
        <v>0</v>
      </c>
      <c r="R42" s="532">
        <f>IF(ISBLANK(AX11),(AD42/AS7)*AW11,(AD42/AX11)*AY11)</f>
        <v>0</v>
      </c>
      <c r="S42" s="3374">
        <f>IF(ISBLANK(AX12),(AA42/AS7)*AW12,(AA42/AX12)*AY12)</f>
        <v>0</v>
      </c>
      <c r="T42" s="533">
        <f t="shared" si="9"/>
        <v>0</v>
      </c>
      <c r="U42" s="532">
        <f>IF(ISBLANK(AX12),(AD42/AS7)*AW12,(AD42/AX12)*AY12)</f>
        <v>0</v>
      </c>
      <c r="V42" s="531">
        <f t="shared" si="10"/>
        <v>0</v>
      </c>
      <c r="W42" s="530">
        <f t="shared" si="11"/>
        <v>0</v>
      </c>
      <c r="X42" s="529">
        <f t="shared" si="12"/>
        <v>0</v>
      </c>
      <c r="Y42" s="4021"/>
      <c r="Z42" s="515"/>
      <c r="AA42" s="528"/>
      <c r="AB42" s="527"/>
      <c r="AC42" s="526"/>
      <c r="AD42" s="525">
        <f t="shared" si="13"/>
        <v>0</v>
      </c>
      <c r="AE42" s="524"/>
      <c r="AF42" s="523"/>
      <c r="AG42" s="522"/>
      <c r="AH42" s="521">
        <f>IF(ISBLANK(AH9),(AA42/AD10)*AJ7,(AA42/AH9)*AI9)</f>
        <v>0</v>
      </c>
      <c r="AI42" s="520">
        <f t="shared" si="14"/>
        <v>0</v>
      </c>
      <c r="AJ42" s="519">
        <f>IF(ISBLANK(AH9),(AD42/AD10)*AJ7,(AD42/AH9)*AI9)</f>
        <v>0</v>
      </c>
      <c r="AK42" s="518"/>
      <c r="AL42" s="517">
        <f t="shared" si="15"/>
        <v>0</v>
      </c>
      <c r="AM42" s="516"/>
      <c r="AN42" s="372">
        <f t="shared" si="16"/>
        <v>0</v>
      </c>
      <c r="AO42" s="3926"/>
      <c r="AP42" s="515"/>
      <c r="AQ42" s="378"/>
      <c r="AR42" s="3256"/>
      <c r="AS42" s="3255"/>
      <c r="AT42" s="3255"/>
      <c r="AU42" s="3255"/>
      <c r="AV42" s="3255"/>
      <c r="AW42" s="3255"/>
      <c r="AX42" s="3255"/>
      <c r="AY42" s="3255"/>
      <c r="AZ42" s="3254"/>
      <c r="BA42" s="568"/>
      <c r="BB42" s="568"/>
      <c r="BC42" s="568"/>
      <c r="BD42" s="568"/>
      <c r="BE42" s="413"/>
      <c r="BF42" s="567" t="s">
        <v>213</v>
      </c>
      <c r="BG42" s="513" t="str">
        <f>ADDRESS(ROW(AI7),COLUMN(AI7),4)</f>
        <v>AI7</v>
      </c>
      <c r="BH42" s="378"/>
      <c r="BI42" s="3815" t="s">
        <v>112</v>
      </c>
      <c r="BJ42" s="3816"/>
      <c r="BK42" s="3904"/>
      <c r="BL42" s="356"/>
      <c r="BM42" s="381">
        <v>15</v>
      </c>
    </row>
    <row r="43" spans="1:65" ht="15" customHeight="1">
      <c r="A43" s="3862"/>
      <c r="B43" s="551">
        <f t="shared" si="3"/>
        <v>0</v>
      </c>
      <c r="C43" s="546"/>
      <c r="D43" s="3374">
        <f>IF(ISBLANK(AX7),(AA43/AS7)*AW7,(AA43/AX7)*AY7)</f>
        <v>0</v>
      </c>
      <c r="E43" s="533">
        <f t="shared" si="4"/>
        <v>0</v>
      </c>
      <c r="F43" s="532">
        <f>IF(ISBLANK(AX7),(AD43/AS7)*AW7,(AD43/AX7)*AY7)</f>
        <v>0</v>
      </c>
      <c r="G43" s="3374">
        <f>IF(ISBLANK(AX8),(AA43/AS7)*AW8,(AA43/AX8)*AY8)</f>
        <v>0</v>
      </c>
      <c r="H43" s="533">
        <f t="shared" si="5"/>
        <v>0</v>
      </c>
      <c r="I43" s="532">
        <f>IF(ISBLANK(AX8),(AD43/AS7)*AW8,(AD43/AX8)*AY8)</f>
        <v>0</v>
      </c>
      <c r="J43" s="3374">
        <f>IF(ISBLANK(AX9),(AA43/AS7)*AW9,(AA43/AX9)*AY9)</f>
        <v>0</v>
      </c>
      <c r="K43" s="533">
        <f t="shared" si="6"/>
        <v>0</v>
      </c>
      <c r="L43" s="532">
        <f>IF(ISBLANK(AX9),(AD43/AS7)*AW9,(AD43/AX9)*AY9)</f>
        <v>0</v>
      </c>
      <c r="M43" s="3374">
        <f>IF(ISBLANK(AX10),(AA43/AS7)*AW10,(AA43/AX10)*AY10)</f>
        <v>0</v>
      </c>
      <c r="N43" s="533">
        <f t="shared" si="7"/>
        <v>0</v>
      </c>
      <c r="O43" s="532">
        <f>IF(ISBLANK(AX10),(AD43/AS7)*AW10,(AD43/AX10)*AY10)</f>
        <v>0</v>
      </c>
      <c r="P43" s="3374">
        <f>IF(ISBLANK(AX11),(AA43/AS7)*AW11,(AA43/AX11)*AY11)</f>
        <v>0</v>
      </c>
      <c r="Q43" s="533">
        <f t="shared" si="8"/>
        <v>0</v>
      </c>
      <c r="R43" s="532">
        <f>IF(ISBLANK(AX11),(AD43/AS7)*AW11,(AD43/AX11)*AY11)</f>
        <v>0</v>
      </c>
      <c r="S43" s="3374">
        <f>IF(ISBLANK(AX12),(AA43/AS7)*AW12,(AA43/AX12)*AY12)</f>
        <v>0</v>
      </c>
      <c r="T43" s="533">
        <f t="shared" si="9"/>
        <v>0</v>
      </c>
      <c r="U43" s="532">
        <f>IF(ISBLANK(AX12),(AD43/AS7)*AW12,(AD43/AX12)*AY12)</f>
        <v>0</v>
      </c>
      <c r="V43" s="531">
        <f t="shared" si="10"/>
        <v>0</v>
      </c>
      <c r="W43" s="530">
        <f t="shared" si="11"/>
        <v>0</v>
      </c>
      <c r="X43" s="529">
        <f t="shared" si="12"/>
        <v>0</v>
      </c>
      <c r="Y43" s="4021"/>
      <c r="Z43" s="515"/>
      <c r="AA43" s="545"/>
      <c r="AB43" s="544"/>
      <c r="AC43" s="543"/>
      <c r="AD43" s="542">
        <f t="shared" si="13"/>
        <v>0</v>
      </c>
      <c r="AE43" s="541"/>
      <c r="AF43" s="523"/>
      <c r="AG43" s="522"/>
      <c r="AH43" s="540">
        <f>IF(ISBLANK(AH9),(AA43/AD10)*AJ7,(AA43/AH9)*AI9)</f>
        <v>0</v>
      </c>
      <c r="AI43" s="539">
        <f t="shared" si="14"/>
        <v>0</v>
      </c>
      <c r="AJ43" s="538">
        <f>IF(ISBLANK(AH9),(AD43/AD10)*AJ7,(AD43/AH9)*AI9)</f>
        <v>0</v>
      </c>
      <c r="AK43" s="518"/>
      <c r="AL43" s="537">
        <f t="shared" si="15"/>
        <v>0</v>
      </c>
      <c r="AM43" s="516"/>
      <c r="AN43" s="372">
        <f t="shared" si="16"/>
        <v>0</v>
      </c>
      <c r="AO43" s="3926"/>
      <c r="AP43" s="515"/>
      <c r="AQ43" s="378"/>
      <c r="AR43" s="378"/>
      <c r="AS43" s="378"/>
      <c r="AT43" s="378"/>
      <c r="AU43" s="378"/>
      <c r="AV43" s="378"/>
      <c r="AW43" s="378"/>
      <c r="AX43" s="378"/>
      <c r="AY43" s="378"/>
      <c r="AZ43" s="378"/>
      <c r="BA43" s="378"/>
      <c r="BB43" s="378"/>
      <c r="BC43" s="378"/>
      <c r="BD43" s="378"/>
      <c r="BE43" s="566"/>
      <c r="BF43" s="565" t="s">
        <v>212</v>
      </c>
      <c r="BG43" s="513" t="str">
        <f>ADDRESS(ROW(AH9),COLUMN(AH9),4)</f>
        <v>AH9</v>
      </c>
      <c r="BH43" s="378"/>
      <c r="BI43" s="3815"/>
      <c r="BJ43" s="3816"/>
      <c r="BK43" s="3904"/>
      <c r="BL43" s="356"/>
      <c r="BM43" s="381">
        <v>15</v>
      </c>
    </row>
    <row r="44" spans="1:65" ht="15" customHeight="1">
      <c r="A44" s="3862"/>
      <c r="B44" s="551">
        <f t="shared" si="3"/>
        <v>0</v>
      </c>
      <c r="C44" s="546"/>
      <c r="D44" s="3374">
        <f>IF(ISBLANK(AX7),(AA44/AS7)*AW7,(AA44/AX7)*AY7)</f>
        <v>0</v>
      </c>
      <c r="E44" s="533">
        <f t="shared" si="4"/>
        <v>0</v>
      </c>
      <c r="F44" s="532">
        <f>IF(ISBLANK(AX7),(AD44/AS7)*AW7,(AD44/AX7)*AY7)</f>
        <v>0</v>
      </c>
      <c r="G44" s="3374">
        <f>IF(ISBLANK(AX8),(AA44/AS7)*AW8,(AA44/AX8)*AY8)</f>
        <v>0</v>
      </c>
      <c r="H44" s="533">
        <f t="shared" si="5"/>
        <v>0</v>
      </c>
      <c r="I44" s="532">
        <f>IF(ISBLANK(AX8),(AD44/AS7)*AW8,(AD44/AX8)*AY8)</f>
        <v>0</v>
      </c>
      <c r="J44" s="3374">
        <f>IF(ISBLANK(AX9),(AA44/AS7)*AW9,(AA44/AX9)*AY9)</f>
        <v>0</v>
      </c>
      <c r="K44" s="533">
        <f t="shared" si="6"/>
        <v>0</v>
      </c>
      <c r="L44" s="532">
        <f>IF(ISBLANK(AX9),(AD44/AS7)*AW9,(AD44/AX9)*AY9)</f>
        <v>0</v>
      </c>
      <c r="M44" s="3374">
        <f>IF(ISBLANK(AX10),(AA44/AS7)*AW10,(AA44/AX10)*AY10)</f>
        <v>0</v>
      </c>
      <c r="N44" s="533">
        <f t="shared" si="7"/>
        <v>0</v>
      </c>
      <c r="O44" s="532">
        <f>IF(ISBLANK(AX10),(AD44/AS7)*AW10,(AD44/AX10)*AY10)</f>
        <v>0</v>
      </c>
      <c r="P44" s="3374">
        <f>IF(ISBLANK(AX11),(AA44/AS7)*AW11,(AA44/AX11)*AY11)</f>
        <v>0</v>
      </c>
      <c r="Q44" s="533">
        <f t="shared" si="8"/>
        <v>0</v>
      </c>
      <c r="R44" s="532">
        <f>IF(ISBLANK(AX11),(AD44/AS7)*AW11,(AD44/AX11)*AY11)</f>
        <v>0</v>
      </c>
      <c r="S44" s="3374">
        <f>IF(ISBLANK(AX12),(AA44/AS7)*AW12,(AA44/AX12)*AY12)</f>
        <v>0</v>
      </c>
      <c r="T44" s="533">
        <f t="shared" si="9"/>
        <v>0</v>
      </c>
      <c r="U44" s="532">
        <f>IF(ISBLANK(AX12),(AD44/AS7)*AW12,(AD44/AX12)*AY12)</f>
        <v>0</v>
      </c>
      <c r="V44" s="531">
        <f t="shared" si="10"/>
        <v>0</v>
      </c>
      <c r="W44" s="530">
        <f t="shared" si="11"/>
        <v>0</v>
      </c>
      <c r="X44" s="529">
        <f t="shared" si="12"/>
        <v>0</v>
      </c>
      <c r="Y44" s="4021"/>
      <c r="Z44" s="515"/>
      <c r="AA44" s="528"/>
      <c r="AB44" s="527"/>
      <c r="AC44" s="526"/>
      <c r="AD44" s="525">
        <f t="shared" si="13"/>
        <v>0</v>
      </c>
      <c r="AE44" s="524"/>
      <c r="AF44" s="523"/>
      <c r="AG44" s="522"/>
      <c r="AH44" s="521">
        <f>IF(ISBLANK(AH9),(AA44/AD10)*AJ7,(AA44/AH9)*AI9)</f>
        <v>0</v>
      </c>
      <c r="AI44" s="520">
        <f t="shared" si="14"/>
        <v>0</v>
      </c>
      <c r="AJ44" s="519">
        <f>IF(ISBLANK(AH9),(AD44/AD10)*AJ7,(AD44/AH9)*AI9)</f>
        <v>0</v>
      </c>
      <c r="AK44" s="518"/>
      <c r="AL44" s="517">
        <f t="shared" si="15"/>
        <v>0</v>
      </c>
      <c r="AM44" s="516"/>
      <c r="AN44" s="372">
        <f t="shared" si="16"/>
        <v>0</v>
      </c>
      <c r="AO44" s="3926"/>
      <c r="AP44" s="515"/>
      <c r="AQ44" s="378"/>
      <c r="AR44" s="378"/>
      <c r="AS44" s="378"/>
      <c r="AT44" s="378"/>
      <c r="AU44" s="378"/>
      <c r="AV44" s="378"/>
      <c r="AW44" s="378"/>
      <c r="AX44" s="378"/>
      <c r="AY44" s="378"/>
      <c r="AZ44" s="378"/>
      <c r="BA44" s="378"/>
      <c r="BB44" s="378"/>
      <c r="BC44" s="378"/>
      <c r="BD44" s="378"/>
      <c r="BE44" s="564"/>
      <c r="BF44" s="563" t="s">
        <v>211</v>
      </c>
      <c r="BG44" s="513" t="str">
        <f>ADDRESS(ROW(AI9),COLUMN(AI9),4)</f>
        <v>AI9</v>
      </c>
      <c r="BH44" s="378"/>
      <c r="BI44" s="3815"/>
      <c r="BJ44" s="3816"/>
      <c r="BK44" s="3904"/>
      <c r="BL44" s="356"/>
      <c r="BM44" s="381">
        <v>15</v>
      </c>
    </row>
    <row r="45" spans="1:65" ht="15" customHeight="1">
      <c r="A45" s="3862"/>
      <c r="B45" s="551">
        <f t="shared" ref="B45:B62" si="17">AF45</f>
        <v>0</v>
      </c>
      <c r="C45" s="546"/>
      <c r="D45" s="3374">
        <f>IF(ISBLANK(AX7),(AA45/AS7)*AW7,(AA45/AX7)*AY7)</f>
        <v>0</v>
      </c>
      <c r="E45" s="533">
        <f t="shared" ref="E45:E62" si="18">AB45</f>
        <v>0</v>
      </c>
      <c r="F45" s="532">
        <f>IF(ISBLANK(AX7),(AD45/AS7)*AW7,(AD45/AX7)*AY7)</f>
        <v>0</v>
      </c>
      <c r="G45" s="3374">
        <f>IF(ISBLANK(AX8),(AA45/AS7)*AW8,(AA45/AX8)*AY8)</f>
        <v>0</v>
      </c>
      <c r="H45" s="533">
        <f t="shared" ref="H45:H62" si="19">AB45</f>
        <v>0</v>
      </c>
      <c r="I45" s="532">
        <f>IF(ISBLANK(AX8),(AD45/AS7)*AW8,(AD45/AX8)*AY8)</f>
        <v>0</v>
      </c>
      <c r="J45" s="3374">
        <f>IF(ISBLANK(AX9),(AA45/AS7)*AW9,(AA45/AX9)*AY9)</f>
        <v>0</v>
      </c>
      <c r="K45" s="533">
        <f t="shared" ref="K45:K62" si="20">AB45</f>
        <v>0</v>
      </c>
      <c r="L45" s="532">
        <f>IF(ISBLANK(AX9),(AD45/AS7)*AW9,(AD45/AX9)*AY9)</f>
        <v>0</v>
      </c>
      <c r="M45" s="3374">
        <f>IF(ISBLANK(AX10),(AA45/AS7)*AW10,(AA45/AX10)*AY10)</f>
        <v>0</v>
      </c>
      <c r="N45" s="533">
        <f t="shared" ref="N45:N62" si="21">AB45</f>
        <v>0</v>
      </c>
      <c r="O45" s="532">
        <f>IF(ISBLANK(AX10),(AD45/AS7)*AW10,(AD45/AX10)*AY10)</f>
        <v>0</v>
      </c>
      <c r="P45" s="3374">
        <f>IF(ISBLANK(AX11),(AA45/AS7)*AW11,(AA45/AX11)*AY11)</f>
        <v>0</v>
      </c>
      <c r="Q45" s="533">
        <f t="shared" ref="Q45:Q62" si="22">AB45</f>
        <v>0</v>
      </c>
      <c r="R45" s="532">
        <f>IF(ISBLANK(AX11),(AD45/AS7)*AW11,(AD45/AX11)*AY11)</f>
        <v>0</v>
      </c>
      <c r="S45" s="3374">
        <f>IF(ISBLANK(AX12),(AA45/AS7)*AW12,(AA45/AX12)*AY12)</f>
        <v>0</v>
      </c>
      <c r="T45" s="533">
        <f t="shared" ref="T45:T62" si="23">AB45</f>
        <v>0</v>
      </c>
      <c r="U45" s="532">
        <f>IF(ISBLANK(AX12),(AD45/AS7)*AW12,(AD45/AX12)*AY12)</f>
        <v>0</v>
      </c>
      <c r="V45" s="531">
        <f t="shared" ref="V45:V76" si="24">SUM(F45,I45,L45,O45,R45,U45)</f>
        <v>0</v>
      </c>
      <c r="W45" s="530">
        <f t="shared" ref="W45:W62" si="25">SUM(D45,G45,J45,M45,P45,S45)</f>
        <v>0</v>
      </c>
      <c r="X45" s="529">
        <f t="shared" ref="X45:X76" si="26">IF(V45&lt;0.001,AM45*W45,AM45*V45)</f>
        <v>0</v>
      </c>
      <c r="Y45" s="4021"/>
      <c r="Z45" s="515"/>
      <c r="AA45" s="545"/>
      <c r="AB45" s="544"/>
      <c r="AC45" s="543"/>
      <c r="AD45" s="542">
        <f t="shared" ref="AD45:AD76" si="27">IF(ISBLANK(AA45),AC45,AA45*AC45)</f>
        <v>0</v>
      </c>
      <c r="AE45" s="541"/>
      <c r="AF45" s="523"/>
      <c r="AG45" s="522"/>
      <c r="AH45" s="540">
        <f>IF(ISBLANK(AH9),(AA45/AD10)*AJ7,(AA45/AH9)*AI9)</f>
        <v>0</v>
      </c>
      <c r="AI45" s="539">
        <f t="shared" ref="AI45:AI62" si="28">AB45</f>
        <v>0</v>
      </c>
      <c r="AJ45" s="538">
        <f>IF(ISBLANK(AH9),(AD45/AD10)*AJ7,(AD45/AH9)*AI9)</f>
        <v>0</v>
      </c>
      <c r="AK45" s="518"/>
      <c r="AL45" s="537">
        <f t="shared" ref="AL45:AL76" si="29">IF(AD45=0,0,((AJ45-(AJ45*AK45%))))</f>
        <v>0</v>
      </c>
      <c r="AM45" s="516"/>
      <c r="AN45" s="372">
        <f t="shared" ref="AN45:AN76" si="30">IF(ISBLANK(AC45),AH45*AM45,AJ45*AM45)</f>
        <v>0</v>
      </c>
      <c r="AO45" s="3926"/>
      <c r="AP45" s="515"/>
      <c r="AQ45" s="378"/>
      <c r="AR45" s="395" t="s">
        <v>100</v>
      </c>
      <c r="AS45" s="395"/>
      <c r="AT45" s="395"/>
      <c r="AU45" s="395"/>
      <c r="AV45" s="395"/>
      <c r="AW45" s="395"/>
      <c r="AX45" s="395"/>
      <c r="AY45" s="395"/>
      <c r="AZ45" s="378"/>
      <c r="BA45" s="378"/>
      <c r="BB45" s="378"/>
      <c r="BC45" s="378"/>
      <c r="BD45" s="378"/>
      <c r="BE45" s="3654" t="s">
        <v>210</v>
      </c>
      <c r="BF45" s="3655"/>
      <c r="BG45" s="3656"/>
      <c r="BH45" s="378"/>
      <c r="BI45" s="3815" t="s">
        <v>115</v>
      </c>
      <c r="BJ45" s="3816"/>
      <c r="BK45" s="3904"/>
      <c r="BL45" s="356"/>
      <c r="BM45" s="381">
        <v>15</v>
      </c>
    </row>
    <row r="46" spans="1:65" ht="15" customHeight="1">
      <c r="A46" s="3862"/>
      <c r="B46" s="551">
        <f t="shared" si="17"/>
        <v>0</v>
      </c>
      <c r="C46" s="546"/>
      <c r="D46" s="3374">
        <f>IF(ISBLANK(AX7),(AA46/AS7)*AW7,(AA46/AX7)*AY7)</f>
        <v>0</v>
      </c>
      <c r="E46" s="533">
        <f t="shared" si="18"/>
        <v>0</v>
      </c>
      <c r="F46" s="532">
        <f>IF(ISBLANK(AX7),(AD46/AS7)*AW7,(AD46/AX7)*AY7)</f>
        <v>0</v>
      </c>
      <c r="G46" s="3374">
        <f>IF(ISBLANK(AX8),(AA46/AS7)*AW8,(AA46/AX8)*AY8)</f>
        <v>0</v>
      </c>
      <c r="H46" s="533">
        <f t="shared" si="19"/>
        <v>0</v>
      </c>
      <c r="I46" s="532">
        <f>IF(ISBLANK(AX8),(AD46/AS7)*AW8,(AD46/AX8)*AY8)</f>
        <v>0</v>
      </c>
      <c r="J46" s="3374">
        <f>IF(ISBLANK(AX9),(AA46/AS7)*AW9,(AA46/AX9)*AY9)</f>
        <v>0</v>
      </c>
      <c r="K46" s="533">
        <f t="shared" si="20"/>
        <v>0</v>
      </c>
      <c r="L46" s="532">
        <f>IF(ISBLANK(AX9),(AD46/AS7)*AW9,(AD46/AX9)*AY9)</f>
        <v>0</v>
      </c>
      <c r="M46" s="3374">
        <f>IF(ISBLANK(AX10),(AA46/AS7)*AW10,(AA46/AX10)*AY10)</f>
        <v>0</v>
      </c>
      <c r="N46" s="533">
        <f t="shared" si="21"/>
        <v>0</v>
      </c>
      <c r="O46" s="532">
        <f>IF(ISBLANK(AX10),(AD46/AS7)*AW10,(AD46/AX10)*AY10)</f>
        <v>0</v>
      </c>
      <c r="P46" s="3374">
        <f>IF(ISBLANK(AX11),(AA46/AS7)*AW11,(AA46/AX11)*AY11)</f>
        <v>0</v>
      </c>
      <c r="Q46" s="533">
        <f t="shared" si="22"/>
        <v>0</v>
      </c>
      <c r="R46" s="532">
        <f>IF(ISBLANK(AX11),(AD46/AS7)*AW11,(AD46/AX11)*AY11)</f>
        <v>0</v>
      </c>
      <c r="S46" s="3374">
        <f>IF(ISBLANK(AX12),(AA46/AS7)*AW12,(AA46/AX12)*AY12)</f>
        <v>0</v>
      </c>
      <c r="T46" s="533">
        <f t="shared" si="23"/>
        <v>0</v>
      </c>
      <c r="U46" s="532">
        <f>IF(ISBLANK(AX12),(AD46/AS7)*AW12,(AD46/AX12)*AY12)</f>
        <v>0</v>
      </c>
      <c r="V46" s="531">
        <f t="shared" si="24"/>
        <v>0</v>
      </c>
      <c r="W46" s="530">
        <f t="shared" si="25"/>
        <v>0</v>
      </c>
      <c r="X46" s="529">
        <f t="shared" si="26"/>
        <v>0</v>
      </c>
      <c r="Y46" s="4021"/>
      <c r="Z46" s="515"/>
      <c r="AA46" s="528"/>
      <c r="AB46" s="527"/>
      <c r="AC46" s="526"/>
      <c r="AD46" s="525">
        <f t="shared" si="27"/>
        <v>0</v>
      </c>
      <c r="AE46" s="524"/>
      <c r="AF46" s="523"/>
      <c r="AG46" s="522"/>
      <c r="AH46" s="521">
        <f>IF(ISBLANK(AH9),(AA46/AD10)*AJ7,(AA46/AH9)*AI9)</f>
        <v>0</v>
      </c>
      <c r="AI46" s="520">
        <f t="shared" si="28"/>
        <v>0</v>
      </c>
      <c r="AJ46" s="519">
        <f>IF(ISBLANK(AH9),(AD46/AD10)*AJ7,(AD46/AH9)*AI9)</f>
        <v>0</v>
      </c>
      <c r="AK46" s="518"/>
      <c r="AL46" s="517">
        <f t="shared" si="29"/>
        <v>0</v>
      </c>
      <c r="AM46" s="516"/>
      <c r="AN46" s="372">
        <f t="shared" si="30"/>
        <v>0</v>
      </c>
      <c r="AO46" s="3926"/>
      <c r="AP46" s="515"/>
      <c r="AQ46" s="378"/>
      <c r="AR46" s="395" t="s">
        <v>101</v>
      </c>
      <c r="AS46" s="395"/>
      <c r="AT46" s="395"/>
      <c r="AU46" s="395"/>
      <c r="AV46" s="395"/>
      <c r="AW46" s="395"/>
      <c r="AX46" s="395"/>
      <c r="AY46" s="395"/>
      <c r="AZ46" s="378"/>
      <c r="BA46" s="378"/>
      <c r="BB46" s="378"/>
      <c r="BC46" s="378"/>
      <c r="BD46" s="378"/>
      <c r="BE46" s="3654"/>
      <c r="BF46" s="3655"/>
      <c r="BG46" s="3656"/>
      <c r="BH46" s="378"/>
      <c r="BI46" s="3815"/>
      <c r="BJ46" s="3816"/>
      <c r="BK46" s="3904"/>
      <c r="BL46" s="356"/>
      <c r="BM46" s="381">
        <v>15</v>
      </c>
    </row>
    <row r="47" spans="1:65" ht="15" customHeight="1">
      <c r="A47" s="3862"/>
      <c r="B47" s="551">
        <f t="shared" si="17"/>
        <v>0</v>
      </c>
      <c r="C47" s="546"/>
      <c r="D47" s="3374">
        <f>IF(ISBLANK(AX7),(AA47/AS7)*AW7,(AA47/AX7)*AY7)</f>
        <v>0</v>
      </c>
      <c r="E47" s="533">
        <f t="shared" si="18"/>
        <v>0</v>
      </c>
      <c r="F47" s="532">
        <f>IF(ISBLANK(AX7),(AD47/AS7)*AW7,(AD47/AX7)*AY7)</f>
        <v>0</v>
      </c>
      <c r="G47" s="3374">
        <f>IF(ISBLANK(AX8),(AA47/AS7)*AW8,(AA47/AX8)*AY8)</f>
        <v>0</v>
      </c>
      <c r="H47" s="533">
        <f t="shared" si="19"/>
        <v>0</v>
      </c>
      <c r="I47" s="532">
        <f>IF(ISBLANK(AX8),(AD47/AS7)*AW8,(AD47/AX8)*AY8)</f>
        <v>0</v>
      </c>
      <c r="J47" s="3374">
        <f>IF(ISBLANK(AX9),(AA47/AS7)*AW9,(AA47/AX9)*AY9)</f>
        <v>0</v>
      </c>
      <c r="K47" s="533">
        <f t="shared" si="20"/>
        <v>0</v>
      </c>
      <c r="L47" s="532">
        <f>IF(ISBLANK(AX9),(AD47/AS7)*AW9,(AD47/AX9)*AY9)</f>
        <v>0</v>
      </c>
      <c r="M47" s="3374">
        <f>IF(ISBLANK(AX10),(AA47/AS7)*AW10,(AA47/AX10)*AY10)</f>
        <v>0</v>
      </c>
      <c r="N47" s="533">
        <f t="shared" si="21"/>
        <v>0</v>
      </c>
      <c r="O47" s="532">
        <f>IF(ISBLANK(AX10),(AD47/AS7)*AW10,(AD47/AX10)*AY10)</f>
        <v>0</v>
      </c>
      <c r="P47" s="3374">
        <f>IF(ISBLANK(AX11),(AA47/AS7)*AW11,(AA47/AX11)*AY11)</f>
        <v>0</v>
      </c>
      <c r="Q47" s="533">
        <f t="shared" si="22"/>
        <v>0</v>
      </c>
      <c r="R47" s="532">
        <f>IF(ISBLANK(AX11),(AD47/AS7)*AW11,(AD47/AX11)*AY11)</f>
        <v>0</v>
      </c>
      <c r="S47" s="3374">
        <f>IF(ISBLANK(AX12),(AA47/AS7)*AW12,(AA47/AX12)*AY12)</f>
        <v>0</v>
      </c>
      <c r="T47" s="533">
        <f t="shared" si="23"/>
        <v>0</v>
      </c>
      <c r="U47" s="532">
        <f>IF(ISBLANK(AX12),(AD47/AS7)*AW12,(AD47/AX12)*AY12)</f>
        <v>0</v>
      </c>
      <c r="V47" s="531">
        <f t="shared" si="24"/>
        <v>0</v>
      </c>
      <c r="W47" s="530">
        <f t="shared" si="25"/>
        <v>0</v>
      </c>
      <c r="X47" s="529">
        <f t="shared" si="26"/>
        <v>0</v>
      </c>
      <c r="Y47" s="4021"/>
      <c r="Z47" s="515"/>
      <c r="AA47" s="545"/>
      <c r="AB47" s="544"/>
      <c r="AC47" s="543"/>
      <c r="AD47" s="542">
        <f t="shared" si="27"/>
        <v>0</v>
      </c>
      <c r="AE47" s="541"/>
      <c r="AF47" s="523"/>
      <c r="AG47" s="522"/>
      <c r="AH47" s="540">
        <f>IF(ISBLANK(AH9),(AA47/AD10)*AJ7,(AA47/AH9)*AI9)</f>
        <v>0</v>
      </c>
      <c r="AI47" s="539">
        <f t="shared" si="28"/>
        <v>0</v>
      </c>
      <c r="AJ47" s="538">
        <f>IF(ISBLANK(AH9),(AD47/AD10)*AJ7,(AD47/AH9)*AI9)</f>
        <v>0</v>
      </c>
      <c r="AK47" s="518"/>
      <c r="AL47" s="537">
        <f t="shared" si="29"/>
        <v>0</v>
      </c>
      <c r="AM47" s="516"/>
      <c r="AN47" s="372">
        <f t="shared" si="30"/>
        <v>0</v>
      </c>
      <c r="AO47" s="3926"/>
      <c r="AP47" s="515"/>
      <c r="AQ47" s="378"/>
      <c r="AR47" s="395" t="s">
        <v>209</v>
      </c>
      <c r="AS47" s="395"/>
      <c r="AT47" s="395"/>
      <c r="AU47" s="395"/>
      <c r="AV47" s="395"/>
      <c r="AW47" s="395"/>
      <c r="AX47" s="395"/>
      <c r="AY47" s="395"/>
      <c r="AZ47" s="378"/>
      <c r="BA47" s="378"/>
      <c r="BB47" s="378"/>
      <c r="BC47" s="378"/>
      <c r="BD47" s="378"/>
      <c r="BE47" s="3905" t="s">
        <v>208</v>
      </c>
      <c r="BF47" s="3906"/>
      <c r="BG47" s="3907"/>
      <c r="BH47" s="378"/>
      <c r="BI47" s="3815"/>
      <c r="BJ47" s="3816"/>
      <c r="BK47" s="3904"/>
      <c r="BL47" s="356"/>
      <c r="BM47" s="381">
        <v>15</v>
      </c>
    </row>
    <row r="48" spans="1:65" ht="15" customHeight="1" thickBot="1">
      <c r="A48" s="3862"/>
      <c r="B48" s="551">
        <f t="shared" si="17"/>
        <v>0</v>
      </c>
      <c r="C48" s="546"/>
      <c r="D48" s="3374">
        <f>IF(ISBLANK(AX7),(AA48/AS7)*AW7,(AA48/AX7)*AY7)</f>
        <v>0</v>
      </c>
      <c r="E48" s="533">
        <f t="shared" si="18"/>
        <v>0</v>
      </c>
      <c r="F48" s="532">
        <f>IF(ISBLANK(AX7),(AD48/AS7)*AW7,(AD48/AX7)*AY7)</f>
        <v>0</v>
      </c>
      <c r="G48" s="3374">
        <f>IF(ISBLANK(AX8),(AA48/AS7)*AW8,(AA48/AX8)*AY8)</f>
        <v>0</v>
      </c>
      <c r="H48" s="533">
        <f t="shared" si="19"/>
        <v>0</v>
      </c>
      <c r="I48" s="532">
        <f>IF(ISBLANK(AX8),(AD48/AS7)*AW8,(AD48/AX8)*AY8)</f>
        <v>0</v>
      </c>
      <c r="J48" s="3374">
        <f>IF(ISBLANK(AX9),(AA48/AS7)*AW9,(AA48/AX9)*AY9)</f>
        <v>0</v>
      </c>
      <c r="K48" s="533">
        <f t="shared" si="20"/>
        <v>0</v>
      </c>
      <c r="L48" s="532">
        <f>IF(ISBLANK(AX9),(AD48/AS7)*AW9,(AD48/AX9)*AY9)</f>
        <v>0</v>
      </c>
      <c r="M48" s="3374">
        <f>IF(ISBLANK(AX10),(AA48/AS7)*AW10,(AA48/AX10)*AY10)</f>
        <v>0</v>
      </c>
      <c r="N48" s="533">
        <f t="shared" si="21"/>
        <v>0</v>
      </c>
      <c r="O48" s="532">
        <f>IF(ISBLANK(AX10),(AD48/AS7)*AW10,(AD48/AX10)*AY10)</f>
        <v>0</v>
      </c>
      <c r="P48" s="3374">
        <f>IF(ISBLANK(AX11),(AA48/AS7)*AW11,(AA48/AX11)*AY11)</f>
        <v>0</v>
      </c>
      <c r="Q48" s="533">
        <f t="shared" si="22"/>
        <v>0</v>
      </c>
      <c r="R48" s="532">
        <f>IF(ISBLANK(AX11),(AD48/AS7)*AW11,(AD48/AX11)*AY11)</f>
        <v>0</v>
      </c>
      <c r="S48" s="3374">
        <f>IF(ISBLANK(AX12),(AA48/AS7)*AW12,(AA48/AX12)*AY12)</f>
        <v>0</v>
      </c>
      <c r="T48" s="533">
        <f t="shared" si="23"/>
        <v>0</v>
      </c>
      <c r="U48" s="532">
        <f>IF(ISBLANK(AX12),(AD48/AS7)*AW12,(AD48/AX12)*AY12)</f>
        <v>0</v>
      </c>
      <c r="V48" s="531">
        <f t="shared" si="24"/>
        <v>0</v>
      </c>
      <c r="W48" s="530">
        <f t="shared" si="25"/>
        <v>0</v>
      </c>
      <c r="X48" s="529">
        <f t="shared" si="26"/>
        <v>0</v>
      </c>
      <c r="Y48" s="4021"/>
      <c r="Z48" s="515"/>
      <c r="AA48" s="528"/>
      <c r="AB48" s="527"/>
      <c r="AC48" s="526"/>
      <c r="AD48" s="525">
        <f t="shared" si="27"/>
        <v>0</v>
      </c>
      <c r="AE48" s="524"/>
      <c r="AF48" s="523"/>
      <c r="AG48" s="522"/>
      <c r="AH48" s="521">
        <f>IF(ISBLANK(AH9),(AA48/AD10)*AJ7,(AA48/AH9)*AI9)</f>
        <v>0</v>
      </c>
      <c r="AI48" s="520">
        <f t="shared" si="28"/>
        <v>0</v>
      </c>
      <c r="AJ48" s="519">
        <f>IF(ISBLANK(AH9),(AD48/AD10)*AJ7,(AD48/AH9)*AI9)</f>
        <v>0</v>
      </c>
      <c r="AK48" s="518"/>
      <c r="AL48" s="517">
        <f t="shared" si="29"/>
        <v>0</v>
      </c>
      <c r="AM48" s="516"/>
      <c r="AN48" s="372">
        <f t="shared" si="30"/>
        <v>0</v>
      </c>
      <c r="AO48" s="3926"/>
      <c r="AP48" s="515"/>
      <c r="AQ48" s="378"/>
      <c r="AR48" s="395"/>
      <c r="AS48" s="395"/>
      <c r="AT48" s="395"/>
      <c r="AU48" s="395"/>
      <c r="AV48" s="395"/>
      <c r="AW48" s="395"/>
      <c r="AX48" s="395"/>
      <c r="AY48" s="395"/>
      <c r="AZ48" s="378"/>
      <c r="BA48" s="378"/>
      <c r="BB48" s="378"/>
      <c r="BC48" s="378"/>
      <c r="BD48" s="378"/>
      <c r="BE48" s="3905"/>
      <c r="BF48" s="3906"/>
      <c r="BG48" s="3907"/>
      <c r="BH48" s="378"/>
      <c r="BI48" s="562">
        <f ca="1">CELL("largeur",BI48)</f>
        <v>11</v>
      </c>
      <c r="BJ48" s="561">
        <f ca="1">CELL("largeur",BJ48)</f>
        <v>11</v>
      </c>
      <c r="BK48" s="560">
        <f ca="1">CELL("largeur",BK48)</f>
        <v>11</v>
      </c>
      <c r="BL48" s="356"/>
      <c r="BM48" s="381">
        <v>15</v>
      </c>
    </row>
    <row r="49" spans="1:65" ht="15" customHeight="1">
      <c r="A49" s="3862"/>
      <c r="B49" s="551">
        <f t="shared" si="17"/>
        <v>0</v>
      </c>
      <c r="C49" s="546"/>
      <c r="D49" s="3374">
        <f>IF(ISBLANK(AX7),(AA49/AS7)*AW7,(AA49/AX7)*AY7)</f>
        <v>0</v>
      </c>
      <c r="E49" s="533">
        <f t="shared" si="18"/>
        <v>0</v>
      </c>
      <c r="F49" s="532">
        <f>IF(ISBLANK(AX7),(AD49/AS7)*AW7,(AD49/AX7)*AY7)</f>
        <v>0</v>
      </c>
      <c r="G49" s="3374">
        <f>IF(ISBLANK(AX8),(AA49/AS7)*AW8,(AA49/AX8)*AY8)</f>
        <v>0</v>
      </c>
      <c r="H49" s="533">
        <f t="shared" si="19"/>
        <v>0</v>
      </c>
      <c r="I49" s="532">
        <f>IF(ISBLANK(AX8),(AD49/AS7)*AW8,(AD49/AX8)*AY8)</f>
        <v>0</v>
      </c>
      <c r="J49" s="3374">
        <f>IF(ISBLANK(AX9),(AA49/AS7)*AW9,(AA49/AX9)*AY9)</f>
        <v>0</v>
      </c>
      <c r="K49" s="533">
        <f t="shared" si="20"/>
        <v>0</v>
      </c>
      <c r="L49" s="532">
        <f>IF(ISBLANK(AX9),(AD49/AS7)*AW9,(AD49/AX9)*AY9)</f>
        <v>0</v>
      </c>
      <c r="M49" s="3374">
        <f>IF(ISBLANK(AX10),(AA49/AS7)*AW10,(AA49/AX10)*AY10)</f>
        <v>0</v>
      </c>
      <c r="N49" s="533">
        <f t="shared" si="21"/>
        <v>0</v>
      </c>
      <c r="O49" s="532">
        <f>IF(ISBLANK(AX10),(AD49/AS7)*AW10,(AD49/AX10)*AY10)</f>
        <v>0</v>
      </c>
      <c r="P49" s="3374">
        <f>IF(ISBLANK(AX11),(AA49/AS7)*AW11,(AA49/AX11)*AY11)</f>
        <v>0</v>
      </c>
      <c r="Q49" s="533">
        <f t="shared" si="22"/>
        <v>0</v>
      </c>
      <c r="R49" s="532">
        <f>IF(ISBLANK(AX11),(AD49/AS7)*AW11,(AD49/AX11)*AY11)</f>
        <v>0</v>
      </c>
      <c r="S49" s="3374">
        <f>IF(ISBLANK(AX12),(AA49/AS7)*AW12,(AA49/AX12)*AY12)</f>
        <v>0</v>
      </c>
      <c r="T49" s="533">
        <f t="shared" si="23"/>
        <v>0</v>
      </c>
      <c r="U49" s="532">
        <f>IF(ISBLANK(AX12),(AD49/AS7)*AW12,(AD49/AX12)*AY12)</f>
        <v>0</v>
      </c>
      <c r="V49" s="531">
        <f t="shared" si="24"/>
        <v>0</v>
      </c>
      <c r="W49" s="530">
        <f t="shared" si="25"/>
        <v>0</v>
      </c>
      <c r="X49" s="529">
        <f t="shared" si="26"/>
        <v>0</v>
      </c>
      <c r="Y49" s="4021"/>
      <c r="Z49" s="515"/>
      <c r="AA49" s="545"/>
      <c r="AB49" s="544"/>
      <c r="AC49" s="543"/>
      <c r="AD49" s="542">
        <f t="shared" si="27"/>
        <v>0</v>
      </c>
      <c r="AE49" s="541"/>
      <c r="AF49" s="523"/>
      <c r="AG49" s="522"/>
      <c r="AH49" s="540">
        <f>IF(ISBLANK(AH9),(AA49/AD10)*AJ7,(AA49/AH9)*AI9)</f>
        <v>0</v>
      </c>
      <c r="AI49" s="539">
        <f t="shared" si="28"/>
        <v>0</v>
      </c>
      <c r="AJ49" s="538">
        <f>IF(ISBLANK(AH9),(AD49/AD10)*AJ7,(AD49/AH9)*AI9)</f>
        <v>0</v>
      </c>
      <c r="AK49" s="518"/>
      <c r="AL49" s="537">
        <f t="shared" si="29"/>
        <v>0</v>
      </c>
      <c r="AM49" s="516"/>
      <c r="AN49" s="372">
        <f t="shared" si="30"/>
        <v>0</v>
      </c>
      <c r="AO49" s="3926"/>
      <c r="AP49" s="515"/>
      <c r="AQ49" s="378"/>
      <c r="AR49" s="559" t="s">
        <v>106</v>
      </c>
      <c r="AS49" s="558"/>
      <c r="AT49" s="558"/>
      <c r="AU49" s="558"/>
      <c r="AV49" s="558"/>
      <c r="AW49" s="558"/>
      <c r="AX49" s="558"/>
      <c r="AY49" s="558"/>
      <c r="AZ49" s="378"/>
      <c r="BA49" s="378"/>
      <c r="BB49" s="378"/>
      <c r="BC49" s="378"/>
      <c r="BD49" s="378"/>
      <c r="BE49" s="3660" t="s">
        <v>207</v>
      </c>
      <c r="BF49" s="3661"/>
      <c r="BG49" s="3662"/>
      <c r="BH49" s="378"/>
      <c r="BI49" s="378"/>
      <c r="BJ49" s="356"/>
      <c r="BK49" s="356"/>
      <c r="BL49" s="356"/>
      <c r="BM49" s="381">
        <v>15</v>
      </c>
    </row>
    <row r="50" spans="1:65" ht="15" customHeight="1">
      <c r="A50" s="3862"/>
      <c r="B50" s="551">
        <f t="shared" si="17"/>
        <v>0</v>
      </c>
      <c r="C50" s="546"/>
      <c r="D50" s="3374">
        <f>IF(ISBLANK(AX7),(AA50/AS7)*AW7,(AA50/AX7)*AY7)</f>
        <v>0</v>
      </c>
      <c r="E50" s="533">
        <f t="shared" si="18"/>
        <v>0</v>
      </c>
      <c r="F50" s="532">
        <f>IF(ISBLANK(AX7),(AD50/AS7)*AW7,(AD50/AX7)*AY7)</f>
        <v>0</v>
      </c>
      <c r="G50" s="3374">
        <f>IF(ISBLANK(AX8),(AA50/AS7)*AW8,(AA50/AX8)*AY8)</f>
        <v>0</v>
      </c>
      <c r="H50" s="533">
        <f t="shared" si="19"/>
        <v>0</v>
      </c>
      <c r="I50" s="532">
        <f>IF(ISBLANK(AX8),(AD50/AS7)*AW8,(AD50/AX8)*AY8)</f>
        <v>0</v>
      </c>
      <c r="J50" s="3374">
        <f>IF(ISBLANK(AX9),(AA50/AS7)*AW9,(AA50/AX9)*AY9)</f>
        <v>0</v>
      </c>
      <c r="K50" s="533">
        <f t="shared" si="20"/>
        <v>0</v>
      </c>
      <c r="L50" s="532">
        <f>IF(ISBLANK(AX9),(AD50/AS7)*AW9,(AD50/AX9)*AY9)</f>
        <v>0</v>
      </c>
      <c r="M50" s="3374">
        <f>IF(ISBLANK(AX10),(AA50/AS7)*AW10,(AA50/AX10)*AY10)</f>
        <v>0</v>
      </c>
      <c r="N50" s="533">
        <f t="shared" si="21"/>
        <v>0</v>
      </c>
      <c r="O50" s="532">
        <f>IF(ISBLANK(AX10),(AD50/AS7)*AW10,(AD50/AX10)*AY10)</f>
        <v>0</v>
      </c>
      <c r="P50" s="3374">
        <f>IF(ISBLANK(AX11),(AA50/AS7)*AW11,(AA50/AX11)*AY11)</f>
        <v>0</v>
      </c>
      <c r="Q50" s="533">
        <f t="shared" si="22"/>
        <v>0</v>
      </c>
      <c r="R50" s="532">
        <f>IF(ISBLANK(AX11),(AD50/AS7)*AW11,(AD50/AX11)*AY11)</f>
        <v>0</v>
      </c>
      <c r="S50" s="3374">
        <f>IF(ISBLANK(AX12),(AA50/AS7)*AW12,(AA50/AX12)*AY12)</f>
        <v>0</v>
      </c>
      <c r="T50" s="533">
        <f t="shared" si="23"/>
        <v>0</v>
      </c>
      <c r="U50" s="532">
        <f>IF(ISBLANK(AX12),(AD50/AS7)*AW12,(AD50/AX12)*AY12)</f>
        <v>0</v>
      </c>
      <c r="V50" s="531">
        <f t="shared" si="24"/>
        <v>0</v>
      </c>
      <c r="W50" s="530">
        <f t="shared" si="25"/>
        <v>0</v>
      </c>
      <c r="X50" s="529">
        <f t="shared" si="26"/>
        <v>0</v>
      </c>
      <c r="Y50" s="4021"/>
      <c r="Z50" s="515"/>
      <c r="AA50" s="528"/>
      <c r="AB50" s="527"/>
      <c r="AC50" s="526"/>
      <c r="AD50" s="525">
        <f t="shared" si="27"/>
        <v>0</v>
      </c>
      <c r="AE50" s="524"/>
      <c r="AF50" s="523"/>
      <c r="AG50" s="522"/>
      <c r="AH50" s="521">
        <f>IF(ISBLANK(AH9),(AA50/AD10)*AJ7,(AA50/AH9)*AI9)</f>
        <v>0</v>
      </c>
      <c r="AI50" s="520">
        <f t="shared" si="28"/>
        <v>0</v>
      </c>
      <c r="AJ50" s="519">
        <f>IF(ISBLANK(AH9),(AD50/AD10)*AJ7,(AD50/AH9)*AI9)</f>
        <v>0</v>
      </c>
      <c r="AK50" s="518"/>
      <c r="AL50" s="517">
        <f t="shared" si="29"/>
        <v>0</v>
      </c>
      <c r="AM50" s="516"/>
      <c r="AN50" s="372">
        <f t="shared" si="30"/>
        <v>0</v>
      </c>
      <c r="AO50" s="3926"/>
      <c r="AP50" s="515"/>
      <c r="AQ50" s="378"/>
      <c r="AR50" s="559" t="s">
        <v>206</v>
      </c>
      <c r="AS50" s="558"/>
      <c r="AT50" s="558"/>
      <c r="AU50" s="558"/>
      <c r="AV50" s="558"/>
      <c r="AW50" s="558"/>
      <c r="AX50" s="558"/>
      <c r="AY50" s="557"/>
      <c r="AZ50" s="378"/>
      <c r="BA50" s="378"/>
      <c r="BB50" s="378"/>
      <c r="BC50" s="378"/>
      <c r="BD50" s="378"/>
      <c r="BE50" s="3630" t="s">
        <v>205</v>
      </c>
      <c r="BF50" s="3631"/>
      <c r="BG50" s="3632"/>
      <c r="BH50" s="378"/>
      <c r="BI50" s="3942" t="s">
        <v>130</v>
      </c>
      <c r="BJ50" s="4034"/>
      <c r="BK50" s="3838"/>
      <c r="BL50" s="356"/>
      <c r="BM50" s="381">
        <v>15</v>
      </c>
    </row>
    <row r="51" spans="1:65" ht="15" customHeight="1">
      <c r="A51" s="3862"/>
      <c r="B51" s="551">
        <f t="shared" si="17"/>
        <v>0</v>
      </c>
      <c r="C51" s="546"/>
      <c r="D51" s="3374">
        <f>IF(ISBLANK(AX7),(AA51/AS7)*AW7,(AA51/AX7)*AY7)</f>
        <v>0</v>
      </c>
      <c r="E51" s="533">
        <f t="shared" si="18"/>
        <v>0</v>
      </c>
      <c r="F51" s="532">
        <f>IF(ISBLANK(AX7),(AD51/AS7)*AW7,(AD51/AX7)*AY7)</f>
        <v>0</v>
      </c>
      <c r="G51" s="3374">
        <f>IF(ISBLANK(AX8),(AA51/AS7)*AW8,(AA51/AX8)*AY8)</f>
        <v>0</v>
      </c>
      <c r="H51" s="533">
        <f t="shared" si="19"/>
        <v>0</v>
      </c>
      <c r="I51" s="532">
        <f>IF(ISBLANK(AX8),(AD51/AS7)*AW8,(AD51/AX8)*AY8)</f>
        <v>0</v>
      </c>
      <c r="J51" s="3374">
        <f>IF(ISBLANK(AX9),(AA51/AS7)*AW9,(AA51/AX9)*AY9)</f>
        <v>0</v>
      </c>
      <c r="K51" s="533">
        <f t="shared" si="20"/>
        <v>0</v>
      </c>
      <c r="L51" s="532">
        <f>IF(ISBLANK(AX9),(AD51/AS7)*AW9,(AD51/AX9)*AY9)</f>
        <v>0</v>
      </c>
      <c r="M51" s="3374">
        <f>IF(ISBLANK(AX10),(AA51/AS7)*AW10,(AA51/AX10)*AY10)</f>
        <v>0</v>
      </c>
      <c r="N51" s="533">
        <f t="shared" si="21"/>
        <v>0</v>
      </c>
      <c r="O51" s="532">
        <f>IF(ISBLANK(AX10),(AD51/AS7)*AW10,(AD51/AX10)*AY10)</f>
        <v>0</v>
      </c>
      <c r="P51" s="3374">
        <f>IF(ISBLANK(AX11),(AA51/AS7)*AW11,(AA51/AX11)*AY11)</f>
        <v>0</v>
      </c>
      <c r="Q51" s="533">
        <f t="shared" si="22"/>
        <v>0</v>
      </c>
      <c r="R51" s="532">
        <f>IF(ISBLANK(AX11),(AD51/AS7)*AW11,(AD51/AX11)*AY11)</f>
        <v>0</v>
      </c>
      <c r="S51" s="3374">
        <f>IF(ISBLANK(AX12),(AA51/AS7)*AW12,(AA51/AX12)*AY12)</f>
        <v>0</v>
      </c>
      <c r="T51" s="533">
        <f t="shared" si="23"/>
        <v>0</v>
      </c>
      <c r="U51" s="532">
        <f>IF(ISBLANK(AX12),(AD51/AS7)*AW12,(AD51/AX12)*AY12)</f>
        <v>0</v>
      </c>
      <c r="V51" s="531">
        <f t="shared" si="24"/>
        <v>0</v>
      </c>
      <c r="W51" s="530">
        <f t="shared" si="25"/>
        <v>0</v>
      </c>
      <c r="X51" s="529">
        <f t="shared" si="26"/>
        <v>0</v>
      </c>
      <c r="Y51" s="4021"/>
      <c r="Z51" s="515"/>
      <c r="AA51" s="545"/>
      <c r="AB51" s="544"/>
      <c r="AC51" s="543"/>
      <c r="AD51" s="542">
        <f t="shared" si="27"/>
        <v>0</v>
      </c>
      <c r="AE51" s="541"/>
      <c r="AF51" s="523"/>
      <c r="AG51" s="522"/>
      <c r="AH51" s="540">
        <f>IF(ISBLANK(AH9),(AA51/AD10)*AJ7,(AA51/AH9)*AI9)</f>
        <v>0</v>
      </c>
      <c r="AI51" s="539">
        <f t="shared" si="28"/>
        <v>0</v>
      </c>
      <c r="AJ51" s="538">
        <f>IF(ISBLANK(AH9),(AD51/AD10)*AJ7,(AD51/AH9)*AI9)</f>
        <v>0</v>
      </c>
      <c r="AK51" s="518"/>
      <c r="AL51" s="537">
        <f t="shared" si="29"/>
        <v>0</v>
      </c>
      <c r="AM51" s="516"/>
      <c r="AN51" s="372">
        <f t="shared" si="30"/>
        <v>0</v>
      </c>
      <c r="AO51" s="3926"/>
      <c r="AP51" s="515"/>
      <c r="AQ51" s="378"/>
      <c r="AR51" s="212" t="s">
        <v>108</v>
      </c>
      <c r="AS51" s="3917" t="s">
        <v>109</v>
      </c>
      <c r="AT51" s="3917"/>
      <c r="AU51" s="3917"/>
      <c r="AV51" s="3917"/>
      <c r="AW51" s="3917"/>
      <c r="AX51" s="3917"/>
      <c r="AY51" s="3917"/>
      <c r="AZ51" s="378"/>
      <c r="BA51" s="378"/>
      <c r="BB51" s="378"/>
      <c r="BC51" s="378"/>
      <c r="BD51" s="378"/>
      <c r="BE51" s="3630"/>
      <c r="BF51" s="3631"/>
      <c r="BG51" s="3632"/>
      <c r="BH51" s="378"/>
      <c r="BI51" s="3711" t="s">
        <v>133</v>
      </c>
      <c r="BJ51" s="3712" t="s">
        <v>134</v>
      </c>
      <c r="BK51" s="3713" t="s">
        <v>135</v>
      </c>
      <c r="BL51" s="378"/>
      <c r="BM51" s="381">
        <v>15</v>
      </c>
    </row>
    <row r="52" spans="1:65" ht="15" customHeight="1">
      <c r="A52" s="3862"/>
      <c r="B52" s="551">
        <f t="shared" si="17"/>
        <v>0</v>
      </c>
      <c r="C52" s="546"/>
      <c r="D52" s="3374">
        <f>IF(ISBLANK(AX7),(AA52/AS7)*AW7,(AA52/AX7)*AY7)</f>
        <v>0</v>
      </c>
      <c r="E52" s="533">
        <f t="shared" si="18"/>
        <v>0</v>
      </c>
      <c r="F52" s="532">
        <f>IF(ISBLANK(AX7),(AD52/AS7)*AW7,(AD52/AX7)*AY7)</f>
        <v>0</v>
      </c>
      <c r="G52" s="3374">
        <f>IF(ISBLANK(AX8),(AA52/AS7)*AW8,(AA52/AX8)*AY8)</f>
        <v>0</v>
      </c>
      <c r="H52" s="533">
        <f t="shared" si="19"/>
        <v>0</v>
      </c>
      <c r="I52" s="532">
        <f>IF(ISBLANK(AX8),(AD52/AS7)*AW8,(AD52/AX8)*AY8)</f>
        <v>0</v>
      </c>
      <c r="J52" s="3374">
        <f>IF(ISBLANK(AX9),(AA52/AS7)*AW9,(AA52/AX9)*AY9)</f>
        <v>0</v>
      </c>
      <c r="K52" s="533">
        <f t="shared" si="20"/>
        <v>0</v>
      </c>
      <c r="L52" s="532">
        <f>IF(ISBLANK(AX9),(AD52/AS7)*AW9,(AD52/AX9)*AY9)</f>
        <v>0</v>
      </c>
      <c r="M52" s="3374">
        <f>IF(ISBLANK(AX10),(AA52/AS7)*AW10,(AA52/AX10)*AY10)</f>
        <v>0</v>
      </c>
      <c r="N52" s="533">
        <f t="shared" si="21"/>
        <v>0</v>
      </c>
      <c r="O52" s="532">
        <f>IF(ISBLANK(AX10),(AD52/AS7)*AW10,(AD52/AX10)*AY10)</f>
        <v>0</v>
      </c>
      <c r="P52" s="3374">
        <f>IF(ISBLANK(AX11),(AA52/AS7)*AW11,(AA52/AX11)*AY11)</f>
        <v>0</v>
      </c>
      <c r="Q52" s="533">
        <f t="shared" si="22"/>
        <v>0</v>
      </c>
      <c r="R52" s="532">
        <f>IF(ISBLANK(AX11),(AD52/AS7)*AW11,(AD52/AX11)*AY11)</f>
        <v>0</v>
      </c>
      <c r="S52" s="3374">
        <f>IF(ISBLANK(AX12),(AA52/AS7)*AW12,(AA52/AX12)*AY12)</f>
        <v>0</v>
      </c>
      <c r="T52" s="533">
        <f t="shared" si="23"/>
        <v>0</v>
      </c>
      <c r="U52" s="532">
        <f>IF(ISBLANK(AX12),(AD52/AS7)*AW12,(AD52/AX12)*AY12)</f>
        <v>0</v>
      </c>
      <c r="V52" s="531">
        <f t="shared" si="24"/>
        <v>0</v>
      </c>
      <c r="W52" s="530">
        <f t="shared" si="25"/>
        <v>0</v>
      </c>
      <c r="X52" s="529">
        <f t="shared" si="26"/>
        <v>0</v>
      </c>
      <c r="Y52" s="4021"/>
      <c r="Z52" s="515"/>
      <c r="AA52" s="528"/>
      <c r="AB52" s="527"/>
      <c r="AC52" s="526"/>
      <c r="AD52" s="525">
        <f t="shared" si="27"/>
        <v>0</v>
      </c>
      <c r="AE52" s="524"/>
      <c r="AF52" s="523"/>
      <c r="AG52" s="522"/>
      <c r="AH52" s="521">
        <f>IF(ISBLANK(AH9),(AA52/AD10)*AJ7,(AA52/AH9)*AI9)</f>
        <v>0</v>
      </c>
      <c r="AI52" s="520">
        <f t="shared" si="28"/>
        <v>0</v>
      </c>
      <c r="AJ52" s="519">
        <f>IF(ISBLANK(AH9),(AD52/AD10)*AJ7,(AD52/AH9)*AI9)</f>
        <v>0</v>
      </c>
      <c r="AK52" s="518"/>
      <c r="AL52" s="517">
        <f t="shared" si="29"/>
        <v>0</v>
      </c>
      <c r="AM52" s="516"/>
      <c r="AN52" s="372">
        <f t="shared" si="30"/>
        <v>0</v>
      </c>
      <c r="AO52" s="3926"/>
      <c r="AP52" s="515"/>
      <c r="AQ52" s="378"/>
      <c r="AR52" s="212" t="s">
        <v>108</v>
      </c>
      <c r="AS52" s="3918" t="s">
        <v>111</v>
      </c>
      <c r="AT52" s="3918"/>
      <c r="AU52" s="3918"/>
      <c r="AV52" s="3918"/>
      <c r="AW52" s="3918"/>
      <c r="AX52" s="3918"/>
      <c r="AY52" s="3918"/>
      <c r="AZ52" s="378"/>
      <c r="BA52" s="378"/>
      <c r="BB52" s="378"/>
      <c r="BC52" s="378"/>
      <c r="BD52" s="378"/>
      <c r="BE52" s="3630"/>
      <c r="BF52" s="3631"/>
      <c r="BG52" s="3632"/>
      <c r="BH52" s="378"/>
      <c r="BI52" s="3711"/>
      <c r="BJ52" s="3712"/>
      <c r="BK52" s="3713"/>
      <c r="BL52" s="378"/>
      <c r="BM52" s="381">
        <v>15</v>
      </c>
    </row>
    <row r="53" spans="1:65" ht="15" customHeight="1">
      <c r="A53" s="3862"/>
      <c r="B53" s="551">
        <f t="shared" si="17"/>
        <v>0</v>
      </c>
      <c r="C53" s="546"/>
      <c r="D53" s="3374">
        <f>IF(ISBLANK(AX7),(AA53/AS7)*AW7,(AA53/AX7)*AY7)</f>
        <v>0</v>
      </c>
      <c r="E53" s="533">
        <f t="shared" si="18"/>
        <v>0</v>
      </c>
      <c r="F53" s="532">
        <f>IF(ISBLANK(AX7),(AD53/AS7)*AW7,(AD53/AX7)*AY7)</f>
        <v>0</v>
      </c>
      <c r="G53" s="3374">
        <f>IF(ISBLANK(AX8),(AA53/AS7)*AW8,(AA53/AX8)*AY8)</f>
        <v>0</v>
      </c>
      <c r="H53" s="533">
        <f t="shared" si="19"/>
        <v>0</v>
      </c>
      <c r="I53" s="532">
        <f>IF(ISBLANK(AX8),(AD53/AS7)*AW8,(AD53/AX8)*AY8)</f>
        <v>0</v>
      </c>
      <c r="J53" s="3374">
        <f>IF(ISBLANK(AX9),(AA53/AS7)*AW9,(AA53/AX9)*AY9)</f>
        <v>0</v>
      </c>
      <c r="K53" s="533">
        <f t="shared" si="20"/>
        <v>0</v>
      </c>
      <c r="L53" s="532">
        <f>IF(ISBLANK(AX9),(AD53/AS7)*AW9,(AD53/AX9)*AY9)</f>
        <v>0</v>
      </c>
      <c r="M53" s="3374">
        <f>IF(ISBLANK(AX10),(AA53/AS7)*AW10,(AA53/AX10)*AY10)</f>
        <v>0</v>
      </c>
      <c r="N53" s="533">
        <f t="shared" si="21"/>
        <v>0</v>
      </c>
      <c r="O53" s="532">
        <f>IF(ISBLANK(AX10),(AD53/AS7)*AW10,(AD53/AX10)*AY10)</f>
        <v>0</v>
      </c>
      <c r="P53" s="3374">
        <f>IF(ISBLANK(AX11),(AA53/AS7)*AW11,(AA53/AX11)*AY11)</f>
        <v>0</v>
      </c>
      <c r="Q53" s="533">
        <f t="shared" si="22"/>
        <v>0</v>
      </c>
      <c r="R53" s="532">
        <f>IF(ISBLANK(AX11),(AD53/AS7)*AW11,(AD53/AX11)*AY11)</f>
        <v>0</v>
      </c>
      <c r="S53" s="3374">
        <f>IF(ISBLANK(AX12),(AA53/AS7)*AW12,(AA53/AX12)*AY12)</f>
        <v>0</v>
      </c>
      <c r="T53" s="533">
        <f t="shared" si="23"/>
        <v>0</v>
      </c>
      <c r="U53" s="532">
        <f>IF(ISBLANK(AX12),(AD53/AS7)*AW12,(AD53/AX12)*AY12)</f>
        <v>0</v>
      </c>
      <c r="V53" s="531">
        <f t="shared" si="24"/>
        <v>0</v>
      </c>
      <c r="W53" s="530">
        <f t="shared" si="25"/>
        <v>0</v>
      </c>
      <c r="X53" s="529">
        <f t="shared" si="26"/>
        <v>0</v>
      </c>
      <c r="Y53" s="4021"/>
      <c r="Z53" s="515"/>
      <c r="AA53" s="545"/>
      <c r="AB53" s="544"/>
      <c r="AC53" s="543"/>
      <c r="AD53" s="542">
        <f t="shared" si="27"/>
        <v>0</v>
      </c>
      <c r="AE53" s="541"/>
      <c r="AF53" s="523"/>
      <c r="AG53" s="522"/>
      <c r="AH53" s="540">
        <f>IF(ISBLANK(AH9),(AA53/AD10)*AJ7,(AA53/AH9)*AI9)</f>
        <v>0</v>
      </c>
      <c r="AI53" s="539">
        <f t="shared" si="28"/>
        <v>0</v>
      </c>
      <c r="AJ53" s="538">
        <f>IF(ISBLANK(AH9),(AD53/AD10)*AJ7,(AD53/AH9)*AI9)</f>
        <v>0</v>
      </c>
      <c r="AK53" s="518"/>
      <c r="AL53" s="537">
        <f t="shared" si="29"/>
        <v>0</v>
      </c>
      <c r="AM53" s="516"/>
      <c r="AN53" s="372">
        <f t="shared" si="30"/>
        <v>0</v>
      </c>
      <c r="AO53" s="3926"/>
      <c r="AP53" s="515"/>
      <c r="AQ53" s="378"/>
      <c r="AR53" s="212" t="s">
        <v>108</v>
      </c>
      <c r="AS53" s="3918" t="s">
        <v>113</v>
      </c>
      <c r="AT53" s="3918"/>
      <c r="AU53" s="3918"/>
      <c r="AV53" s="3918"/>
      <c r="AW53" s="3918"/>
      <c r="AX53" s="3918"/>
      <c r="AY53" s="3918"/>
      <c r="AZ53" s="378"/>
      <c r="BA53" s="378"/>
      <c r="BB53" s="378"/>
      <c r="BC53" s="378"/>
      <c r="BD53" s="378"/>
      <c r="BE53" s="3630"/>
      <c r="BF53" s="3631"/>
      <c r="BG53" s="3632"/>
      <c r="BH53" s="378"/>
      <c r="BI53" s="556">
        <v>150</v>
      </c>
      <c r="BJ53" s="3245">
        <v>250</v>
      </c>
      <c r="BK53" s="3244">
        <f>(BJ53*BI53)/1000</f>
        <v>37.5</v>
      </c>
      <c r="BL53" s="378"/>
      <c r="BM53" s="381">
        <v>15</v>
      </c>
    </row>
    <row r="54" spans="1:65" ht="15" customHeight="1">
      <c r="A54" s="3862"/>
      <c r="B54" s="551">
        <f t="shared" si="17"/>
        <v>0</v>
      </c>
      <c r="C54" s="546"/>
      <c r="D54" s="3374">
        <f>IF(ISBLANK(AX7),(AA54/AS7)*AW7,(AA54/AX7)*AY7)</f>
        <v>0</v>
      </c>
      <c r="E54" s="533">
        <f t="shared" si="18"/>
        <v>0</v>
      </c>
      <c r="F54" s="532">
        <f>IF(ISBLANK(AX7),(AD54/AS7)*AW7,(AD54/AX7)*AY7)</f>
        <v>0</v>
      </c>
      <c r="G54" s="3374">
        <f>IF(ISBLANK(AX8),(AA54/AS7)*AW8,(AA54/AX8)*AY8)</f>
        <v>0</v>
      </c>
      <c r="H54" s="533">
        <f t="shared" si="19"/>
        <v>0</v>
      </c>
      <c r="I54" s="532">
        <f>IF(ISBLANK(AX8),(AD54/AS7)*AW8,(AD54/AX8)*AY8)</f>
        <v>0</v>
      </c>
      <c r="J54" s="3374">
        <f>IF(ISBLANK(AX9),(AA54/AS7)*AW9,(AA54/AX9)*AY9)</f>
        <v>0</v>
      </c>
      <c r="K54" s="533">
        <f t="shared" si="20"/>
        <v>0</v>
      </c>
      <c r="L54" s="532">
        <f>IF(ISBLANK(AX9),(AD54/AS7)*AW9,(AD54/AX9)*AY9)</f>
        <v>0</v>
      </c>
      <c r="M54" s="3374">
        <f>IF(ISBLANK(AX10),(AA54/AS7)*AW10,(AA54/AX10)*AY10)</f>
        <v>0</v>
      </c>
      <c r="N54" s="533">
        <f t="shared" si="21"/>
        <v>0</v>
      </c>
      <c r="O54" s="532">
        <f>IF(ISBLANK(AX10),(AD54/AS7)*AW10,(AD54/AX10)*AY10)</f>
        <v>0</v>
      </c>
      <c r="P54" s="3374">
        <f>IF(ISBLANK(AX11),(AA54/AS7)*AW11,(AA54/AX11)*AY11)</f>
        <v>0</v>
      </c>
      <c r="Q54" s="533">
        <f t="shared" si="22"/>
        <v>0</v>
      </c>
      <c r="R54" s="532">
        <f>IF(ISBLANK(AX11),(AD54/AS7)*AW11,(AD54/AX11)*AY11)</f>
        <v>0</v>
      </c>
      <c r="S54" s="3374">
        <f>IF(ISBLANK(AX12),(AA54/AS7)*AW12,(AA54/AX12)*AY12)</f>
        <v>0</v>
      </c>
      <c r="T54" s="533">
        <f t="shared" si="23"/>
        <v>0</v>
      </c>
      <c r="U54" s="532">
        <f>IF(ISBLANK(AX12),(AD54/AS7)*AW12,(AD54/AX12)*AY12)</f>
        <v>0</v>
      </c>
      <c r="V54" s="531">
        <f t="shared" si="24"/>
        <v>0</v>
      </c>
      <c r="W54" s="530">
        <f t="shared" si="25"/>
        <v>0</v>
      </c>
      <c r="X54" s="529">
        <f t="shared" si="26"/>
        <v>0</v>
      </c>
      <c r="Y54" s="4021"/>
      <c r="Z54" s="515"/>
      <c r="AA54" s="528"/>
      <c r="AB54" s="527"/>
      <c r="AC54" s="526"/>
      <c r="AD54" s="525">
        <f t="shared" si="27"/>
        <v>0</v>
      </c>
      <c r="AE54" s="524"/>
      <c r="AF54" s="523"/>
      <c r="AG54" s="522"/>
      <c r="AH54" s="521">
        <f>IF(ISBLANK(AH9),(AA54/AD10)*AJ7,(AA54/AH9)*AI9)</f>
        <v>0</v>
      </c>
      <c r="AI54" s="520">
        <f t="shared" si="28"/>
        <v>0</v>
      </c>
      <c r="AJ54" s="519">
        <f>IF(ISBLANK(AH9),(AD54/AD10)*AJ7,(AD54/AH9)*AI9)</f>
        <v>0</v>
      </c>
      <c r="AK54" s="518"/>
      <c r="AL54" s="517">
        <f t="shared" si="29"/>
        <v>0</v>
      </c>
      <c r="AM54" s="516"/>
      <c r="AN54" s="372">
        <f t="shared" si="30"/>
        <v>0</v>
      </c>
      <c r="AO54" s="3926"/>
      <c r="AP54" s="515"/>
      <c r="AQ54" s="378"/>
      <c r="AR54" s="378"/>
      <c r="AS54" s="378"/>
      <c r="AT54" s="378"/>
      <c r="AU54" s="378"/>
      <c r="AV54" s="378"/>
      <c r="AW54" s="378"/>
      <c r="AX54" s="378"/>
      <c r="AY54" s="378"/>
      <c r="AZ54" s="378"/>
      <c r="BA54" s="378"/>
      <c r="BB54" s="378"/>
      <c r="BC54" s="378"/>
      <c r="BD54" s="378"/>
      <c r="BE54" s="3630" t="s">
        <v>204</v>
      </c>
      <c r="BF54" s="3631"/>
      <c r="BG54" s="3632"/>
      <c r="BH54" s="378"/>
      <c r="BI54" s="553" t="s">
        <v>203</v>
      </c>
      <c r="BJ54" s="552"/>
      <c r="BK54" s="552"/>
      <c r="BL54" s="378"/>
      <c r="BM54" s="381">
        <v>15</v>
      </c>
    </row>
    <row r="55" spans="1:65" ht="15" customHeight="1">
      <c r="A55" s="3862"/>
      <c r="B55" s="551">
        <f t="shared" si="17"/>
        <v>0</v>
      </c>
      <c r="C55" s="546"/>
      <c r="D55" s="3374">
        <f>IF(ISBLANK(AX7),(AA55/AS7)*AW7,(AA55/AX7)*AY7)</f>
        <v>0</v>
      </c>
      <c r="E55" s="533">
        <f t="shared" si="18"/>
        <v>0</v>
      </c>
      <c r="F55" s="532">
        <f>IF(ISBLANK(AX7),(AD55/AS7)*AW7,(AD55/AX7)*AY7)</f>
        <v>0</v>
      </c>
      <c r="G55" s="3374">
        <f>IF(ISBLANK(AX8),(AA55/AS7)*AW8,(AA55/AX8)*AY8)</f>
        <v>0</v>
      </c>
      <c r="H55" s="533">
        <f t="shared" si="19"/>
        <v>0</v>
      </c>
      <c r="I55" s="532">
        <f>IF(ISBLANK(AX8),(AD55/AS7)*AW8,(AD55/AX8)*AY8)</f>
        <v>0</v>
      </c>
      <c r="J55" s="3374">
        <f>IF(ISBLANK(AX9),(AA55/AS7)*AW9,(AA55/AX9)*AY9)</f>
        <v>0</v>
      </c>
      <c r="K55" s="533">
        <f t="shared" si="20"/>
        <v>0</v>
      </c>
      <c r="L55" s="532">
        <f>IF(ISBLANK(AX9),(AD55/AS7)*AW9,(AD55/AX9)*AY9)</f>
        <v>0</v>
      </c>
      <c r="M55" s="3374">
        <f>IF(ISBLANK(AX10),(AA55/AS7)*AW10,(AA55/AX10)*AY10)</f>
        <v>0</v>
      </c>
      <c r="N55" s="533">
        <f t="shared" si="21"/>
        <v>0</v>
      </c>
      <c r="O55" s="532">
        <f>IF(ISBLANK(AX10),(AD55/AS7)*AW10,(AD55/AX10)*AY10)</f>
        <v>0</v>
      </c>
      <c r="P55" s="3374">
        <f>IF(ISBLANK(AX11),(AA55/AS7)*AW11,(AA55/AX11)*AY11)</f>
        <v>0</v>
      </c>
      <c r="Q55" s="533">
        <f t="shared" si="22"/>
        <v>0</v>
      </c>
      <c r="R55" s="532">
        <f>IF(ISBLANK(AX11),(AD55/AS7)*AW11,(AD55/AX11)*AY11)</f>
        <v>0</v>
      </c>
      <c r="S55" s="3374">
        <f>IF(ISBLANK(AX12),(AA55/AS7)*AW12,(AA55/AX12)*AY12)</f>
        <v>0</v>
      </c>
      <c r="T55" s="533">
        <f t="shared" si="23"/>
        <v>0</v>
      </c>
      <c r="U55" s="532">
        <f>IF(ISBLANK(AX12),(AD55/AS7)*AW12,(AD55/AX12)*AY12)</f>
        <v>0</v>
      </c>
      <c r="V55" s="531">
        <f t="shared" si="24"/>
        <v>0</v>
      </c>
      <c r="W55" s="530">
        <f t="shared" si="25"/>
        <v>0</v>
      </c>
      <c r="X55" s="529">
        <f t="shared" si="26"/>
        <v>0</v>
      </c>
      <c r="Y55" s="4021"/>
      <c r="Z55" s="515"/>
      <c r="AA55" s="545"/>
      <c r="AB55" s="544"/>
      <c r="AC55" s="543"/>
      <c r="AD55" s="542">
        <f t="shared" si="27"/>
        <v>0</v>
      </c>
      <c r="AE55" s="541"/>
      <c r="AF55" s="523"/>
      <c r="AG55" s="522"/>
      <c r="AH55" s="540">
        <f>IF(ISBLANK(AH9),(AA55/AD10)*AJ7,(AA55/AH9)*AI9)</f>
        <v>0</v>
      </c>
      <c r="AI55" s="539">
        <f t="shared" si="28"/>
        <v>0</v>
      </c>
      <c r="AJ55" s="538">
        <f>IF(ISBLANK(AH9),(AD55/AD10)*AJ7,(AD55/AH9)*AI9)</f>
        <v>0</v>
      </c>
      <c r="AK55" s="518"/>
      <c r="AL55" s="537">
        <f t="shared" si="29"/>
        <v>0</v>
      </c>
      <c r="AM55" s="516"/>
      <c r="AN55" s="372">
        <f t="shared" si="30"/>
        <v>0</v>
      </c>
      <c r="AO55" s="3926"/>
      <c r="AP55" s="515"/>
      <c r="AQ55" s="378"/>
      <c r="AR55" s="378"/>
      <c r="AS55" s="378"/>
      <c r="AT55" s="378"/>
      <c r="AU55" s="378"/>
      <c r="AV55" s="378"/>
      <c r="AW55" s="378"/>
      <c r="AX55" s="378"/>
      <c r="AY55" s="378"/>
      <c r="AZ55" s="378"/>
      <c r="BA55" s="378"/>
      <c r="BB55" s="378"/>
      <c r="BC55" s="378"/>
      <c r="BD55" s="378"/>
      <c r="BE55" s="3630"/>
      <c r="BF55" s="3631"/>
      <c r="BG55" s="3632"/>
      <c r="BH55" s="378"/>
      <c r="BI55" s="3945" t="s">
        <v>131</v>
      </c>
      <c r="BJ55" s="3289" t="s">
        <v>37</v>
      </c>
      <c r="BK55" s="298" t="s">
        <v>47</v>
      </c>
      <c r="BL55" s="378"/>
      <c r="BM55" s="381">
        <v>15</v>
      </c>
    </row>
    <row r="56" spans="1:65" ht="15" customHeight="1">
      <c r="A56" s="3862"/>
      <c r="B56" s="551">
        <f t="shared" si="17"/>
        <v>0</v>
      </c>
      <c r="C56" s="546"/>
      <c r="D56" s="3374">
        <f>IF(ISBLANK(AX7),(AA56/AS7)*AW7,(AA56/AX7)*AY7)</f>
        <v>0</v>
      </c>
      <c r="E56" s="533">
        <f t="shared" si="18"/>
        <v>0</v>
      </c>
      <c r="F56" s="532">
        <f>IF(ISBLANK(AX7),(AD56/AS7)*AW7,(AD56/AX7)*AY7)</f>
        <v>0</v>
      </c>
      <c r="G56" s="3374">
        <f>IF(ISBLANK(AX8),(AA56/AS7)*AW8,(AA56/AX8)*AY8)</f>
        <v>0</v>
      </c>
      <c r="H56" s="533">
        <f t="shared" si="19"/>
        <v>0</v>
      </c>
      <c r="I56" s="532">
        <f>IF(ISBLANK(AX8),(AD56/AS7)*AW8,(AD56/AX8)*AY8)</f>
        <v>0</v>
      </c>
      <c r="J56" s="3374">
        <f>IF(ISBLANK(AX9),(AA56/AS7)*AW9,(AA56/AX9)*AY9)</f>
        <v>0</v>
      </c>
      <c r="K56" s="533">
        <f t="shared" si="20"/>
        <v>0</v>
      </c>
      <c r="L56" s="532">
        <f>IF(ISBLANK(AX9),(AD56/AS7)*AW9,(AD56/AX9)*AY9)</f>
        <v>0</v>
      </c>
      <c r="M56" s="3374">
        <f>IF(ISBLANK(AX10),(AA56/AS7)*AW10,(AA56/AX10)*AY10)</f>
        <v>0</v>
      </c>
      <c r="N56" s="533">
        <f t="shared" si="21"/>
        <v>0</v>
      </c>
      <c r="O56" s="532">
        <f>IF(ISBLANK(AX10),(AD56/AS7)*AW10,(AD56/AX10)*AY10)</f>
        <v>0</v>
      </c>
      <c r="P56" s="3374">
        <f>IF(ISBLANK(AX11),(AA56/AS7)*AW11,(AA56/AX11)*AY11)</f>
        <v>0</v>
      </c>
      <c r="Q56" s="533">
        <f t="shared" si="22"/>
        <v>0</v>
      </c>
      <c r="R56" s="532">
        <f>IF(ISBLANK(AX11),(AD56/AS7)*AW11,(AD56/AX11)*AY11)</f>
        <v>0</v>
      </c>
      <c r="S56" s="3374">
        <f>IF(ISBLANK(AX12),(AA56/AS7)*AW12,(AA56/AX12)*AY12)</f>
        <v>0</v>
      </c>
      <c r="T56" s="533">
        <f t="shared" si="23"/>
        <v>0</v>
      </c>
      <c r="U56" s="532">
        <f>IF(ISBLANK(AX12),(AD56/AS7)*AW12,(AD56/AX12)*AY12)</f>
        <v>0</v>
      </c>
      <c r="V56" s="531">
        <f t="shared" si="24"/>
        <v>0</v>
      </c>
      <c r="W56" s="530">
        <f t="shared" si="25"/>
        <v>0</v>
      </c>
      <c r="X56" s="529">
        <f t="shared" si="26"/>
        <v>0</v>
      </c>
      <c r="Y56" s="4021"/>
      <c r="Z56" s="515"/>
      <c r="AA56" s="528"/>
      <c r="AB56" s="527"/>
      <c r="AC56" s="526"/>
      <c r="AD56" s="525">
        <f t="shared" si="27"/>
        <v>0</v>
      </c>
      <c r="AE56" s="524"/>
      <c r="AF56" s="523"/>
      <c r="AG56" s="522"/>
      <c r="AH56" s="521">
        <f>IF(ISBLANK(AH9),(AA56/AD10)*AJ7,(AA56/AH9)*AI9)</f>
        <v>0</v>
      </c>
      <c r="AI56" s="520">
        <f t="shared" si="28"/>
        <v>0</v>
      </c>
      <c r="AJ56" s="519">
        <f>IF(ISBLANK(AH9),(AD56/AD10)*AJ7,(AD56/AH9)*AI9)</f>
        <v>0</v>
      </c>
      <c r="AK56" s="518"/>
      <c r="AL56" s="517">
        <f t="shared" si="29"/>
        <v>0</v>
      </c>
      <c r="AM56" s="516"/>
      <c r="AN56" s="372">
        <f t="shared" si="30"/>
        <v>0</v>
      </c>
      <c r="AO56" s="3926"/>
      <c r="AP56" s="515"/>
      <c r="AQ56" s="378"/>
      <c r="AR56" s="378"/>
      <c r="AS56" s="378"/>
      <c r="AT56" s="378"/>
      <c r="AU56" s="378"/>
      <c r="AV56" s="378"/>
      <c r="AW56" s="378"/>
      <c r="AX56" s="378"/>
      <c r="AY56" s="378"/>
      <c r="AZ56" s="378"/>
      <c r="BA56" s="378"/>
      <c r="BB56" s="378"/>
      <c r="BC56" s="378"/>
      <c r="BD56" s="378"/>
      <c r="BE56" s="3630"/>
      <c r="BF56" s="3631"/>
      <c r="BG56" s="3632"/>
      <c r="BH56" s="378"/>
      <c r="BI56" s="3709"/>
      <c r="BJ56" s="550">
        <v>200</v>
      </c>
      <c r="BK56" s="549">
        <v>140</v>
      </c>
      <c r="BL56" s="378"/>
      <c r="BM56" s="381">
        <v>15</v>
      </c>
    </row>
    <row r="57" spans="1:65" ht="15" customHeight="1">
      <c r="A57" s="3862"/>
      <c r="B57" s="547">
        <f t="shared" si="17"/>
        <v>0</v>
      </c>
      <c r="C57" s="546"/>
      <c r="D57" s="3374">
        <f>IF(ISBLANK(AX7),(AA57/AS7)*AW7,(AA57/AX7)*AY7)</f>
        <v>0</v>
      </c>
      <c r="E57" s="533">
        <f t="shared" si="18"/>
        <v>0</v>
      </c>
      <c r="F57" s="532">
        <f>IF(ISBLANK(AX7),(AD57/AS7)*AW7,(AD57/AX7)*AY7)</f>
        <v>0</v>
      </c>
      <c r="G57" s="3374">
        <f>IF(ISBLANK(AX8),(AA57/AS7)*AW8,(AA57/AX8)*AY8)</f>
        <v>0</v>
      </c>
      <c r="H57" s="533">
        <f t="shared" si="19"/>
        <v>0</v>
      </c>
      <c r="I57" s="532">
        <f>IF(ISBLANK(AX8),(AD57/AS7)*AW8,(AD57/AX8)*AY8)</f>
        <v>0</v>
      </c>
      <c r="J57" s="3374">
        <f>IF(ISBLANK(AX9),(AA57/AS7)*AW9,(AA57/AX9)*AY9)</f>
        <v>0</v>
      </c>
      <c r="K57" s="533">
        <f t="shared" si="20"/>
        <v>0</v>
      </c>
      <c r="L57" s="532">
        <f>IF(ISBLANK(AX9),(AD57/AS7)*AW9,(AD57/AX9)*AY9)</f>
        <v>0</v>
      </c>
      <c r="M57" s="3374">
        <f>IF(ISBLANK(AX10),(AA57/AS7)*AW10,(AA57/AX10)*AY10)</f>
        <v>0</v>
      </c>
      <c r="N57" s="533">
        <f t="shared" si="21"/>
        <v>0</v>
      </c>
      <c r="O57" s="532">
        <f>IF(ISBLANK(AX10),(AD57/AS7)*AW10,(AD57/AX10)*AY10)</f>
        <v>0</v>
      </c>
      <c r="P57" s="3374">
        <f>IF(ISBLANK(AX11),(AA57/AS7)*AW11,(AA57/AX11)*AY11)</f>
        <v>0</v>
      </c>
      <c r="Q57" s="533">
        <f t="shared" si="22"/>
        <v>0</v>
      </c>
      <c r="R57" s="532">
        <f>IF(ISBLANK(AX11),(AD57/AS7)*AW11,(AD57/AX11)*AY11)</f>
        <v>0</v>
      </c>
      <c r="S57" s="3374">
        <f>IF(ISBLANK(AX12),(AA57/AS7)*AW12,(AA57/AX12)*AY12)</f>
        <v>0</v>
      </c>
      <c r="T57" s="533">
        <f t="shared" si="23"/>
        <v>0</v>
      </c>
      <c r="U57" s="532">
        <f>IF(ISBLANK(AX12),(AD57/AS7)*AW12,(AD57/AX12)*AY12)</f>
        <v>0</v>
      </c>
      <c r="V57" s="531">
        <f t="shared" si="24"/>
        <v>0</v>
      </c>
      <c r="W57" s="530">
        <f t="shared" si="25"/>
        <v>0</v>
      </c>
      <c r="X57" s="529">
        <f t="shared" si="26"/>
        <v>0</v>
      </c>
      <c r="Y57" s="4021"/>
      <c r="Z57" s="515"/>
      <c r="AA57" s="545"/>
      <c r="AB57" s="544"/>
      <c r="AC57" s="543"/>
      <c r="AD57" s="542">
        <f t="shared" si="27"/>
        <v>0</v>
      </c>
      <c r="AE57" s="541"/>
      <c r="AF57" s="523"/>
      <c r="AG57" s="522"/>
      <c r="AH57" s="540">
        <f>IF(ISBLANK(AH9),(AA57/AD10)*AJ7,(AA57/AH9)*AI9)</f>
        <v>0</v>
      </c>
      <c r="AI57" s="539">
        <f t="shared" si="28"/>
        <v>0</v>
      </c>
      <c r="AJ57" s="538">
        <f>IF(ISBLANK(AH9),(AD57/AD10)*AJ7,(AD57/AH9)*AI9)</f>
        <v>0</v>
      </c>
      <c r="AK57" s="518"/>
      <c r="AL57" s="537">
        <f t="shared" si="29"/>
        <v>0</v>
      </c>
      <c r="AM57" s="516"/>
      <c r="AN57" s="372">
        <f t="shared" si="30"/>
        <v>0</v>
      </c>
      <c r="AO57" s="3926"/>
      <c r="AP57" s="515"/>
      <c r="AQ57" s="378"/>
      <c r="AR57" s="378"/>
      <c r="AS57" s="378"/>
      <c r="AT57" s="378"/>
      <c r="AU57" s="378"/>
      <c r="AV57" s="378"/>
      <c r="AW57" s="378"/>
      <c r="AX57" s="378"/>
      <c r="AY57" s="378"/>
      <c r="AZ57" s="378"/>
      <c r="BA57" s="378"/>
      <c r="BB57" s="378"/>
      <c r="BC57" s="378"/>
      <c r="BD57" s="378"/>
      <c r="BE57" s="3630" t="s">
        <v>202</v>
      </c>
      <c r="BF57" s="3631"/>
      <c r="BG57" s="3632"/>
      <c r="BH57" s="378"/>
      <c r="BI57" s="3709"/>
      <c r="BJ57" s="308">
        <v>30</v>
      </c>
      <c r="BK57" s="309">
        <v>30</v>
      </c>
      <c r="BL57" s="378"/>
      <c r="BM57" s="381">
        <v>15</v>
      </c>
    </row>
    <row r="58" spans="1:65" ht="15" customHeight="1">
      <c r="A58" s="3862"/>
      <c r="B58" s="547">
        <f t="shared" si="17"/>
        <v>0</v>
      </c>
      <c r="C58" s="546"/>
      <c r="D58" s="3374">
        <f>IF(ISBLANK(AX7),(AA58/AS7)*AW7,(AA58/AX7)*AY7)</f>
        <v>0</v>
      </c>
      <c r="E58" s="533">
        <f t="shared" si="18"/>
        <v>0</v>
      </c>
      <c r="F58" s="532">
        <f>IF(ISBLANK(AX7),(AD58/AS7)*AW7,(AD58/AX7)*AY7)</f>
        <v>0</v>
      </c>
      <c r="G58" s="3374">
        <f>IF(ISBLANK(AX8),(AA58/AS7)*AW8,(AA58/AX8)*AY8)</f>
        <v>0</v>
      </c>
      <c r="H58" s="533">
        <f t="shared" si="19"/>
        <v>0</v>
      </c>
      <c r="I58" s="532">
        <f>IF(ISBLANK(AX8),(AD58/AS7)*AW8,(AD58/AX8)*AY8)</f>
        <v>0</v>
      </c>
      <c r="J58" s="3374">
        <f>IF(ISBLANK(AX9),(AA58/AS7)*AW9,(AA58/AX9)*AY9)</f>
        <v>0</v>
      </c>
      <c r="K58" s="533">
        <f t="shared" si="20"/>
        <v>0</v>
      </c>
      <c r="L58" s="532">
        <f>IF(ISBLANK(AX9),(AD58/AS7)*AW9,(AD58/AX9)*AY9)</f>
        <v>0</v>
      </c>
      <c r="M58" s="3374">
        <f>IF(ISBLANK(AX10),(AA58/AS7)*AW10,(AA58/AX10)*AY10)</f>
        <v>0</v>
      </c>
      <c r="N58" s="533">
        <f t="shared" si="21"/>
        <v>0</v>
      </c>
      <c r="O58" s="532">
        <f>IF(ISBLANK(AX10),(AD58/AS7)*AW10,(AD58/AX10)*AY10)</f>
        <v>0</v>
      </c>
      <c r="P58" s="3374">
        <f>IF(ISBLANK(AX11),(AA58/AS7)*AW11,(AA58/AX11)*AY11)</f>
        <v>0</v>
      </c>
      <c r="Q58" s="533">
        <f t="shared" si="22"/>
        <v>0</v>
      </c>
      <c r="R58" s="532">
        <f>IF(ISBLANK(AX11),(AD58/AS7)*AW11,(AD58/AX11)*AY11)</f>
        <v>0</v>
      </c>
      <c r="S58" s="3374">
        <f>IF(ISBLANK(AX12),(AA58/AS7)*AW12,(AA58/AX12)*AY12)</f>
        <v>0</v>
      </c>
      <c r="T58" s="533">
        <f t="shared" si="23"/>
        <v>0</v>
      </c>
      <c r="U58" s="532">
        <f>IF(ISBLANK(AX12),(AD58/AS7)*AW12,(AD58/AX12)*AY12)</f>
        <v>0</v>
      </c>
      <c r="V58" s="531">
        <f t="shared" si="24"/>
        <v>0</v>
      </c>
      <c r="W58" s="530">
        <f t="shared" si="25"/>
        <v>0</v>
      </c>
      <c r="X58" s="529">
        <f t="shared" si="26"/>
        <v>0</v>
      </c>
      <c r="Y58" s="4021"/>
      <c r="Z58" s="515"/>
      <c r="AA58" s="528"/>
      <c r="AB58" s="527"/>
      <c r="AC58" s="526"/>
      <c r="AD58" s="525">
        <f t="shared" si="27"/>
        <v>0</v>
      </c>
      <c r="AE58" s="524"/>
      <c r="AF58" s="523"/>
      <c r="AG58" s="522"/>
      <c r="AH58" s="521">
        <f>IF(ISBLANK(AH9),(AA58/AD10)*AJ7,(AA58/AH9)*AI9)</f>
        <v>0</v>
      </c>
      <c r="AI58" s="520">
        <f t="shared" si="28"/>
        <v>0</v>
      </c>
      <c r="AJ58" s="519">
        <f>IF(ISBLANK(AH9),(AD58/AD10)*AJ7,(AD58/AH9)*AI9)</f>
        <v>0</v>
      </c>
      <c r="AK58" s="518"/>
      <c r="AL58" s="517">
        <f t="shared" si="29"/>
        <v>0</v>
      </c>
      <c r="AM58" s="516"/>
      <c r="AN58" s="372">
        <f t="shared" si="30"/>
        <v>0</v>
      </c>
      <c r="AO58" s="3926"/>
      <c r="AP58" s="515"/>
      <c r="AQ58" s="378"/>
      <c r="AR58" s="378"/>
      <c r="AS58" s="378"/>
      <c r="AT58" s="378"/>
      <c r="AU58" s="378"/>
      <c r="AV58" s="378"/>
      <c r="AW58" s="378"/>
      <c r="AX58" s="378"/>
      <c r="AY58" s="378"/>
      <c r="AZ58" s="378"/>
      <c r="BA58" s="378"/>
      <c r="BB58" s="378"/>
      <c r="BC58" s="378"/>
      <c r="BD58" s="378"/>
      <c r="BE58" s="3630"/>
      <c r="BF58" s="3631"/>
      <c r="BG58" s="3632"/>
      <c r="BH58" s="378"/>
      <c r="BI58" s="3919"/>
      <c r="BJ58" s="3243">
        <f>IF(BJ56=0,0,((BJ56-(BJ56*BJ57%))))/1000</f>
        <v>0.14000000000000001</v>
      </c>
      <c r="BK58" s="3242">
        <f>(BK56/(100-BK57)*100)/1000</f>
        <v>0.2</v>
      </c>
      <c r="BL58" s="378"/>
      <c r="BM58" s="381">
        <v>15</v>
      </c>
    </row>
    <row r="59" spans="1:65" ht="15" customHeight="1">
      <c r="A59" s="3862"/>
      <c r="B59" s="547">
        <f t="shared" si="17"/>
        <v>0</v>
      </c>
      <c r="C59" s="546"/>
      <c r="D59" s="3374">
        <f>IF(ISBLANK(AX7),(AA59/AS7)*AW7,(AA59/AX7)*AY7)</f>
        <v>0</v>
      </c>
      <c r="E59" s="533">
        <f t="shared" si="18"/>
        <v>0</v>
      </c>
      <c r="F59" s="532">
        <f>IF(ISBLANK(AX7),(AD59/AS7)*AW7,(AD59/AX7)*AY7)</f>
        <v>0</v>
      </c>
      <c r="G59" s="3374">
        <f>IF(ISBLANK(AX8),(AA59/AS7)*AW8,(AA59/AX8)*AY8)</f>
        <v>0</v>
      </c>
      <c r="H59" s="533">
        <f t="shared" si="19"/>
        <v>0</v>
      </c>
      <c r="I59" s="532">
        <f>IF(ISBLANK(AX8),(AD59/AS7)*AW8,(AD59/AX8)*AY8)</f>
        <v>0</v>
      </c>
      <c r="J59" s="3374">
        <f>IF(ISBLANK(AX9),(AA59/AS7)*AW9,(AA59/AX9)*AY9)</f>
        <v>0</v>
      </c>
      <c r="K59" s="533">
        <f t="shared" si="20"/>
        <v>0</v>
      </c>
      <c r="L59" s="532">
        <f>IF(ISBLANK(AX9),(AD59/AS7)*AW9,(AD59/AX9)*AY9)</f>
        <v>0</v>
      </c>
      <c r="M59" s="3374">
        <f>IF(ISBLANK(AX10),(AA59/AS7)*AW10,(AA59/AX10)*AY10)</f>
        <v>0</v>
      </c>
      <c r="N59" s="533">
        <f t="shared" si="21"/>
        <v>0</v>
      </c>
      <c r="O59" s="532">
        <f>IF(ISBLANK(AX10),(AD59/AS7)*AW10,(AD59/AX10)*AY10)</f>
        <v>0</v>
      </c>
      <c r="P59" s="3374">
        <f>IF(ISBLANK(AX11),(AA59/AS7)*AW11,(AA59/AX11)*AY11)</f>
        <v>0</v>
      </c>
      <c r="Q59" s="533">
        <f t="shared" si="22"/>
        <v>0</v>
      </c>
      <c r="R59" s="532">
        <f>IF(ISBLANK(AX11),(AD59/AS7)*AW11,(AD59/AX11)*AY11)</f>
        <v>0</v>
      </c>
      <c r="S59" s="3374">
        <f>IF(ISBLANK(AX12),(AA59/AS7)*AW12,(AA59/AX12)*AY12)</f>
        <v>0</v>
      </c>
      <c r="T59" s="533">
        <f t="shared" si="23"/>
        <v>0</v>
      </c>
      <c r="U59" s="532">
        <f>IF(ISBLANK(AX12),(AD59/AS7)*AW12,(AD59/AX12)*AY12)</f>
        <v>0</v>
      </c>
      <c r="V59" s="531">
        <f t="shared" si="24"/>
        <v>0</v>
      </c>
      <c r="W59" s="530">
        <f t="shared" si="25"/>
        <v>0</v>
      </c>
      <c r="X59" s="529">
        <f t="shared" si="26"/>
        <v>0</v>
      </c>
      <c r="Y59" s="4021"/>
      <c r="Z59" s="515"/>
      <c r="AA59" s="545"/>
      <c r="AB59" s="544"/>
      <c r="AC59" s="543"/>
      <c r="AD59" s="542">
        <f t="shared" si="27"/>
        <v>0</v>
      </c>
      <c r="AE59" s="541"/>
      <c r="AF59" s="523"/>
      <c r="AG59" s="522"/>
      <c r="AH59" s="540">
        <f>IF(ISBLANK(AH9),(AA59/AD10)*AJ7,(AA59/AH9)*AI9)</f>
        <v>0</v>
      </c>
      <c r="AI59" s="539">
        <f t="shared" si="28"/>
        <v>0</v>
      </c>
      <c r="AJ59" s="538">
        <f>IF(ISBLANK(AH9),(AD59/AD10)*AJ7,(AD59/AH9)*AI9)</f>
        <v>0</v>
      </c>
      <c r="AK59" s="518"/>
      <c r="AL59" s="537">
        <f t="shared" si="29"/>
        <v>0</v>
      </c>
      <c r="AM59" s="516"/>
      <c r="AN59" s="372">
        <f t="shared" si="30"/>
        <v>0</v>
      </c>
      <c r="AO59" s="3926"/>
      <c r="AP59" s="515"/>
      <c r="AQ59" s="378"/>
      <c r="AR59" s="378"/>
      <c r="AS59" s="378"/>
      <c r="AT59" s="378"/>
      <c r="AU59" s="378"/>
      <c r="AV59" s="378"/>
      <c r="AW59" s="378"/>
      <c r="AX59" s="378"/>
      <c r="AY59" s="378"/>
      <c r="AZ59" s="378"/>
      <c r="BA59" s="378"/>
      <c r="BB59" s="378"/>
      <c r="BC59" s="378"/>
      <c r="BD59" s="378"/>
      <c r="BE59" s="413"/>
      <c r="BF59" s="548" t="s">
        <v>201</v>
      </c>
      <c r="BG59" s="513" t="str">
        <f>LEFT(ADDRESS(1,COLUMN(AA12),4),LEN(ADDRESS(1,COLUMN(AA12),4))-1)</f>
        <v>AA</v>
      </c>
      <c r="BH59" s="378"/>
      <c r="BI59" s="378"/>
      <c r="BJ59" s="378"/>
      <c r="BK59" s="378"/>
      <c r="BL59" s="378"/>
      <c r="BM59" s="381">
        <v>15</v>
      </c>
    </row>
    <row r="60" spans="1:65" ht="15" customHeight="1">
      <c r="A60" s="3862"/>
      <c r="B60" s="547">
        <f t="shared" si="17"/>
        <v>0</v>
      </c>
      <c r="C60" s="546"/>
      <c r="D60" s="3374">
        <f>IF(ISBLANK(AX7),(AA60/AS7)*AW7,(AA60/AX7)*AY7)</f>
        <v>0</v>
      </c>
      <c r="E60" s="533">
        <f t="shared" si="18"/>
        <v>0</v>
      </c>
      <c r="F60" s="532">
        <f>IF(ISBLANK(AX7),(AD60/AS7)*AW7,(AD60/AX7)*AY7)</f>
        <v>0</v>
      </c>
      <c r="G60" s="3374">
        <f>IF(ISBLANK(AX8),(AA60/AS7)*AW8,(AA60/AX8)*AY8)</f>
        <v>0</v>
      </c>
      <c r="H60" s="533">
        <f t="shared" si="19"/>
        <v>0</v>
      </c>
      <c r="I60" s="532">
        <f>IF(ISBLANK(AX8),(AD60/AS7)*AW8,(AD60/AX8)*AY8)</f>
        <v>0</v>
      </c>
      <c r="J60" s="3374">
        <f>IF(ISBLANK(AX9),(AA60/AS7)*AW9,(AA60/AX9)*AY9)</f>
        <v>0</v>
      </c>
      <c r="K60" s="533">
        <f t="shared" si="20"/>
        <v>0</v>
      </c>
      <c r="L60" s="532">
        <f>IF(ISBLANK(AX9),(AD60/AS7)*AW9,(AD60/AX9)*AY9)</f>
        <v>0</v>
      </c>
      <c r="M60" s="3374">
        <f>IF(ISBLANK(AX10),(AA60/AS7)*AW10,(AA60/AX10)*AY10)</f>
        <v>0</v>
      </c>
      <c r="N60" s="533">
        <f t="shared" si="21"/>
        <v>0</v>
      </c>
      <c r="O60" s="532">
        <f>IF(ISBLANK(AX10),(AD60/AS7)*AW10,(AD60/AX10)*AY10)</f>
        <v>0</v>
      </c>
      <c r="P60" s="3374">
        <f>IF(ISBLANK(AX11),(AA60/AS7)*AW11,(AA60/AX11)*AY11)</f>
        <v>0</v>
      </c>
      <c r="Q60" s="533">
        <f t="shared" si="22"/>
        <v>0</v>
      </c>
      <c r="R60" s="532">
        <f>IF(ISBLANK(AX11),(AD60/AS7)*AW11,(AD60/AX11)*AY11)</f>
        <v>0</v>
      </c>
      <c r="S60" s="3374">
        <f>IF(ISBLANK(AX12),(AA60/AS7)*AW12,(AA60/AX12)*AY12)</f>
        <v>0</v>
      </c>
      <c r="T60" s="533">
        <f t="shared" si="23"/>
        <v>0</v>
      </c>
      <c r="U60" s="532">
        <f>IF(ISBLANK(AX12),(AD60/AS7)*AW12,(AD60/AX12)*AY12)</f>
        <v>0</v>
      </c>
      <c r="V60" s="531">
        <f t="shared" si="24"/>
        <v>0</v>
      </c>
      <c r="W60" s="530">
        <f t="shared" si="25"/>
        <v>0</v>
      </c>
      <c r="X60" s="529">
        <f t="shared" si="26"/>
        <v>0</v>
      </c>
      <c r="Y60" s="4021"/>
      <c r="Z60" s="515"/>
      <c r="AA60" s="528"/>
      <c r="AB60" s="527"/>
      <c r="AC60" s="526"/>
      <c r="AD60" s="525">
        <f t="shared" si="27"/>
        <v>0</v>
      </c>
      <c r="AE60" s="524"/>
      <c r="AF60" s="523"/>
      <c r="AG60" s="522"/>
      <c r="AH60" s="521">
        <f>IF(ISBLANK(AH9),(AA60/AD10)*AJ7,(AA60/AH9)*AI9)</f>
        <v>0</v>
      </c>
      <c r="AI60" s="520">
        <f t="shared" si="28"/>
        <v>0</v>
      </c>
      <c r="AJ60" s="519">
        <f>IF(ISBLANK(AH9),(AD60/AD10)*AJ7,(AD60/AH9)*AI9)</f>
        <v>0</v>
      </c>
      <c r="AK60" s="518"/>
      <c r="AL60" s="517">
        <f t="shared" si="29"/>
        <v>0</v>
      </c>
      <c r="AM60" s="516"/>
      <c r="AN60" s="372">
        <f t="shared" si="30"/>
        <v>0</v>
      </c>
      <c r="AO60" s="3926"/>
      <c r="AP60" s="515"/>
      <c r="AQ60" s="378"/>
      <c r="AR60" s="378"/>
      <c r="AS60" s="378"/>
      <c r="AT60" s="378"/>
      <c r="AU60" s="378"/>
      <c r="AV60" s="378"/>
      <c r="AW60" s="378"/>
      <c r="AX60" s="378"/>
      <c r="AY60" s="378"/>
      <c r="AZ60" s="378"/>
      <c r="BA60" s="378"/>
      <c r="BB60" s="378"/>
      <c r="BC60" s="378"/>
      <c r="BD60" s="378"/>
      <c r="BE60" s="413"/>
      <c r="BF60" s="548" t="s">
        <v>200</v>
      </c>
      <c r="BG60" s="513" t="str">
        <f>LEFT(ADDRESS(1,COLUMN(AD12),4),LEN(ADDRESS(1,COLUMN(AD12),4))-1)</f>
        <v>AD</v>
      </c>
      <c r="BH60" s="378"/>
      <c r="BI60" s="378"/>
      <c r="BJ60" s="378"/>
      <c r="BK60" s="378"/>
      <c r="BL60" s="378"/>
      <c r="BM60" s="381">
        <v>15</v>
      </c>
    </row>
    <row r="61" spans="1:65" ht="15" customHeight="1">
      <c r="A61" s="3862"/>
      <c r="B61" s="547">
        <f t="shared" si="17"/>
        <v>0</v>
      </c>
      <c r="C61" s="546"/>
      <c r="D61" s="3374">
        <f>IF(ISBLANK(AX7),(AA61/AS7)*AW7,(AA61/AX7)*AY7)</f>
        <v>0</v>
      </c>
      <c r="E61" s="533">
        <f t="shared" si="18"/>
        <v>0</v>
      </c>
      <c r="F61" s="532">
        <f>IF(ISBLANK(AX7),(AD61/AS7)*AW7,(AD61/AX7)*AY7)</f>
        <v>0</v>
      </c>
      <c r="G61" s="3374">
        <f>IF(ISBLANK(AX8),(AA61/AS7)*AW8,(AA61/AX8)*AY8)</f>
        <v>0</v>
      </c>
      <c r="H61" s="533">
        <f t="shared" si="19"/>
        <v>0</v>
      </c>
      <c r="I61" s="532">
        <f>IF(ISBLANK(AX8),(AD61/AS7)*AW8,(AD61/AX8)*AY8)</f>
        <v>0</v>
      </c>
      <c r="J61" s="3374">
        <f>IF(ISBLANK(AX9),(AA61/AS7)*AW9,(AA61/AX9)*AY9)</f>
        <v>0</v>
      </c>
      <c r="K61" s="533">
        <f t="shared" si="20"/>
        <v>0</v>
      </c>
      <c r="L61" s="532">
        <f>IF(ISBLANK(AX9),(AD61/AS7)*AW9,(AD61/AX9)*AY9)</f>
        <v>0</v>
      </c>
      <c r="M61" s="3374">
        <f>IF(ISBLANK(AX10),(AA61/AS7)*AW10,(AA61/AX10)*AY10)</f>
        <v>0</v>
      </c>
      <c r="N61" s="533">
        <f t="shared" si="21"/>
        <v>0</v>
      </c>
      <c r="O61" s="532">
        <f>IF(ISBLANK(AX10),(AD61/AS7)*AW10,(AD61/AX10)*AY10)</f>
        <v>0</v>
      </c>
      <c r="P61" s="3374">
        <f>IF(ISBLANK(AX11),(AA61/AS7)*AW11,(AA61/AX11)*AY11)</f>
        <v>0</v>
      </c>
      <c r="Q61" s="533">
        <f t="shared" si="22"/>
        <v>0</v>
      </c>
      <c r="R61" s="532">
        <f>IF(ISBLANK(AX11),(AD61/AS7)*AW11,(AD61/AX11)*AY11)</f>
        <v>0</v>
      </c>
      <c r="S61" s="3374">
        <f>IF(ISBLANK(AX12),(AA61/AS7)*AW12,(AA61/AX12)*AY12)</f>
        <v>0</v>
      </c>
      <c r="T61" s="533">
        <f t="shared" si="23"/>
        <v>0</v>
      </c>
      <c r="U61" s="532">
        <f>IF(ISBLANK(AX12),(AD61/AS7)*AW12,(AD61/AX12)*AY12)</f>
        <v>0</v>
      </c>
      <c r="V61" s="531">
        <f t="shared" si="24"/>
        <v>0</v>
      </c>
      <c r="W61" s="530">
        <f t="shared" si="25"/>
        <v>0</v>
      </c>
      <c r="X61" s="529">
        <f t="shared" si="26"/>
        <v>0</v>
      </c>
      <c r="Y61" s="4021"/>
      <c r="Z61" s="515"/>
      <c r="AA61" s="545"/>
      <c r="AB61" s="544"/>
      <c r="AC61" s="543"/>
      <c r="AD61" s="542">
        <f t="shared" si="27"/>
        <v>0</v>
      </c>
      <c r="AE61" s="541"/>
      <c r="AF61" s="523"/>
      <c r="AG61" s="522"/>
      <c r="AH61" s="540">
        <f>IF(ISBLANK(AH9),(AA61/AD10)*AJ7,(AA61/AH9)*AI9)</f>
        <v>0</v>
      </c>
      <c r="AI61" s="539">
        <f t="shared" si="28"/>
        <v>0</v>
      </c>
      <c r="AJ61" s="538">
        <f>IF(ISBLANK(AH9),(AD61/AD10)*AJ7,(AD61/AH9)*AI9)</f>
        <v>0</v>
      </c>
      <c r="AK61" s="518"/>
      <c r="AL61" s="537">
        <f t="shared" si="29"/>
        <v>0</v>
      </c>
      <c r="AM61" s="516"/>
      <c r="AN61" s="372">
        <f t="shared" si="30"/>
        <v>0</v>
      </c>
      <c r="AO61" s="3926"/>
      <c r="AP61" s="515"/>
      <c r="AQ61" s="378"/>
      <c r="AR61" s="378"/>
      <c r="AS61" s="378"/>
      <c r="AT61" s="378"/>
      <c r="AU61" s="378"/>
      <c r="AV61" s="378"/>
      <c r="AW61" s="378"/>
      <c r="AX61" s="378"/>
      <c r="AY61" s="378"/>
      <c r="AZ61" s="378"/>
      <c r="BA61" s="378"/>
      <c r="BB61" s="378"/>
      <c r="BC61" s="378"/>
      <c r="BD61" s="378"/>
      <c r="BE61" s="413" t="s">
        <v>199</v>
      </c>
      <c r="BF61" s="412"/>
      <c r="BG61" s="411"/>
      <c r="BH61" s="378"/>
      <c r="BI61" s="378"/>
      <c r="BJ61" s="378"/>
      <c r="BK61" s="378"/>
      <c r="BL61" s="378"/>
      <c r="BM61" s="381">
        <v>15</v>
      </c>
    </row>
    <row r="62" spans="1:65" ht="15" customHeight="1">
      <c r="A62" s="3862"/>
      <c r="B62" s="536">
        <f t="shared" si="17"/>
        <v>0</v>
      </c>
      <c r="C62" s="535"/>
      <c r="D62" s="3374">
        <f>IF(ISBLANK(AX7),(AA62/AS7)*AW7,(AA62/AX7)*AY7)</f>
        <v>0</v>
      </c>
      <c r="E62" s="533">
        <f t="shared" si="18"/>
        <v>0</v>
      </c>
      <c r="F62" s="532">
        <f>IF(ISBLANK(AX7),(AD62/AS7)*AW7,(AD62/AX7)*AY7)</f>
        <v>0</v>
      </c>
      <c r="G62" s="3374">
        <f>IF(ISBLANK(AX8),(AA62/AS7)*AW8,(AA62/AX8)*AY8)</f>
        <v>0</v>
      </c>
      <c r="H62" s="533">
        <f t="shared" si="19"/>
        <v>0</v>
      </c>
      <c r="I62" s="532">
        <f>IF(ISBLANK(AX8),(AD62/AS7)*AW8,(AD62/AX8)*AY8)</f>
        <v>0</v>
      </c>
      <c r="J62" s="3374">
        <f>IF(ISBLANK(AX9),(AA62/AS7)*AW9,(AA62/AX9)*AY9)</f>
        <v>0</v>
      </c>
      <c r="K62" s="533">
        <f t="shared" si="20"/>
        <v>0</v>
      </c>
      <c r="L62" s="532">
        <f>IF(ISBLANK(AX9),(AD62/AS7)*AW9,(AD62/AX9)*AY9)</f>
        <v>0</v>
      </c>
      <c r="M62" s="3374">
        <f>IF(ISBLANK(AX10),(AA62/AS7)*AW10,(AA62/AX10)*AY10)</f>
        <v>0</v>
      </c>
      <c r="N62" s="533">
        <f t="shared" si="21"/>
        <v>0</v>
      </c>
      <c r="O62" s="532">
        <f>IF(ISBLANK(AX10),(AD62/AS7)*AW10,(AD62/AX10)*AY10)</f>
        <v>0</v>
      </c>
      <c r="P62" s="3374">
        <f>IF(ISBLANK(AX11),(AA62/AS7)*AW11,(AA62/AX11)*AY11)</f>
        <v>0</v>
      </c>
      <c r="Q62" s="533">
        <f t="shared" si="22"/>
        <v>0</v>
      </c>
      <c r="R62" s="532">
        <f>IF(ISBLANK(AX11),(AD62/AS7)*AW11,(AD62/AX11)*AY11)</f>
        <v>0</v>
      </c>
      <c r="S62" s="3374">
        <f>IF(ISBLANK(AX12),(AA62/AS7)*AW12,(AA62/AX12)*AY12)</f>
        <v>0</v>
      </c>
      <c r="T62" s="533">
        <f t="shared" si="23"/>
        <v>0</v>
      </c>
      <c r="U62" s="532">
        <f>IF(ISBLANK(AX12),(AD62/AS7)*AW12,(AD62/AX12)*AY12)</f>
        <v>0</v>
      </c>
      <c r="V62" s="531">
        <f t="shared" si="24"/>
        <v>0</v>
      </c>
      <c r="W62" s="530">
        <f t="shared" si="25"/>
        <v>0</v>
      </c>
      <c r="X62" s="529">
        <f t="shared" si="26"/>
        <v>0</v>
      </c>
      <c r="Y62" s="3865"/>
      <c r="Z62" s="515"/>
      <c r="AA62" s="528"/>
      <c r="AB62" s="527"/>
      <c r="AC62" s="526"/>
      <c r="AD62" s="525">
        <f t="shared" si="27"/>
        <v>0</v>
      </c>
      <c r="AE62" s="524"/>
      <c r="AF62" s="523"/>
      <c r="AG62" s="522"/>
      <c r="AH62" s="521">
        <f>IF(ISBLANK(AH9),(AA62/AD10)*AJ7,(AA62/AH9)*AI9)</f>
        <v>0</v>
      </c>
      <c r="AI62" s="520">
        <f t="shared" si="28"/>
        <v>0</v>
      </c>
      <c r="AJ62" s="519">
        <f>IF(ISBLANK(AH9),(AD62/AD10)*AJ7,(AD62/AH9)*AI9)</f>
        <v>0</v>
      </c>
      <c r="AK62" s="518"/>
      <c r="AL62" s="517">
        <f t="shared" si="29"/>
        <v>0</v>
      </c>
      <c r="AM62" s="516"/>
      <c r="AN62" s="372">
        <f t="shared" si="30"/>
        <v>0</v>
      </c>
      <c r="AO62" s="3686"/>
      <c r="AP62" s="515"/>
      <c r="AQ62" s="378"/>
      <c r="AR62" s="378"/>
      <c r="AS62" s="378"/>
      <c r="AT62" s="378"/>
      <c r="AU62" s="378"/>
      <c r="AV62" s="378"/>
      <c r="AW62" s="378"/>
      <c r="AX62" s="378"/>
      <c r="AY62" s="378"/>
      <c r="AZ62" s="378"/>
      <c r="BA62" s="378"/>
      <c r="BB62" s="378"/>
      <c r="BC62" s="378"/>
      <c r="BD62" s="378"/>
      <c r="BE62" s="413"/>
      <c r="BF62" s="514" t="s">
        <v>198</v>
      </c>
      <c r="BG62" s="513" t="str">
        <f>ADDRESS(ROW(AJ9),COLUMN(AJ9),4)</f>
        <v>AJ9</v>
      </c>
      <c r="BH62" s="378"/>
      <c r="BI62" s="378"/>
      <c r="BJ62" s="378"/>
      <c r="BK62" s="378"/>
      <c r="BL62" s="378"/>
      <c r="BM62" s="381">
        <v>15</v>
      </c>
    </row>
    <row r="63" spans="1:65" ht="15" customHeight="1">
      <c r="A63" s="3862"/>
      <c r="B63" s="3419"/>
      <c r="C63" s="3418" t="s">
        <v>197</v>
      </c>
      <c r="D63" s="3417"/>
      <c r="E63" s="3416"/>
      <c r="F63" s="508"/>
      <c r="G63" s="3417"/>
      <c r="H63" s="3416"/>
      <c r="I63" s="508"/>
      <c r="J63" s="3417"/>
      <c r="K63" s="3416"/>
      <c r="L63" s="508"/>
      <c r="M63" s="3417"/>
      <c r="N63" s="3416"/>
      <c r="O63" s="508"/>
      <c r="P63" s="3417"/>
      <c r="Q63" s="3416"/>
      <c r="R63" s="508"/>
      <c r="S63" s="3417"/>
      <c r="T63" s="3416"/>
      <c r="U63" s="508"/>
      <c r="V63" s="3415">
        <f>SUM(V13:V62)</f>
        <v>195.22604285714291</v>
      </c>
      <c r="W63" s="3414"/>
      <c r="X63" s="505"/>
      <c r="Y63" s="4035" t="str">
        <f>X3</f>
        <v>021</v>
      </c>
      <c r="AA63" s="3241"/>
      <c r="AB63" s="3366" t="s">
        <v>196</v>
      </c>
      <c r="AC63" s="3363"/>
      <c r="AD63" s="3363"/>
      <c r="AE63" s="3365"/>
      <c r="AF63" s="3364"/>
      <c r="AG63" s="3364"/>
      <c r="AH63" s="3364"/>
      <c r="AI63" s="3364"/>
      <c r="AJ63" s="3363"/>
      <c r="AK63" s="3363"/>
      <c r="AL63" s="3363"/>
      <c r="AM63" s="3363"/>
      <c r="AN63" s="499"/>
      <c r="AO63" s="3947" t="str">
        <f>AN3</f>
        <v>021</v>
      </c>
      <c r="AQ63" s="378"/>
      <c r="AR63" s="378"/>
      <c r="AS63" s="378"/>
      <c r="AT63" s="378"/>
      <c r="AU63" s="378"/>
      <c r="AV63" s="378"/>
      <c r="AW63" s="378"/>
      <c r="AX63" s="378"/>
      <c r="AY63" s="378"/>
      <c r="AZ63" s="378"/>
      <c r="BA63" s="378"/>
      <c r="BB63" s="378"/>
      <c r="BC63" s="378"/>
      <c r="BD63" s="378"/>
      <c r="BE63" s="413"/>
      <c r="BF63" s="412"/>
      <c r="BG63" s="411"/>
      <c r="BH63" s="378"/>
      <c r="BI63" s="378"/>
      <c r="BJ63" s="378"/>
      <c r="BK63" s="378"/>
      <c r="BL63" s="378"/>
      <c r="BM63" s="381">
        <v>15</v>
      </c>
    </row>
    <row r="64" spans="1:65" ht="18" customHeight="1">
      <c r="A64" s="3862"/>
      <c r="B64" s="4037" t="s">
        <v>191</v>
      </c>
      <c r="C64" s="4038"/>
      <c r="D64" s="498"/>
      <c r="E64" s="373" t="s">
        <v>195</v>
      </c>
      <c r="F64" s="482">
        <f>SUM(F13:F62)</f>
        <v>21.201785714285716</v>
      </c>
      <c r="G64" s="498"/>
      <c r="H64" s="373" t="s">
        <v>195</v>
      </c>
      <c r="I64" s="482">
        <f>SUM(I13:I62)</f>
        <v>77.174499999999981</v>
      </c>
      <c r="J64" s="498"/>
      <c r="K64" s="373" t="s">
        <v>195</v>
      </c>
      <c r="L64" s="482">
        <f>SUM(L13:L62)</f>
        <v>55.972714285714289</v>
      </c>
      <c r="M64" s="498"/>
      <c r="N64" s="373" t="s">
        <v>195</v>
      </c>
      <c r="O64" s="482">
        <f>SUM(O13:O62)</f>
        <v>30.530571428571427</v>
      </c>
      <c r="P64" s="498"/>
      <c r="Q64" s="373" t="s">
        <v>195</v>
      </c>
      <c r="R64" s="482">
        <f>SUM(R13:R62)</f>
        <v>6.7845714285714269</v>
      </c>
      <c r="S64" s="498"/>
      <c r="T64" s="373" t="s">
        <v>195</v>
      </c>
      <c r="U64" s="482">
        <f>SUM(U13:U62)</f>
        <v>3.5619000000000001</v>
      </c>
      <c r="V64" s="493">
        <f>SUM(V13:V62)</f>
        <v>195.22604285714291</v>
      </c>
      <c r="W64" s="3362"/>
      <c r="X64" s="496">
        <f>SUM(X13:X62)</f>
        <v>85.505816857142875</v>
      </c>
      <c r="Y64" s="4036"/>
      <c r="AA64" s="489"/>
      <c r="AB64" s="3235">
        <f>IF(ISBLANK(AA13),AC13,AA13*AC13)+IF(ISBLANK(AA14),AC14,AA14*AC14)+IF(ISBLANK(AA15),AC15,AA15*AC15)+IF(ISBLANK(AA16),AC16,AA16*AC16)+IF(ISBLANK(AA17),AC17,AA17*AC17)+IF(ISBLANK(AA18),AC18,AA18*AC18)+IF(ISBLANK(AA19),AC19,AA19*AC19)+IF(ISBLANK(AA20),AC20,AA20*AC20)+IF(ISBLANK(AA21),AC21,AA21*AC21)+IF(ISBLANK(AA22),AC22,AA22*AC22)+IF(ISBLANK(AA23),AC23,AA23*AC23)+IF(ISBLANK(AA24),AC24,AA24*AC24)+IF(ISBLANK(AA25),AC25,AA25*AC25)+IF(ISBLANK(AA26),AC26,AA26*AC26)+IF(ISBLANK(AA27),AC27,AA27*AC27)+IF(ISBLANK(AA28),AC28,AA28*AC28)+IF(ISBLANK(AA29),AC29,AA29*AC29)+IF(ISBLANK(AA30),AC30,AA30*AC30)+IF(ISBLANK(AA31),AC31,AA31*AC31)+IF(ISBLANK(AA32),AC32,AA32*AC32)+IF(ISBLANK(AA33),AC33,AA33*AC33)+IF(ISBLANK(AA34),AC34,AA34*AC34)+IF(ISBLANK(AA35),AC35,AA35*AC35)+IF(ISBLANK(AA36),AC36,AA36*AC36)+IF(ISBLANK(AA37),AC37,AA37*AC37)+IF(ISBLANK(AA38),AC38,AA38*AC38)+IF(ISBLANK(AA39),AC39,AA39*AC39)+ IF(ISBLANK(AA40),AC40,AA40*AC40)+ IF(ISBLANK(AA41),AC41,AA41*AC41)+ IF(ISBLANK(AA42),AC42,AA42*AC42)+ IF(ISBLANK(AA43),AC43,AA43*AC43)+ IF(ISBLANK(AA44),AC44,AA44*AC44)+ IF(ISBLANK(AA45),AC45,AA45*AC45)+ IF(ISBLANK(AA46),AC46,AA46*AC46)+ IF(ISBLANK(AA47),AC47,AA47*AC47)+ IF(ISBLANK(AA48),AC48,AA48*AC48)+IF(ISBLANK(AA49),AC49,AA49*AC49)+IF(ISBLANK(AA50),AC50,AA50*AC50)+ IF(ISBLANK(AA51),AC51,AA51*AC51) +IF(ISBLANK(AA52),AC52,AA52*AC52) +IF(ISBLANK(AA53),AC53,AA53*AC53) +IF(ISBLANK(AA54),AC54,AA54*AC54) +IF(ISBLANK(AA55),AC55,AA55*AC55) +IF(ISBLANK(AA56),AC56,AA56*AC56) +IF(ISBLANK(AA57),AC57,AA57*AC57) +IF(ISBLANK(AA58),AC58,AA58*AC58) +IF(ISBLANK(AA59),AC59,AA59*AC59) +IF(ISBLANK(AA60),AC60,AA60*AC60) +IF(ISBLANK(AA61),AC61,AA61*AC61) +IF(ISBLANK(AA62),AC62,AA62*AC62)</f>
        <v>59.365000000000002</v>
      </c>
      <c r="AC64" s="493"/>
      <c r="AD64" s="493">
        <f>SUM(AD13:AD62)</f>
        <v>59.365000000000002</v>
      </c>
      <c r="AE64" s="494"/>
      <c r="AF64" s="8"/>
      <c r="AG64" s="8"/>
      <c r="AH64" s="8"/>
      <c r="AI64" s="486" t="s">
        <v>37</v>
      </c>
      <c r="AJ64" s="485">
        <f>SUM(AJ13:AJ62)</f>
        <v>26.999999999999989</v>
      </c>
      <c r="AK64" s="486" t="s">
        <v>47</v>
      </c>
      <c r="AL64" s="485">
        <f>SUM(AL13:AL62)</f>
        <v>24.771414132906589</v>
      </c>
      <c r="AM64" s="493"/>
      <c r="AN64" s="493"/>
      <c r="AO64" s="3948"/>
      <c r="AQ64" s="378"/>
      <c r="AR64" s="378"/>
      <c r="AS64" s="378"/>
      <c r="AT64" s="378"/>
      <c r="AU64" s="378"/>
      <c r="AV64" s="378"/>
      <c r="AW64" s="378"/>
      <c r="AX64" s="378"/>
      <c r="AY64" s="378"/>
      <c r="AZ64" s="378"/>
      <c r="BA64" s="378"/>
      <c r="BB64" s="378"/>
      <c r="BC64" s="378"/>
      <c r="BD64" s="378"/>
      <c r="BE64" s="3601" t="s">
        <v>194</v>
      </c>
      <c r="BF64" s="3602"/>
      <c r="BG64" s="3603"/>
      <c r="BH64" s="378"/>
      <c r="BI64" s="378"/>
      <c r="BJ64" s="378"/>
      <c r="BK64" s="378"/>
      <c r="BL64" s="378"/>
      <c r="BM64" s="381">
        <v>18</v>
      </c>
    </row>
    <row r="65" spans="1:65" ht="18" customHeight="1">
      <c r="A65" s="3862"/>
      <c r="B65" s="3915"/>
      <c r="C65" s="3916"/>
      <c r="D65" s="481"/>
      <c r="E65" s="491" t="s">
        <v>193</v>
      </c>
      <c r="F65" s="765" t="str">
        <f>IF(ISBLANK(AY7),AW6,BA6)</f>
        <v>Total ❿</v>
      </c>
      <c r="G65" s="481"/>
      <c r="H65" s="491" t="s">
        <v>193</v>
      </c>
      <c r="I65" s="765" t="str">
        <f>IF(ISBLANK(AY8),AW6,BA6)</f>
        <v>Total ❿</v>
      </c>
      <c r="J65" s="481"/>
      <c r="K65" s="491" t="s">
        <v>193</v>
      </c>
      <c r="L65" s="765" t="str">
        <f>IF(ISBLANK(AY9),AW6,BA6)</f>
        <v>Total ❿</v>
      </c>
      <c r="M65" s="481"/>
      <c r="N65" s="491" t="s">
        <v>193</v>
      </c>
      <c r="O65" s="765" t="str">
        <f>IF(ISBLANK(AY10),AW6,BA6)</f>
        <v>Total ❿</v>
      </c>
      <c r="P65" s="481"/>
      <c r="Q65" s="491" t="s">
        <v>193</v>
      </c>
      <c r="R65" s="765" t="str">
        <f>IF(ISBLANK(AY11),AW6,BA6)</f>
        <v>Total ❿</v>
      </c>
      <c r="S65" s="481"/>
      <c r="T65" s="491" t="s">
        <v>193</v>
      </c>
      <c r="U65" s="765" t="str">
        <f>IF(ISBLANK(AY12),AW6,BA6)</f>
        <v>Total ❿</v>
      </c>
      <c r="V65" s="481"/>
      <c r="W65" s="491" t="s">
        <v>193</v>
      </c>
      <c r="X65" s="766"/>
      <c r="Y65" s="4036"/>
      <c r="AA65" s="489"/>
      <c r="AB65" s="484"/>
      <c r="AC65" s="484"/>
      <c r="AD65" s="484"/>
      <c r="AE65" s="477"/>
      <c r="AF65" s="488"/>
      <c r="AG65" s="488"/>
      <c r="AH65" s="488"/>
      <c r="AI65" s="487"/>
      <c r="AJ65" s="484"/>
      <c r="AK65" s="486" t="s">
        <v>192</v>
      </c>
      <c r="AL65" s="485">
        <f>AJ64-AL64</f>
        <v>2.2285858670934005</v>
      </c>
      <c r="AM65" s="484"/>
      <c r="AN65" s="484"/>
      <c r="AO65" s="3948"/>
      <c r="AQ65" s="378"/>
      <c r="AR65" s="378"/>
      <c r="AS65" s="378"/>
      <c r="AT65" s="378"/>
      <c r="AU65" s="378"/>
      <c r="AV65" s="378"/>
      <c r="AW65" s="378"/>
      <c r="AX65" s="378"/>
      <c r="AY65" s="378"/>
      <c r="AZ65" s="378"/>
      <c r="BA65" s="378"/>
      <c r="BB65" s="378"/>
      <c r="BC65" s="378"/>
      <c r="BD65" s="378"/>
      <c r="BE65" s="3601"/>
      <c r="BF65" s="3602"/>
      <c r="BG65" s="3603"/>
      <c r="BH65" s="378"/>
      <c r="BI65" s="378"/>
      <c r="BJ65" s="378"/>
      <c r="BK65" s="378"/>
      <c r="BL65" s="378"/>
      <c r="BM65" s="381">
        <v>18</v>
      </c>
    </row>
    <row r="66" spans="1:65" ht="18" customHeight="1">
      <c r="A66" s="3862"/>
      <c r="B66" s="384"/>
      <c r="C66" s="384"/>
      <c r="D66" s="481"/>
      <c r="E66" s="483">
        <f>(F66/D68)*1000</f>
        <v>212.01785714285714</v>
      </c>
      <c r="F66" s="482">
        <f>IF(ISBLANK(AY7),AW7,BA7)</f>
        <v>21.201785714285716</v>
      </c>
      <c r="G66" s="481"/>
      <c r="H66" s="483">
        <f>(I64/G68)*1000</f>
        <v>296.82499999999993</v>
      </c>
      <c r="I66" s="482">
        <f>IF(ISBLANK(AY8),AW8,BA8)</f>
        <v>77.174500000000009</v>
      </c>
      <c r="J66" s="481"/>
      <c r="K66" s="483">
        <f>(L64/J68)*1000</f>
        <v>466.43928571428575</v>
      </c>
      <c r="L66" s="482">
        <f>IF(ISBLANK(AY9),AW9,BA9)</f>
        <v>55.972714285714289</v>
      </c>
      <c r="M66" s="481"/>
      <c r="N66" s="483">
        <f>(O64/M68)*1000</f>
        <v>508.84285714285716</v>
      </c>
      <c r="O66" s="482">
        <f>IF(ISBLANK(AY10),AW10,BA10)</f>
        <v>30.530571428571434</v>
      </c>
      <c r="P66" s="481"/>
      <c r="Q66" s="483">
        <f>(R64/P68)*1000</f>
        <v>339.22857142857134</v>
      </c>
      <c r="R66" s="482">
        <f>IF(ISBLANK(AY11),AW11,BA11)</f>
        <v>6.7845714285714296</v>
      </c>
      <c r="S66" s="481"/>
      <c r="T66" s="483">
        <f>(U64/S68)*1000</f>
        <v>296.82499999999999</v>
      </c>
      <c r="U66" s="482">
        <f>IF(ISBLANK(AY12),AW12,BA12)</f>
        <v>3.5619000000000005</v>
      </c>
      <c r="V66" s="481" t="s">
        <v>190</v>
      </c>
      <c r="W66" s="480">
        <f>X64/V67</f>
        <v>0.14948569380619384</v>
      </c>
      <c r="X66" s="479"/>
      <c r="Y66" s="4036"/>
      <c r="AA66" s="478"/>
      <c r="AB66" s="476"/>
      <c r="AC66" s="476"/>
      <c r="AD66" s="476"/>
      <c r="AE66" s="477" t="s">
        <v>191</v>
      </c>
      <c r="AF66" s="476"/>
      <c r="AG66" s="476"/>
      <c r="AH66" s="476"/>
      <c r="AI66" s="476"/>
      <c r="AJ66" s="476"/>
      <c r="AK66" s="476"/>
      <c r="AL66" s="476"/>
      <c r="AM66" s="476"/>
      <c r="AN66" s="476"/>
      <c r="AO66" s="3948"/>
      <c r="AQ66" s="378"/>
      <c r="AR66" s="378"/>
      <c r="AS66" s="378"/>
      <c r="AT66" s="378"/>
      <c r="AU66" s="378"/>
      <c r="AV66" s="378"/>
      <c r="AW66" s="378"/>
      <c r="AX66" s="378"/>
      <c r="AY66" s="378"/>
      <c r="AZ66" s="378"/>
      <c r="BA66" s="378"/>
      <c r="BB66" s="378"/>
      <c r="BC66" s="378"/>
      <c r="BD66" s="378"/>
      <c r="BE66" s="3601"/>
      <c r="BF66" s="3602"/>
      <c r="BG66" s="3603"/>
      <c r="BH66" s="378"/>
      <c r="BI66" s="378"/>
      <c r="BJ66" s="378"/>
      <c r="BK66" s="378"/>
      <c r="BL66" s="378"/>
      <c r="BM66" s="381">
        <v>18</v>
      </c>
    </row>
    <row r="67" spans="1:65" ht="15" customHeight="1" thickBot="1">
      <c r="A67" s="3862"/>
      <c r="B67" s="384"/>
      <c r="C67" s="384"/>
      <c r="D67" s="475" t="s">
        <v>190</v>
      </c>
      <c r="E67" s="474">
        <f>BB7</f>
        <v>50</v>
      </c>
      <c r="F67" s="473" t="str">
        <f>IF(ISBLANK(AY7),"",AZ7)</f>
        <v>Kg agneau</v>
      </c>
      <c r="G67" s="475" t="s">
        <v>190</v>
      </c>
      <c r="H67" s="474">
        <f>BB8</f>
        <v>69.999999999999986</v>
      </c>
      <c r="I67" s="473" t="str">
        <f>IF(ISBLANK(AY8),"",AZ8)</f>
        <v>Kg agneau</v>
      </c>
      <c r="J67" s="475" t="s">
        <v>190</v>
      </c>
      <c r="K67" s="474">
        <f>BB9</f>
        <v>110</v>
      </c>
      <c r="L67" s="473" t="str">
        <f>IF(ISBLANK(AY9),"",AZ9)</f>
        <v>Kg agneau</v>
      </c>
      <c r="M67" s="475" t="s">
        <v>190</v>
      </c>
      <c r="N67" s="474">
        <f>BB10</f>
        <v>120.00000000000001</v>
      </c>
      <c r="O67" s="473" t="str">
        <f>IF(ISBLANK(AY10),"",AZ10)</f>
        <v>Kg agneau</v>
      </c>
      <c r="P67" s="475" t="s">
        <v>190</v>
      </c>
      <c r="Q67" s="474">
        <f>BB11</f>
        <v>80</v>
      </c>
      <c r="R67" s="473" t="str">
        <f>IF(ISBLANK(AY11),"",AZ11)</f>
        <v>Kg agneau</v>
      </c>
      <c r="S67" s="475" t="s">
        <v>190</v>
      </c>
      <c r="T67" s="474">
        <f>BB12</f>
        <v>69.999999999999986</v>
      </c>
      <c r="U67" s="473" t="str">
        <f>IF(ISBLANK(AY12),"",AZ12)</f>
        <v>Kg agneau</v>
      </c>
      <c r="V67" s="472">
        <f>SUM(D68,G68,J68,M68,P68,S68)</f>
        <v>572</v>
      </c>
      <c r="W67" s="471" t="s">
        <v>189</v>
      </c>
      <c r="X67" s="470"/>
      <c r="Y67" s="4036"/>
      <c r="Z67" s="378"/>
      <c r="AA67" s="3361"/>
      <c r="AB67" s="3360"/>
      <c r="AC67" s="3360"/>
      <c r="AD67" s="3360"/>
      <c r="AE67" s="3360"/>
      <c r="AF67" s="3360"/>
      <c r="AG67" s="3360"/>
      <c r="AH67" s="3360"/>
      <c r="AI67" s="3360"/>
      <c r="AJ67" s="3360"/>
      <c r="AK67" s="3360"/>
      <c r="AL67" s="3360"/>
      <c r="AM67" s="3360"/>
      <c r="AN67" s="3360"/>
      <c r="AO67" s="3949"/>
      <c r="AP67" s="378"/>
      <c r="AQ67" s="378"/>
      <c r="AR67" s="378"/>
      <c r="AS67" s="378"/>
      <c r="AT67" s="378"/>
      <c r="AU67" s="378"/>
      <c r="AV67" s="378"/>
      <c r="AW67" s="378"/>
      <c r="AX67" s="378"/>
      <c r="AY67" s="378"/>
      <c r="AZ67" s="378"/>
      <c r="BA67" s="378"/>
      <c r="BB67" s="378"/>
      <c r="BC67" s="378"/>
      <c r="BD67" s="378"/>
      <c r="BE67" s="3601"/>
      <c r="BF67" s="3602"/>
      <c r="BG67" s="3603"/>
      <c r="BH67" s="378"/>
      <c r="BI67" s="378"/>
      <c r="BJ67" s="378"/>
      <c r="BK67" s="378"/>
      <c r="BL67" s="378"/>
      <c r="BM67" s="381">
        <v>15</v>
      </c>
    </row>
    <row r="68" spans="1:65" ht="20.100000000000001" customHeight="1">
      <c r="A68" s="384"/>
      <c r="B68" s="467"/>
      <c r="C68" s="458"/>
      <c r="D68" s="466">
        <f>D11</f>
        <v>100</v>
      </c>
      <c r="E68" s="465" t="str">
        <f>D9</f>
        <v>Maternelles</v>
      </c>
      <c r="F68" s="464"/>
      <c r="G68" s="462">
        <f>G11</f>
        <v>260</v>
      </c>
      <c r="H68" s="461" t="str">
        <f>G9</f>
        <v>Primaires</v>
      </c>
      <c r="I68" s="463"/>
      <c r="J68" s="462">
        <f>J11</f>
        <v>120</v>
      </c>
      <c r="K68" s="461" t="str">
        <f>J9</f>
        <v>Adultes</v>
      </c>
      <c r="L68" s="463"/>
      <c r="M68" s="462">
        <f>M11</f>
        <v>60</v>
      </c>
      <c r="N68" s="461" t="str">
        <f>M9</f>
        <v>Adultes +</v>
      </c>
      <c r="O68" s="463"/>
      <c r="P68" s="462">
        <f>P11</f>
        <v>20</v>
      </c>
      <c r="Q68" s="461" t="str">
        <f>P9</f>
        <v>PAM</v>
      </c>
      <c r="R68" s="463"/>
      <c r="S68" s="462">
        <f>S11</f>
        <v>12</v>
      </c>
      <c r="T68" s="461" t="str">
        <f>S9</f>
        <v>PAS</v>
      </c>
      <c r="U68" s="460"/>
      <c r="V68" s="459"/>
      <c r="W68" s="458"/>
      <c r="X68" s="458"/>
      <c r="Y68" s="4036"/>
      <c r="Z68" s="378"/>
      <c r="AA68" s="450" t="s">
        <v>188</v>
      </c>
      <c r="AB68" s="449"/>
      <c r="AC68" s="449"/>
      <c r="AD68" s="449"/>
      <c r="AE68" s="449"/>
      <c r="AF68" s="449"/>
      <c r="AG68" s="449"/>
      <c r="AH68" s="449"/>
      <c r="AI68" s="449"/>
      <c r="AJ68" s="449"/>
      <c r="AK68" s="449"/>
      <c r="AL68" s="449"/>
      <c r="AM68" s="449"/>
      <c r="AN68" s="449"/>
      <c r="AO68" s="457" t="str">
        <f>AA3</f>
        <v>HARICOT DE MOUTON OU CASSOULET TOULOUSAIN</v>
      </c>
      <c r="AP68" s="378"/>
      <c r="AQ68" s="378"/>
      <c r="AR68" s="378"/>
      <c r="AS68" s="378"/>
      <c r="AT68" s="378"/>
      <c r="AU68" s="378"/>
      <c r="AV68" s="378"/>
      <c r="AW68" s="378"/>
      <c r="AX68" s="378"/>
      <c r="AY68" s="378"/>
      <c r="AZ68" s="378"/>
      <c r="BA68" s="378"/>
      <c r="BB68" s="378"/>
      <c r="BC68" s="378"/>
      <c r="BD68" s="378"/>
      <c r="BE68" s="456" t="s">
        <v>187</v>
      </c>
      <c r="BG68" s="455" t="str">
        <f>ADDRESS(ROW(AH9),COLUMN(AH9),4)</f>
        <v>AH9</v>
      </c>
      <c r="BH68" s="378"/>
      <c r="BI68" s="378"/>
      <c r="BJ68" s="378"/>
      <c r="BK68" s="378"/>
      <c r="BL68" s="378"/>
      <c r="BM68" s="381">
        <v>20</v>
      </c>
    </row>
    <row r="69" spans="1:65" ht="20.100000000000001" customHeight="1" thickBot="1">
      <c r="A69" s="384"/>
      <c r="B69" s="3359">
        <v>10.71</v>
      </c>
      <c r="C69" s="3357">
        <v>10.71</v>
      </c>
      <c r="D69" s="3357">
        <v>7</v>
      </c>
      <c r="E69" s="3357">
        <v>8</v>
      </c>
      <c r="F69" s="3357">
        <v>10</v>
      </c>
      <c r="G69" s="3357">
        <v>7</v>
      </c>
      <c r="H69" s="3357">
        <v>8</v>
      </c>
      <c r="I69" s="3357">
        <v>10</v>
      </c>
      <c r="J69" s="3357">
        <v>7</v>
      </c>
      <c r="K69" s="3357">
        <v>8</v>
      </c>
      <c r="L69" s="3357">
        <v>10</v>
      </c>
      <c r="M69" s="3357">
        <v>7</v>
      </c>
      <c r="N69" s="3357">
        <v>8</v>
      </c>
      <c r="O69" s="3357">
        <v>10</v>
      </c>
      <c r="P69" s="3357">
        <v>7</v>
      </c>
      <c r="Q69" s="3357">
        <v>8</v>
      </c>
      <c r="R69" s="3357">
        <v>10</v>
      </c>
      <c r="S69" s="3357">
        <v>7</v>
      </c>
      <c r="T69" s="3357">
        <v>8</v>
      </c>
      <c r="U69" s="3356">
        <v>10</v>
      </c>
      <c r="V69" s="3358">
        <v>11</v>
      </c>
      <c r="W69" s="3357">
        <v>11</v>
      </c>
      <c r="X69" s="3357">
        <v>11</v>
      </c>
      <c r="Y69" s="3356">
        <v>7</v>
      </c>
      <c r="Z69" s="356"/>
      <c r="AA69" s="450" t="s">
        <v>186</v>
      </c>
      <c r="AB69" s="449"/>
      <c r="AC69" s="449"/>
      <c r="AD69" s="449"/>
      <c r="AE69" s="449"/>
      <c r="AF69" s="449"/>
      <c r="AG69" s="449"/>
      <c r="AH69" s="449"/>
      <c r="AI69" s="449"/>
      <c r="AJ69" s="449"/>
      <c r="AK69" s="449"/>
      <c r="AL69" s="449"/>
      <c r="AM69" s="449"/>
      <c r="AN69" s="449"/>
      <c r="AO69" s="448" t="s">
        <v>185</v>
      </c>
      <c r="AP69" s="356"/>
      <c r="AQ69" s="356"/>
      <c r="AR69" s="378"/>
      <c r="AS69" s="378"/>
      <c r="AT69" s="378"/>
      <c r="AU69" s="378"/>
      <c r="AV69" s="378"/>
      <c r="AW69" s="378"/>
      <c r="AX69" s="378"/>
      <c r="AY69" s="378"/>
      <c r="AZ69" s="378"/>
      <c r="BA69" s="378"/>
      <c r="BB69" s="378"/>
      <c r="BC69" s="378"/>
      <c r="BD69" s="378"/>
      <c r="BE69" s="441">
        <v>16</v>
      </c>
      <c r="BF69" s="440" t="s">
        <v>184</v>
      </c>
      <c r="BG69" s="447"/>
      <c r="BH69" s="378"/>
      <c r="BI69" s="378"/>
      <c r="BJ69" s="378"/>
      <c r="BK69" s="378"/>
      <c r="BL69" s="378"/>
      <c r="BM69" s="381">
        <v>20</v>
      </c>
    </row>
    <row r="70" spans="1:65" ht="20.100000000000001" customHeight="1" thickBot="1">
      <c r="A70" s="384"/>
      <c r="B70" s="356"/>
      <c r="C70" s="356"/>
      <c r="D70" s="356"/>
      <c r="E70" s="356"/>
      <c r="F70" s="356"/>
      <c r="G70" s="356"/>
      <c r="H70" s="356"/>
      <c r="I70" s="356"/>
      <c r="J70" s="356"/>
      <c r="K70" s="356"/>
      <c r="L70" s="356"/>
      <c r="M70" s="356"/>
      <c r="N70" s="356"/>
      <c r="O70" s="356"/>
      <c r="P70" s="356"/>
      <c r="Q70" s="356"/>
      <c r="R70" s="356"/>
      <c r="S70" s="356"/>
      <c r="T70" s="356"/>
      <c r="U70" s="356"/>
      <c r="V70" s="356"/>
      <c r="W70" s="356"/>
      <c r="X70" s="356"/>
      <c r="Y70" s="356"/>
      <c r="Z70" s="356"/>
      <c r="AA70" s="3604" t="s">
        <v>183</v>
      </c>
      <c r="AB70" s="3605"/>
      <c r="AC70" s="3605"/>
      <c r="AD70" s="3920">
        <v>7.2916666666666671E-2</v>
      </c>
      <c r="AE70" s="40"/>
      <c r="AF70" s="40"/>
      <c r="AG70" s="3605" t="s">
        <v>182</v>
      </c>
      <c r="AH70" s="3605"/>
      <c r="AI70" s="3922">
        <v>8.3333333333333329E-2</v>
      </c>
      <c r="AJ70" s="40"/>
      <c r="AK70" s="443"/>
      <c r="AL70" s="443"/>
      <c r="AM70" s="443"/>
      <c r="AN70" s="443"/>
      <c r="AO70" s="446"/>
      <c r="AP70" s="356"/>
      <c r="AQ70" s="356"/>
      <c r="AR70" s="378"/>
      <c r="AS70" s="378"/>
      <c r="AT70" s="378"/>
      <c r="AU70" s="378"/>
      <c r="AV70" s="378"/>
      <c r="AW70" s="378"/>
      <c r="AX70" s="378"/>
      <c r="AY70" s="378"/>
      <c r="AZ70" s="378"/>
      <c r="BA70" s="378"/>
      <c r="BB70" s="378"/>
      <c r="BC70" s="378"/>
      <c r="BD70" s="378"/>
      <c r="BE70" s="441">
        <v>2</v>
      </c>
      <c r="BF70" s="440" t="s">
        <v>181</v>
      </c>
      <c r="BG70" s="3609"/>
      <c r="BH70" s="378"/>
      <c r="BI70" s="378"/>
      <c r="BJ70" s="378"/>
      <c r="BK70" s="378"/>
      <c r="BL70" s="378"/>
      <c r="BM70" s="381">
        <v>20</v>
      </c>
    </row>
    <row r="71" spans="1:65" ht="20.100000000000001" customHeight="1">
      <c r="A71" s="384"/>
      <c r="B71" s="3955" t="str">
        <f>AA3</f>
        <v>HARICOT DE MOUTON OU CASSOULET TOULOUSAIN</v>
      </c>
      <c r="C71" s="3956"/>
      <c r="D71" s="3956"/>
      <c r="E71" s="3956"/>
      <c r="F71" s="3956"/>
      <c r="G71" s="3956"/>
      <c r="H71" s="3956"/>
      <c r="I71" s="3956"/>
      <c r="J71" s="3956"/>
      <c r="K71" s="3956"/>
      <c r="L71" s="3959" t="s">
        <v>116</v>
      </c>
      <c r="M71" s="3959"/>
      <c r="N71" s="3961">
        <v>3</v>
      </c>
      <c r="O71" s="3963" t="s">
        <v>22</v>
      </c>
      <c r="P71" s="356"/>
      <c r="Q71" s="3636" t="s">
        <v>117</v>
      </c>
      <c r="R71" s="3637"/>
      <c r="S71" s="3638"/>
      <c r="T71" s="356"/>
      <c r="U71" s="356"/>
      <c r="V71" s="356"/>
      <c r="W71" s="356"/>
      <c r="X71" s="356"/>
      <c r="Y71" s="356"/>
      <c r="Z71" s="356"/>
      <c r="AA71" s="3604"/>
      <c r="AB71" s="3605"/>
      <c r="AC71" s="3605"/>
      <c r="AD71" s="4039"/>
      <c r="AE71" s="444" t="s">
        <v>180</v>
      </c>
      <c r="AF71" s="445"/>
      <c r="AG71" s="3605"/>
      <c r="AH71" s="3605"/>
      <c r="AI71" s="3922"/>
      <c r="AJ71" s="444" t="s">
        <v>179</v>
      </c>
      <c r="AK71" s="443"/>
      <c r="AL71" s="443"/>
      <c r="AM71" s="443"/>
      <c r="AN71" s="443"/>
      <c r="AO71" s="442"/>
      <c r="AP71" s="356"/>
      <c r="AQ71" s="356"/>
      <c r="AR71" s="378"/>
      <c r="AS71" s="378"/>
      <c r="AT71" s="378"/>
      <c r="AU71" s="378"/>
      <c r="AV71" s="378"/>
      <c r="AW71" s="378"/>
      <c r="AX71" s="378"/>
      <c r="AY71" s="378"/>
      <c r="AZ71" s="378"/>
      <c r="BA71" s="378"/>
      <c r="BB71" s="378"/>
      <c r="BC71" s="378"/>
      <c r="BD71" s="378"/>
      <c r="BE71" s="441">
        <v>24</v>
      </c>
      <c r="BF71" s="440" t="s">
        <v>178</v>
      </c>
      <c r="BG71" s="3609"/>
      <c r="BH71" s="378"/>
      <c r="BI71" s="378"/>
      <c r="BJ71" s="378"/>
      <c r="BK71" s="378"/>
      <c r="BL71" s="378"/>
      <c r="BM71" s="381">
        <v>20</v>
      </c>
    </row>
    <row r="72" spans="1:65" ht="15.75" customHeight="1">
      <c r="A72" s="384"/>
      <c r="B72" s="4040"/>
      <c r="C72" s="4041"/>
      <c r="D72" s="4041"/>
      <c r="E72" s="4041"/>
      <c r="F72" s="4041"/>
      <c r="G72" s="4041"/>
      <c r="H72" s="4041"/>
      <c r="I72" s="4041"/>
      <c r="J72" s="4041"/>
      <c r="K72" s="4041"/>
      <c r="L72" s="4042"/>
      <c r="M72" s="4042"/>
      <c r="N72" s="4043"/>
      <c r="O72" s="4044"/>
      <c r="P72" s="356"/>
      <c r="Q72" s="3639"/>
      <c r="R72" s="3640"/>
      <c r="S72" s="3641"/>
      <c r="T72" s="356"/>
      <c r="U72" s="356"/>
      <c r="V72" s="356"/>
      <c r="W72" s="356"/>
      <c r="X72" s="356"/>
      <c r="Y72" s="356"/>
      <c r="Z72" s="356"/>
      <c r="AA72" s="439">
        <v>0</v>
      </c>
      <c r="AB72" s="3232" t="s">
        <v>82</v>
      </c>
      <c r="AC72" s="3355"/>
      <c r="AD72" s="3355"/>
      <c r="AE72" s="3355"/>
      <c r="AF72" s="3355"/>
      <c r="AG72" s="3355"/>
      <c r="AH72" s="438">
        <f>MAX(AA72:AA101)</f>
        <v>21</v>
      </c>
      <c r="AI72" s="3232" t="s">
        <v>82</v>
      </c>
      <c r="AJ72" s="3355"/>
      <c r="AK72" s="3355"/>
      <c r="AL72" s="3355"/>
      <c r="AM72" s="3355"/>
      <c r="AN72" s="3355"/>
      <c r="AO72" s="3354"/>
      <c r="AP72" s="356"/>
      <c r="AQ72" s="378"/>
      <c r="AR72" s="378"/>
      <c r="AS72" s="378"/>
      <c r="AT72" s="378"/>
      <c r="AU72" s="378"/>
      <c r="AV72" s="378"/>
      <c r="AW72" s="378"/>
      <c r="AX72" s="378"/>
      <c r="AY72" s="378"/>
      <c r="AZ72" s="378"/>
      <c r="BA72" s="378"/>
      <c r="BB72" s="378"/>
      <c r="BC72" s="378"/>
      <c r="BD72" s="378"/>
      <c r="BE72" s="3610" t="s">
        <v>177</v>
      </c>
      <c r="BF72" s="3611"/>
      <c r="BG72" s="3612"/>
      <c r="BH72" s="378"/>
      <c r="BI72" s="378"/>
      <c r="BJ72" s="378"/>
      <c r="BK72" s="378"/>
      <c r="BL72" s="378"/>
      <c r="BM72" s="381">
        <v>15.75</v>
      </c>
    </row>
    <row r="73" spans="1:65" ht="15.75" customHeight="1">
      <c r="A73" s="8"/>
      <c r="B73" s="3186" t="s">
        <v>119</v>
      </c>
      <c r="C73" s="3209"/>
      <c r="D73" s="3209"/>
      <c r="E73" s="3185"/>
      <c r="F73" s="3184"/>
      <c r="G73" s="3183"/>
      <c r="H73" s="3209"/>
      <c r="I73" s="3209"/>
      <c r="J73" s="3182" t="s">
        <v>120</v>
      </c>
      <c r="K73" s="3209"/>
      <c r="L73" s="3181"/>
      <c r="M73" s="3181" t="s">
        <v>121</v>
      </c>
      <c r="N73" s="3180">
        <f>N71</f>
        <v>3</v>
      </c>
      <c r="O73" s="3179" t="str">
        <f>O71</f>
        <v>Kg</v>
      </c>
      <c r="P73" s="356"/>
      <c r="Q73" s="3639"/>
      <c r="R73" s="3640"/>
      <c r="S73" s="3641"/>
      <c r="T73" s="356"/>
      <c r="U73" s="356"/>
      <c r="V73" s="356"/>
      <c r="W73" s="356"/>
      <c r="X73" s="356"/>
      <c r="Y73" s="356"/>
      <c r="Z73" s="356"/>
      <c r="AA73" s="3348" t="str">
        <f>IF(ISBLANK(AB73),"",LARGE(AA72:AA72,1)+1)</f>
        <v/>
      </c>
      <c r="AB73" s="395"/>
      <c r="AC73" s="3229" t="s">
        <v>1893</v>
      </c>
      <c r="AD73" s="395"/>
      <c r="AE73" s="395"/>
      <c r="AF73" s="395"/>
      <c r="AG73" s="395"/>
      <c r="AH73" s="3228" t="str">
        <f>IF(ISBLANK(AI73),"",LARGE(AH72:AH72,1)+1)</f>
        <v/>
      </c>
      <c r="AI73" s="395"/>
      <c r="AJ73" s="3229" t="s">
        <v>6669</v>
      </c>
      <c r="AK73" s="435"/>
      <c r="AL73" s="435"/>
      <c r="AM73" s="435"/>
      <c r="AN73" s="435"/>
      <c r="AO73" s="434"/>
      <c r="AP73" s="356"/>
      <c r="AQ73" s="378"/>
      <c r="AR73" s="378"/>
      <c r="AS73" s="378"/>
      <c r="AT73" s="378"/>
      <c r="AU73" s="378"/>
      <c r="AV73" s="378"/>
      <c r="AW73" s="378"/>
      <c r="AX73" s="378"/>
      <c r="AY73" s="378"/>
      <c r="AZ73" s="378"/>
      <c r="BA73" s="378"/>
      <c r="BB73" s="378"/>
      <c r="BC73" s="378"/>
      <c r="BD73" s="378"/>
      <c r="BE73" s="3610"/>
      <c r="BF73" s="3611"/>
      <c r="BG73" s="3612"/>
      <c r="BH73" s="378"/>
      <c r="BI73" s="378"/>
      <c r="BJ73" s="378"/>
      <c r="BK73" s="378"/>
      <c r="BL73" s="378"/>
      <c r="BM73" s="381">
        <v>15.75</v>
      </c>
    </row>
    <row r="74" spans="1:65" ht="15.75" customHeight="1">
      <c r="A74" s="356"/>
      <c r="B74" s="4045">
        <f>SUM(C77:C82)</f>
        <v>572</v>
      </c>
      <c r="C74" s="3563" t="s">
        <v>122</v>
      </c>
      <c r="D74" s="3553">
        <f>(D77*C77)/1000+(D78*C78)/1000+(D79*C79)/1000+(D80*C80)/1000+(D81*C81)/1000+(D82*C82)/1000</f>
        <v>46.040000000000006</v>
      </c>
      <c r="E74" s="3597">
        <f>IF(D74=0,0,INT(D74/N71))</f>
        <v>15</v>
      </c>
      <c r="F74" s="3597"/>
      <c r="G74" s="3599">
        <f>D74-(E74*N71)</f>
        <v>1.0400000000000063</v>
      </c>
      <c r="H74" s="3581" t="str">
        <f>IF(G74=0,0,O71)</f>
        <v>Kg</v>
      </c>
      <c r="I74" s="3581"/>
      <c r="J74" s="382"/>
      <c r="K74" s="382"/>
      <c r="L74" s="3597">
        <f>IF(G74=0,0,E74+1)</f>
        <v>16</v>
      </c>
      <c r="M74" s="3597"/>
      <c r="N74" s="3599">
        <f>IF(G74=0,0,D74-(L74*N71))</f>
        <v>-1.9599999999999937</v>
      </c>
      <c r="O74" s="3557" t="str">
        <f>IF(N74=0,0,O71)</f>
        <v>Kg</v>
      </c>
      <c r="P74" s="356"/>
      <c r="Q74" s="3639"/>
      <c r="R74" s="3640"/>
      <c r="S74" s="3641"/>
      <c r="T74" s="356"/>
      <c r="U74" s="356"/>
      <c r="V74" s="356"/>
      <c r="W74" s="356"/>
      <c r="X74" s="356"/>
      <c r="Y74" s="356"/>
      <c r="Z74" s="356"/>
      <c r="AA74" s="3348">
        <f>IF(ISBLANK(AB74),"",LARGE(AA72:AA73,1)+1)</f>
        <v>1</v>
      </c>
      <c r="AB74" s="395" t="s">
        <v>6668</v>
      </c>
      <c r="AC74" s="395"/>
      <c r="AD74" s="395"/>
      <c r="AE74" s="395"/>
      <c r="AF74" s="395"/>
      <c r="AG74" s="395"/>
      <c r="AH74" s="3228">
        <f>IF(ISBLANK(AI74),"",LARGE(AH72:AH73,1)+1)</f>
        <v>22</v>
      </c>
      <c r="AI74" s="395" t="s">
        <v>6664</v>
      </c>
      <c r="AJ74" s="395"/>
      <c r="AK74" s="395"/>
      <c r="AL74" s="395"/>
      <c r="AM74" s="395"/>
      <c r="AN74" s="395"/>
      <c r="AO74" s="407"/>
      <c r="AP74" s="356"/>
      <c r="AQ74" s="378"/>
      <c r="AR74" s="378"/>
      <c r="AS74" s="378"/>
      <c r="AT74" s="378"/>
      <c r="AU74" s="378"/>
      <c r="AV74" s="378"/>
      <c r="AW74" s="378"/>
      <c r="AX74" s="378"/>
      <c r="AY74" s="378"/>
      <c r="AZ74" s="378"/>
      <c r="BA74" s="378"/>
      <c r="BB74" s="378"/>
      <c r="BC74" s="378"/>
      <c r="BD74" s="378"/>
      <c r="BE74" s="3610"/>
      <c r="BF74" s="3611"/>
      <c r="BG74" s="3612"/>
      <c r="BH74" s="378"/>
      <c r="BI74" s="378"/>
      <c r="BJ74" s="378"/>
      <c r="BK74" s="378"/>
      <c r="BL74" s="378"/>
      <c r="BM74" s="381">
        <v>15.75</v>
      </c>
    </row>
    <row r="75" spans="1:65" ht="15.75" customHeight="1">
      <c r="A75" s="356"/>
      <c r="B75" s="4046"/>
      <c r="C75" s="4047"/>
      <c r="D75" s="4048"/>
      <c r="E75" s="4049"/>
      <c r="F75" s="4049"/>
      <c r="G75" s="4050"/>
      <c r="H75" s="4051"/>
      <c r="I75" s="4051"/>
      <c r="J75" s="3353"/>
      <c r="K75" s="3353"/>
      <c r="L75" s="4049"/>
      <c r="M75" s="4049"/>
      <c r="N75" s="4050"/>
      <c r="O75" s="4052"/>
      <c r="P75" s="356"/>
      <c r="Q75" s="3668" t="s">
        <v>123</v>
      </c>
      <c r="R75" s="3669"/>
      <c r="S75" s="3670"/>
      <c r="T75" s="356"/>
      <c r="U75" s="356"/>
      <c r="V75" s="356"/>
      <c r="W75" s="356"/>
      <c r="X75" s="356"/>
      <c r="Y75" s="356"/>
      <c r="Z75" s="356"/>
      <c r="AA75" s="3348">
        <f>IF(ISBLANK(AB75),"",LARGE(AA72:AA74,1)+1)</f>
        <v>2</v>
      </c>
      <c r="AB75" s="395" t="s">
        <v>6667</v>
      </c>
      <c r="AC75" s="395" t="s">
        <v>6666</v>
      </c>
      <c r="AD75" s="395"/>
      <c r="AE75" s="395"/>
      <c r="AF75" s="395"/>
      <c r="AG75" s="395"/>
      <c r="AH75" s="3228">
        <f>IF(ISBLANK(AI75),"",LARGE(AH72:AH74,1)+1)</f>
        <v>23</v>
      </c>
      <c r="AI75" s="395" t="s">
        <v>6662</v>
      </c>
      <c r="AJ75" s="395"/>
      <c r="AK75" s="395"/>
      <c r="AL75" s="395"/>
      <c r="AM75" s="395"/>
      <c r="AN75" s="395"/>
      <c r="AO75" s="407"/>
      <c r="AP75" s="356"/>
      <c r="AQ75" s="378"/>
      <c r="AR75" s="378"/>
      <c r="AS75" s="378"/>
      <c r="AT75" s="378"/>
      <c r="AU75" s="378"/>
      <c r="AV75" s="378"/>
      <c r="AW75" s="378"/>
      <c r="AX75" s="378"/>
      <c r="AY75" s="378"/>
      <c r="AZ75" s="378"/>
      <c r="BA75" s="378"/>
      <c r="BB75" s="378"/>
      <c r="BC75" s="378"/>
      <c r="BD75" s="378"/>
      <c r="BE75" s="3613" t="s">
        <v>176</v>
      </c>
      <c r="BF75" s="3614"/>
      <c r="BG75" s="3615"/>
      <c r="BH75" s="378"/>
      <c r="BI75" s="378"/>
      <c r="BJ75" s="378"/>
      <c r="BK75" s="378"/>
      <c r="BL75" s="378"/>
      <c r="BM75" s="381">
        <v>15.75</v>
      </c>
    </row>
    <row r="76" spans="1:65" ht="15.75" customHeight="1">
      <c r="A76" s="356"/>
      <c r="B76" s="3352"/>
      <c r="C76" s="278" t="s">
        <v>124</v>
      </c>
      <c r="D76" s="3413" t="s">
        <v>125</v>
      </c>
      <c r="E76" s="382"/>
      <c r="F76" s="279"/>
      <c r="G76" s="280"/>
      <c r="H76" s="410" t="s">
        <v>126</v>
      </c>
      <c r="I76" s="3205"/>
      <c r="J76" s="3205"/>
      <c r="K76" s="3209"/>
      <c r="L76" s="3205"/>
      <c r="M76" s="3205"/>
      <c r="N76" s="3205"/>
      <c r="O76" s="3204"/>
      <c r="P76" s="356"/>
      <c r="Q76" s="3668"/>
      <c r="R76" s="3669"/>
      <c r="S76" s="3670"/>
      <c r="T76" s="356"/>
      <c r="U76" s="356"/>
      <c r="V76" s="356"/>
      <c r="W76" s="356"/>
      <c r="X76" s="356"/>
      <c r="Y76" s="356"/>
      <c r="Z76" s="356"/>
      <c r="AA76" s="3348">
        <f>IF(ISBLANK(AB76),"",LARGE(AA72:AA75,1)+1)</f>
        <v>3</v>
      </c>
      <c r="AB76" s="395" t="s">
        <v>6665</v>
      </c>
      <c r="AC76" s="395"/>
      <c r="AD76" s="395"/>
      <c r="AE76" s="395"/>
      <c r="AF76" s="395"/>
      <c r="AG76" s="395"/>
      <c r="AH76" s="3228">
        <f>IF(ISBLANK(AI76),"",LARGE(AH72:AH75,1)+1)</f>
        <v>24</v>
      </c>
      <c r="AI76" s="395" t="s">
        <v>6664</v>
      </c>
      <c r="AJ76" s="395"/>
      <c r="AK76" s="395"/>
      <c r="AL76" s="395"/>
      <c r="AM76" s="395"/>
      <c r="AN76" s="395"/>
      <c r="AO76" s="407"/>
      <c r="AP76" s="356"/>
      <c r="AQ76" s="378"/>
      <c r="AR76" s="378"/>
      <c r="AS76" s="378"/>
      <c r="AT76" s="378"/>
      <c r="AU76" s="378"/>
      <c r="AV76" s="378"/>
      <c r="AW76" s="378"/>
      <c r="AX76" s="378"/>
      <c r="AY76" s="378"/>
      <c r="AZ76" s="378"/>
      <c r="BA76" s="378"/>
      <c r="BB76" s="378"/>
      <c r="BC76" s="378"/>
      <c r="BD76" s="378"/>
      <c r="BE76" s="3613"/>
      <c r="BF76" s="3614"/>
      <c r="BG76" s="3615"/>
      <c r="BH76" s="378"/>
      <c r="BI76" s="378"/>
      <c r="BJ76" s="378"/>
      <c r="BK76" s="378"/>
      <c r="BL76" s="378"/>
      <c r="BM76" s="381">
        <v>15.75</v>
      </c>
    </row>
    <row r="77" spans="1:65" ht="15.75" customHeight="1">
      <c r="A77" s="356"/>
      <c r="B77" s="3351" t="s">
        <v>128</v>
      </c>
      <c r="C77" s="285">
        <f t="shared" ref="C77:D82" si="31">AU7</f>
        <v>100</v>
      </c>
      <c r="D77" s="286">
        <f t="shared" si="31"/>
        <v>50</v>
      </c>
      <c r="E77" s="287">
        <f t="shared" ref="E77:E82" si="32">(C77/1000)*D77</f>
        <v>5</v>
      </c>
      <c r="F77" s="288"/>
      <c r="G77" s="3552">
        <f>IF(E77=0,0,INT(E77/N71))</f>
        <v>1</v>
      </c>
      <c r="H77" s="3552"/>
      <c r="I77" s="404">
        <f>E77-(G77*N71)</f>
        <v>2</v>
      </c>
      <c r="J77" s="290" t="str">
        <f>IF(I77=0,0,O71)</f>
        <v>Kg</v>
      </c>
      <c r="K77" s="382"/>
      <c r="L77" s="291">
        <f t="shared" ref="L77:L82" si="33">IF(I77=0,0,G77+1)</f>
        <v>2</v>
      </c>
      <c r="M77" s="403">
        <f>IF(I77=0,0,E77-(L77*N71))</f>
        <v>-1</v>
      </c>
      <c r="N77" s="425" t="str">
        <f>IF(M77=0,0,O71)</f>
        <v>Kg</v>
      </c>
      <c r="O77" s="400"/>
      <c r="P77" s="356"/>
      <c r="Q77" s="3668"/>
      <c r="R77" s="3669"/>
      <c r="S77" s="3670"/>
      <c r="T77" s="356"/>
      <c r="U77" s="356"/>
      <c r="V77" s="356"/>
      <c r="W77" s="356"/>
      <c r="X77" s="356"/>
      <c r="Y77" s="356"/>
      <c r="Z77" s="356"/>
      <c r="AA77" s="3348">
        <f>IF(ISBLANK(AB77),"",LARGE(AA72:AA76,1)+1)</f>
        <v>4</v>
      </c>
      <c r="AB77" s="395" t="s">
        <v>6663</v>
      </c>
      <c r="AC77" s="395"/>
      <c r="AD77" s="395"/>
      <c r="AE77" s="395"/>
      <c r="AF77" s="395"/>
      <c r="AG77" s="395"/>
      <c r="AH77" s="3228">
        <f>IF(ISBLANK(AI77),"",LARGE(AH72:AH76,1)+1)</f>
        <v>25</v>
      </c>
      <c r="AI77" s="395" t="s">
        <v>6662</v>
      </c>
      <c r="AJ77" s="395"/>
      <c r="AK77" s="395"/>
      <c r="AL77" s="395"/>
      <c r="AM77" s="395"/>
      <c r="AN77" s="395"/>
      <c r="AO77" s="407"/>
      <c r="AP77" s="356"/>
      <c r="AQ77" s="378"/>
      <c r="AR77" s="378"/>
      <c r="AS77" s="378"/>
      <c r="AT77" s="378"/>
      <c r="AU77" s="378"/>
      <c r="AV77" s="378"/>
      <c r="AW77" s="378"/>
      <c r="AX77" s="378"/>
      <c r="AY77" s="378"/>
      <c r="AZ77" s="378"/>
      <c r="BA77" s="378"/>
      <c r="BB77" s="378"/>
      <c r="BC77" s="378"/>
      <c r="BD77" s="378"/>
      <c r="BE77" s="3613"/>
      <c r="BF77" s="3614"/>
      <c r="BG77" s="3615"/>
      <c r="BH77" s="378"/>
      <c r="BI77" s="378"/>
      <c r="BJ77" s="378"/>
      <c r="BK77" s="378"/>
      <c r="BL77" s="378"/>
      <c r="BM77" s="381">
        <v>15.75</v>
      </c>
    </row>
    <row r="78" spans="1:65" ht="15.75" customHeight="1">
      <c r="A78" s="356"/>
      <c r="B78" s="3350" t="s">
        <v>129</v>
      </c>
      <c r="C78" s="285">
        <f t="shared" si="31"/>
        <v>260</v>
      </c>
      <c r="D78" s="286">
        <f t="shared" si="31"/>
        <v>70</v>
      </c>
      <c r="E78" s="287">
        <f t="shared" si="32"/>
        <v>18.2</v>
      </c>
      <c r="F78" s="382"/>
      <c r="G78" s="3552">
        <f>IF(E78=0,0,INT(E78/N71))</f>
        <v>6</v>
      </c>
      <c r="H78" s="3552"/>
      <c r="I78" s="404">
        <f>E78-(G78*N71)</f>
        <v>0.19999999999999929</v>
      </c>
      <c r="J78" s="290" t="str">
        <f>IF(I78=0,0,O71)</f>
        <v>Kg</v>
      </c>
      <c r="K78" s="382"/>
      <c r="L78" s="291">
        <f t="shared" si="33"/>
        <v>7</v>
      </c>
      <c r="M78" s="403">
        <f>IF(I78=0,0,E78-(L78*N71))</f>
        <v>-2.8000000000000007</v>
      </c>
      <c r="N78" s="425" t="str">
        <f>IF(M78=0,0,O71)</f>
        <v>Kg</v>
      </c>
      <c r="O78" s="400"/>
      <c r="P78" s="356"/>
      <c r="Q78" s="3674" t="s">
        <v>127</v>
      </c>
      <c r="R78" s="3675"/>
      <c r="S78" s="3676"/>
      <c r="T78" s="356"/>
      <c r="U78" s="356"/>
      <c r="V78" s="356"/>
      <c r="W78" s="356"/>
      <c r="X78" s="356"/>
      <c r="Y78" s="356"/>
      <c r="Z78" s="356"/>
      <c r="AA78" s="3348">
        <f>IF(ISBLANK(AB78),"",LARGE(AA72:AA77,1)+1)</f>
        <v>5</v>
      </c>
      <c r="AB78" s="395" t="s">
        <v>6661</v>
      </c>
      <c r="AC78" s="395"/>
      <c r="AD78" s="395"/>
      <c r="AE78" s="395"/>
      <c r="AF78" s="395"/>
      <c r="AG78" s="395"/>
      <c r="AH78" s="3228">
        <f>IF(ISBLANK(AI78),"",LARGE(AH72:AH77,1)+1)</f>
        <v>26</v>
      </c>
      <c r="AI78" s="395" t="s">
        <v>6660</v>
      </c>
      <c r="AJ78" s="395"/>
      <c r="AK78" s="395"/>
      <c r="AL78" s="395"/>
      <c r="AM78" s="395"/>
      <c r="AN78" s="395"/>
      <c r="AO78" s="407"/>
      <c r="AP78" s="356"/>
      <c r="AQ78" s="378"/>
      <c r="AR78" s="378"/>
      <c r="AS78" s="378"/>
      <c r="AT78" s="378"/>
      <c r="AU78" s="378"/>
      <c r="AV78" s="378"/>
      <c r="AW78" s="378"/>
      <c r="AX78" s="378"/>
      <c r="AY78" s="378"/>
      <c r="AZ78" s="378"/>
      <c r="BA78" s="378"/>
      <c r="BB78" s="378"/>
      <c r="BC78" s="378"/>
      <c r="BD78" s="378"/>
      <c r="BE78" s="433"/>
      <c r="BF78" s="432" t="s">
        <v>98</v>
      </c>
      <c r="BG78" s="431" t="str">
        <f>ADDRESS(ROW(AI9),COLUMN(AI9),4)</f>
        <v>AI9</v>
      </c>
      <c r="BH78" s="378"/>
      <c r="BI78" s="378"/>
      <c r="BJ78" s="378"/>
      <c r="BK78" s="378"/>
      <c r="BL78" s="378"/>
      <c r="BM78" s="381">
        <v>15.75</v>
      </c>
    </row>
    <row r="79" spans="1:65" ht="15.75" customHeight="1">
      <c r="A79" s="356"/>
      <c r="B79" s="3349" t="s">
        <v>28</v>
      </c>
      <c r="C79" s="285">
        <f t="shared" si="31"/>
        <v>120</v>
      </c>
      <c r="D79" s="286">
        <f t="shared" si="31"/>
        <v>110</v>
      </c>
      <c r="E79" s="287">
        <f t="shared" si="32"/>
        <v>13.2</v>
      </c>
      <c r="F79" s="382"/>
      <c r="G79" s="3552">
        <f>IF(E79=0,0,INT(E79/N71))</f>
        <v>4</v>
      </c>
      <c r="H79" s="3552"/>
      <c r="I79" s="404">
        <f>E79-(G79*N71)</f>
        <v>1.1999999999999993</v>
      </c>
      <c r="J79" s="290" t="str">
        <f>IF(I79=0,0,O71)</f>
        <v>Kg</v>
      </c>
      <c r="K79" s="382"/>
      <c r="L79" s="291">
        <f t="shared" si="33"/>
        <v>5</v>
      </c>
      <c r="M79" s="403">
        <f>IF(I79=0,0,E79-(L79*N71))</f>
        <v>-1.8000000000000007</v>
      </c>
      <c r="N79" s="425" t="str">
        <f>IF(M79=0,0,O71)</f>
        <v>Kg</v>
      </c>
      <c r="O79" s="400"/>
      <c r="P79" s="356"/>
      <c r="Q79" s="3674"/>
      <c r="R79" s="3675"/>
      <c r="S79" s="3676"/>
      <c r="T79" s="356"/>
      <c r="U79" s="356"/>
      <c r="V79" s="356"/>
      <c r="W79" s="356"/>
      <c r="X79" s="356"/>
      <c r="Y79" s="356"/>
      <c r="Z79" s="356"/>
      <c r="AA79" s="3348">
        <f>IF(ISBLANK(AB79),"",LARGE(AA72:AA78,1)+1)</f>
        <v>6</v>
      </c>
      <c r="AB79" s="395" t="s">
        <v>6659</v>
      </c>
      <c r="AC79" s="395"/>
      <c r="AD79" s="395"/>
      <c r="AE79" s="395"/>
      <c r="AF79" s="395"/>
      <c r="AG79" s="395"/>
      <c r="AH79" s="3228">
        <f>IF(ISBLANK(AI79),"",LARGE(AH72:AH78,1)+1)</f>
        <v>27</v>
      </c>
      <c r="AI79" s="395" t="s">
        <v>6658</v>
      </c>
      <c r="AJ79" s="395"/>
      <c r="AK79" s="395"/>
      <c r="AL79" s="395"/>
      <c r="AM79" s="395"/>
      <c r="AN79" s="395"/>
      <c r="AO79" s="407"/>
      <c r="AP79" s="356"/>
      <c r="AQ79" s="378"/>
      <c r="AR79" s="378"/>
      <c r="AS79" s="378"/>
      <c r="AT79" s="378"/>
      <c r="AU79" s="378"/>
      <c r="AV79" s="378"/>
      <c r="AW79" s="378"/>
      <c r="AX79" s="378"/>
      <c r="AY79" s="378"/>
      <c r="AZ79" s="378"/>
      <c r="BA79" s="378"/>
      <c r="BB79" s="378"/>
      <c r="BC79" s="378"/>
      <c r="BD79" s="378"/>
      <c r="BE79" s="428" t="s">
        <v>175</v>
      </c>
      <c r="BF79" s="430"/>
      <c r="BG79" s="429"/>
      <c r="BH79" s="378"/>
      <c r="BI79" s="378"/>
      <c r="BJ79" s="378"/>
      <c r="BK79" s="378"/>
      <c r="BL79" s="378"/>
      <c r="BM79" s="381">
        <v>15.75</v>
      </c>
    </row>
    <row r="80" spans="1:65" ht="15.75" customHeight="1">
      <c r="A80" s="356"/>
      <c r="B80" s="3349" t="s">
        <v>136</v>
      </c>
      <c r="C80" s="285">
        <f t="shared" si="31"/>
        <v>60</v>
      </c>
      <c r="D80" s="286">
        <f t="shared" si="31"/>
        <v>120</v>
      </c>
      <c r="E80" s="287">
        <f t="shared" si="32"/>
        <v>7.1999999999999993</v>
      </c>
      <c r="F80" s="382"/>
      <c r="G80" s="3552">
        <f>IF(E80=0,0,INT(E80/N71))</f>
        <v>2</v>
      </c>
      <c r="H80" s="3552"/>
      <c r="I80" s="404">
        <f>E80-(G80*N71)</f>
        <v>1.1999999999999993</v>
      </c>
      <c r="J80" s="290" t="str">
        <f>IF(I80=0,0,O71)</f>
        <v>Kg</v>
      </c>
      <c r="K80" s="382"/>
      <c r="L80" s="291">
        <f t="shared" si="33"/>
        <v>3</v>
      </c>
      <c r="M80" s="403">
        <f>IF(I80=0,0,E80-(L80*N71))</f>
        <v>-1.8000000000000007</v>
      </c>
      <c r="N80" s="425" t="str">
        <f>IF(M80=0,0,O71)</f>
        <v>Kg</v>
      </c>
      <c r="O80" s="400"/>
      <c r="P80" s="356"/>
      <c r="Q80" s="3674"/>
      <c r="R80" s="3675"/>
      <c r="S80" s="3676"/>
      <c r="T80" s="356"/>
      <c r="U80" s="356"/>
      <c r="V80" s="356"/>
      <c r="W80" s="356"/>
      <c r="X80" s="356"/>
      <c r="Y80" s="356"/>
      <c r="Z80" s="356"/>
      <c r="AA80" s="3348">
        <f>IF(ISBLANK(AB80),"",LARGE(AA72:AA79,1)+1)</f>
        <v>7</v>
      </c>
      <c r="AB80" s="395" t="s">
        <v>6657</v>
      </c>
      <c r="AC80" s="395"/>
      <c r="AD80" s="395"/>
      <c r="AE80" s="395"/>
      <c r="AF80" s="395"/>
      <c r="AG80" s="395"/>
      <c r="AH80" s="3228" t="str">
        <f>IF(ISBLANK(AI80),"",LARGE(AH72:AH79,1)+1)</f>
        <v/>
      </c>
      <c r="AI80" s="395"/>
      <c r="AJ80" s="395" t="s">
        <v>6656</v>
      </c>
      <c r="AK80" s="395"/>
      <c r="AL80" s="395"/>
      <c r="AM80" s="395"/>
      <c r="AN80" s="395"/>
      <c r="AO80" s="407"/>
      <c r="AP80" s="356"/>
      <c r="AQ80" s="378"/>
      <c r="AR80" s="378"/>
      <c r="AS80" s="378"/>
      <c r="AT80" s="378"/>
      <c r="AU80" s="378"/>
      <c r="AV80" s="378"/>
      <c r="AW80" s="378"/>
      <c r="AX80" s="378"/>
      <c r="AY80" s="378"/>
      <c r="AZ80" s="378"/>
      <c r="BA80" s="378"/>
      <c r="BB80" s="378"/>
      <c r="BC80" s="378"/>
      <c r="BD80" s="378"/>
      <c r="BE80" s="428"/>
      <c r="BF80" s="427" t="s">
        <v>174</v>
      </c>
      <c r="BG80" s="426" t="str">
        <f>LEFT(ADDRESS(1,COLUMN(AK12),4),LEN(ADDRESS(1,COLUMN(AK12),4))-1)</f>
        <v>AK</v>
      </c>
      <c r="BH80" s="378"/>
      <c r="BI80" s="378"/>
      <c r="BJ80" s="378"/>
      <c r="BK80" s="378"/>
      <c r="BL80" s="378"/>
      <c r="BM80" s="381">
        <v>15.75</v>
      </c>
    </row>
    <row r="81" spans="1:65" ht="15.75" customHeight="1">
      <c r="A81" s="8"/>
      <c r="B81" s="3349" t="s">
        <v>56</v>
      </c>
      <c r="C81" s="285">
        <f t="shared" si="31"/>
        <v>20</v>
      </c>
      <c r="D81" s="286">
        <f t="shared" si="31"/>
        <v>80</v>
      </c>
      <c r="E81" s="287">
        <f t="shared" si="32"/>
        <v>1.6</v>
      </c>
      <c r="F81" s="382"/>
      <c r="G81" s="3552">
        <f>IF(E81=0,0,INT(E81/N71))</f>
        <v>0</v>
      </c>
      <c r="H81" s="3552"/>
      <c r="I81" s="404">
        <f>E81-(G81*N71)</f>
        <v>1.6</v>
      </c>
      <c r="J81" s="290" t="str">
        <f>IF(I81=0,0,O71)</f>
        <v>Kg</v>
      </c>
      <c r="K81" s="382"/>
      <c r="L81" s="291">
        <f t="shared" si="33"/>
        <v>1</v>
      </c>
      <c r="M81" s="403">
        <f>IF(I81=0,0,E81-(L81*N71))</f>
        <v>-1.4</v>
      </c>
      <c r="N81" s="425" t="str">
        <f>IF(M81=0,0,O71)</f>
        <v>Kg</v>
      </c>
      <c r="O81" s="400"/>
      <c r="P81" s="356"/>
      <c r="Q81" s="3674"/>
      <c r="R81" s="3675"/>
      <c r="S81" s="3676"/>
      <c r="T81" s="356"/>
      <c r="U81" s="356"/>
      <c r="V81" s="356"/>
      <c r="W81" s="356"/>
      <c r="X81" s="356"/>
      <c r="Y81" s="356"/>
      <c r="Z81" s="356"/>
      <c r="AA81" s="3348">
        <f>IF(ISBLANK(AB81),"",LARGE(AA72:AA80,1)+1)</f>
        <v>8</v>
      </c>
      <c r="AB81" s="395" t="s">
        <v>6655</v>
      </c>
      <c r="AC81" s="395"/>
      <c r="AD81" s="395"/>
      <c r="AE81" s="395"/>
      <c r="AF81" s="395"/>
      <c r="AG81" s="395"/>
      <c r="AH81" s="3228" t="str">
        <f>IF(ISBLANK(AI81),"",LARGE(AH72:AH80,1)+1)</f>
        <v/>
      </c>
      <c r="AI81" s="395"/>
      <c r="AJ81" s="395" t="s">
        <v>6654</v>
      </c>
      <c r="AK81" s="395"/>
      <c r="AL81" s="395"/>
      <c r="AM81" s="395"/>
      <c r="AN81" s="395"/>
      <c r="AO81" s="407"/>
      <c r="AP81" s="356"/>
      <c r="AQ81" s="378"/>
      <c r="AR81" s="378"/>
      <c r="AS81" s="378"/>
      <c r="AT81" s="378"/>
      <c r="AU81" s="378"/>
      <c r="AV81" s="378"/>
      <c r="AW81" s="378"/>
      <c r="AX81" s="378"/>
      <c r="AY81" s="378"/>
      <c r="AZ81" s="378"/>
      <c r="BA81" s="378"/>
      <c r="BB81" s="378"/>
      <c r="BC81" s="378"/>
      <c r="BD81" s="378"/>
      <c r="BE81" s="3616" t="s">
        <v>99</v>
      </c>
      <c r="BF81" s="3617"/>
      <c r="BG81" s="3618"/>
      <c r="BH81" s="378"/>
      <c r="BI81" s="378"/>
      <c r="BJ81" s="378"/>
      <c r="BK81" s="378"/>
      <c r="BL81" s="378"/>
      <c r="BM81" s="381">
        <v>15.75</v>
      </c>
    </row>
    <row r="82" spans="1:65" ht="15.75" customHeight="1">
      <c r="A82" s="8"/>
      <c r="B82" s="3349" t="s">
        <v>57</v>
      </c>
      <c r="C82" s="285">
        <f t="shared" si="31"/>
        <v>12</v>
      </c>
      <c r="D82" s="286">
        <f t="shared" si="31"/>
        <v>70</v>
      </c>
      <c r="E82" s="287">
        <f t="shared" si="32"/>
        <v>0.84</v>
      </c>
      <c r="F82" s="382"/>
      <c r="G82" s="3552">
        <f>IF(E82=0,0,INT(E82/N71))</f>
        <v>0</v>
      </c>
      <c r="H82" s="3552"/>
      <c r="I82" s="404">
        <f>E82-(G82*N71)</f>
        <v>0.84</v>
      </c>
      <c r="J82" s="290" t="str">
        <f>IF(I82=0,0,O71)</f>
        <v>Kg</v>
      </c>
      <c r="K82" s="382"/>
      <c r="L82" s="291">
        <f t="shared" si="33"/>
        <v>1</v>
      </c>
      <c r="M82" s="403">
        <f>IF(I82=0,0,E82-(L82*N71))</f>
        <v>-2.16</v>
      </c>
      <c r="N82" s="425" t="str">
        <f>IF(M82=0,0,O71)</f>
        <v>Kg</v>
      </c>
      <c r="O82" s="400"/>
      <c r="P82" s="356"/>
      <c r="Q82" s="3674"/>
      <c r="R82" s="3675"/>
      <c r="S82" s="3676"/>
      <c r="T82" s="356"/>
      <c r="U82" s="356"/>
      <c r="V82" s="356"/>
      <c r="W82" s="356"/>
      <c r="X82" s="356"/>
      <c r="Y82" s="356"/>
      <c r="Z82" s="356"/>
      <c r="AA82" s="3348" t="str">
        <f>IF(ISBLANK(AB82),"",LARGE(AA72:AA81,1)+1)</f>
        <v/>
      </c>
      <c r="AB82" s="395"/>
      <c r="AC82" s="3229" t="s">
        <v>6653</v>
      </c>
      <c r="AD82" s="395"/>
      <c r="AE82" s="395"/>
      <c r="AF82" s="395"/>
      <c r="AG82" s="395"/>
      <c r="AH82" s="3228">
        <f>IF(ISBLANK(AI82),"",LARGE(AH72:AH81,1)+1)</f>
        <v>28</v>
      </c>
      <c r="AI82" s="395" t="s">
        <v>6652</v>
      </c>
      <c r="AJ82" s="395"/>
      <c r="AK82" s="395"/>
      <c r="AL82" s="395"/>
      <c r="AM82" s="395"/>
      <c r="AN82" s="395"/>
      <c r="AO82" s="407"/>
      <c r="AP82" s="356"/>
      <c r="AQ82" s="378"/>
      <c r="AR82" s="378"/>
      <c r="AS82" s="378"/>
      <c r="AT82" s="378"/>
      <c r="AU82" s="378"/>
      <c r="AV82" s="378"/>
      <c r="AW82" s="378"/>
      <c r="AX82" s="378"/>
      <c r="AY82" s="378"/>
      <c r="AZ82" s="378"/>
      <c r="BA82" s="378"/>
      <c r="BB82" s="378"/>
      <c r="BC82" s="378"/>
      <c r="BD82" s="378"/>
      <c r="BE82" s="3616"/>
      <c r="BF82" s="3617"/>
      <c r="BG82" s="3618"/>
      <c r="BH82" s="378"/>
      <c r="BI82" s="378"/>
      <c r="BJ82" s="378"/>
      <c r="BK82" s="378"/>
      <c r="BL82" s="378"/>
      <c r="BM82" s="381">
        <v>15.75</v>
      </c>
    </row>
    <row r="83" spans="1:65" ht="15.75" customHeight="1">
      <c r="A83" s="8"/>
      <c r="B83" s="3347"/>
      <c r="C83" s="382"/>
      <c r="D83" s="382"/>
      <c r="E83" s="382"/>
      <c r="F83" s="382"/>
      <c r="G83" s="344" t="s">
        <v>139</v>
      </c>
      <c r="H83" s="344"/>
      <c r="I83" s="344"/>
      <c r="J83" s="344"/>
      <c r="K83" s="401"/>
      <c r="L83" s="344"/>
      <c r="M83" s="344"/>
      <c r="N83" s="344"/>
      <c r="O83" s="400"/>
      <c r="P83" s="356"/>
      <c r="Q83" s="3677" t="s">
        <v>132</v>
      </c>
      <c r="R83" s="3678"/>
      <c r="S83" s="3679"/>
      <c r="T83" s="356"/>
      <c r="U83" s="356"/>
      <c r="V83" s="356"/>
      <c r="W83" s="356"/>
      <c r="X83" s="356"/>
      <c r="Y83" s="356"/>
      <c r="Z83" s="356"/>
      <c r="AA83" s="3348">
        <f>IF(ISBLANK(AB83),"",LARGE(AA72:AA82,1)+1)</f>
        <v>9</v>
      </c>
      <c r="AB83" s="395" t="s">
        <v>6651</v>
      </c>
      <c r="AC83" s="395"/>
      <c r="AD83" s="395"/>
      <c r="AE83" s="395"/>
      <c r="AF83" s="395"/>
      <c r="AG83" s="395"/>
      <c r="AH83" s="3228" t="str">
        <f>IF(ISBLANK(AI83),"",LARGE(AH72:AH82,1)+1)</f>
        <v/>
      </c>
      <c r="AI83" s="395"/>
      <c r="AJ83" s="3229" t="s">
        <v>6650</v>
      </c>
      <c r="AK83" s="395"/>
      <c r="AL83" s="395"/>
      <c r="AM83" s="395"/>
      <c r="AN83" s="395"/>
      <c r="AO83" s="407"/>
      <c r="AP83" s="356"/>
      <c r="AQ83" s="378"/>
      <c r="AR83" s="378"/>
      <c r="AS83" s="378"/>
      <c r="AT83" s="378"/>
      <c r="AU83" s="378"/>
      <c r="AV83" s="378"/>
      <c r="AW83" s="378"/>
      <c r="AX83" s="378"/>
      <c r="AY83" s="378"/>
      <c r="AZ83" s="378"/>
      <c r="BA83" s="378"/>
      <c r="BB83" s="378"/>
      <c r="BC83" s="378"/>
      <c r="BD83" s="378"/>
      <c r="BE83" s="3616"/>
      <c r="BF83" s="3617"/>
      <c r="BG83" s="3618"/>
      <c r="BH83" s="378"/>
      <c r="BI83" s="378"/>
      <c r="BJ83" s="378"/>
      <c r="BK83" s="378"/>
      <c r="BL83" s="378"/>
      <c r="BM83" s="381">
        <v>15.75</v>
      </c>
    </row>
    <row r="84" spans="1:65" ht="15.75" customHeight="1">
      <c r="A84" s="8"/>
      <c r="B84" s="3347"/>
      <c r="C84" s="382"/>
      <c r="D84" s="382"/>
      <c r="E84" s="382"/>
      <c r="F84" s="382"/>
      <c r="G84" s="3560">
        <f>IF(G85=0,0,INT(G85/N71))</f>
        <v>13</v>
      </c>
      <c r="H84" s="3560"/>
      <c r="I84" s="850" t="s">
        <v>140</v>
      </c>
      <c r="J84" s="314">
        <f>D74-G85</f>
        <v>7.0400000000000063</v>
      </c>
      <c r="K84" s="382"/>
      <c r="L84" s="3554" t="s">
        <v>141</v>
      </c>
      <c r="M84" s="3554"/>
      <c r="N84" s="3555">
        <f>COUNTIF(I77:I82,"&gt;0")</f>
        <v>6</v>
      </c>
      <c r="O84" s="3549" t="s">
        <v>142</v>
      </c>
      <c r="P84" s="356"/>
      <c r="Q84" s="3677"/>
      <c r="R84" s="3678"/>
      <c r="S84" s="3679"/>
      <c r="T84" s="356"/>
      <c r="U84" s="356"/>
      <c r="V84" s="356"/>
      <c r="W84" s="356"/>
      <c r="X84" s="356"/>
      <c r="Y84" s="356"/>
      <c r="Z84" s="356"/>
      <c r="AA84" s="3348" t="str">
        <f>IF(ISBLANK(AB84),"",LARGE(AA72:AA83,1)+1)</f>
        <v/>
      </c>
      <c r="AB84" s="395"/>
      <c r="AC84" s="395" t="s">
        <v>6649</v>
      </c>
      <c r="AD84" s="395"/>
      <c r="AE84" s="395"/>
      <c r="AF84" s="395"/>
      <c r="AG84" s="395"/>
      <c r="AH84" s="3228">
        <f>IF(ISBLANK(AI84),"",LARGE(AH72:AH83,1)+1)</f>
        <v>29</v>
      </c>
      <c r="AI84" s="395" t="s">
        <v>6648</v>
      </c>
      <c r="AJ84" s="395"/>
      <c r="AK84" s="395"/>
      <c r="AL84" s="395"/>
      <c r="AM84" s="395"/>
      <c r="AN84" s="395"/>
      <c r="AO84" s="407"/>
      <c r="AP84" s="356"/>
      <c r="AQ84" s="378"/>
      <c r="AR84" s="378"/>
      <c r="AS84" s="378"/>
      <c r="AT84" s="378"/>
      <c r="AU84" s="378"/>
      <c r="AV84" s="378"/>
      <c r="AW84" s="378"/>
      <c r="AX84" s="378"/>
      <c r="AY84" s="378"/>
      <c r="AZ84" s="378"/>
      <c r="BA84" s="378"/>
      <c r="BB84" s="378"/>
      <c r="BC84" s="378"/>
      <c r="BD84" s="378"/>
      <c r="BE84" s="424" t="s">
        <v>173</v>
      </c>
      <c r="BF84" s="412"/>
      <c r="BG84" s="411"/>
      <c r="BH84" s="378"/>
      <c r="BI84" s="378"/>
      <c r="BJ84" s="378"/>
      <c r="BK84" s="378"/>
      <c r="BL84" s="378"/>
      <c r="BM84" s="381">
        <v>15.75</v>
      </c>
    </row>
    <row r="85" spans="1:65" ht="15.75" customHeight="1">
      <c r="A85" s="8"/>
      <c r="B85" s="3347"/>
      <c r="C85" s="382"/>
      <c r="D85" s="382"/>
      <c r="E85" s="382"/>
      <c r="F85" s="382"/>
      <c r="G85" s="3842">
        <f>SUM(G77:H82)*N71</f>
        <v>39</v>
      </c>
      <c r="H85" s="3842"/>
      <c r="I85" s="379"/>
      <c r="J85" s="318">
        <f>G85+J84</f>
        <v>46.040000000000006</v>
      </c>
      <c r="K85" s="382"/>
      <c r="L85" s="3554"/>
      <c r="M85" s="3554"/>
      <c r="N85" s="3555"/>
      <c r="O85" s="3549"/>
      <c r="P85" s="356"/>
      <c r="Q85" s="3680" t="s">
        <v>137</v>
      </c>
      <c r="R85" s="3681"/>
      <c r="S85" s="3682"/>
      <c r="T85" s="356"/>
      <c r="U85" s="356"/>
      <c r="V85" s="356"/>
      <c r="W85" s="356"/>
      <c r="X85" s="356"/>
      <c r="Y85" s="356"/>
      <c r="Z85" s="356"/>
      <c r="AA85" s="3348">
        <f>IF(ISBLANK(AB85),"",LARGE(AA72:AA84,1)+1)</f>
        <v>10</v>
      </c>
      <c r="AB85" s="395" t="s">
        <v>6647</v>
      </c>
      <c r="AC85" s="395"/>
      <c r="AD85" s="395"/>
      <c r="AE85" s="395"/>
      <c r="AF85" s="395"/>
      <c r="AG85" s="395"/>
      <c r="AH85" s="3228" t="str">
        <f>IF(ISBLANK(AI85),"",LARGE(AH72:AH84,1)+1)</f>
        <v/>
      </c>
      <c r="AI85" s="395"/>
      <c r="AJ85" s="395" t="s">
        <v>6646</v>
      </c>
      <c r="AK85" s="395"/>
      <c r="AL85" s="395"/>
      <c r="AM85" s="395"/>
      <c r="AN85" s="395"/>
      <c r="AO85" s="407"/>
      <c r="AP85" s="356"/>
      <c r="AQ85" s="378"/>
      <c r="AR85" s="378"/>
      <c r="AS85" s="378"/>
      <c r="AT85" s="378"/>
      <c r="AU85" s="378"/>
      <c r="AV85" s="378"/>
      <c r="AW85" s="378"/>
      <c r="AX85" s="378"/>
      <c r="AY85" s="378"/>
      <c r="AZ85" s="378"/>
      <c r="BA85" s="378"/>
      <c r="BB85" s="378"/>
      <c r="BC85" s="378"/>
      <c r="BD85" s="378"/>
      <c r="BE85" s="413"/>
      <c r="BF85" s="412"/>
      <c r="BG85" s="411"/>
      <c r="BH85" s="378"/>
      <c r="BI85" s="378"/>
      <c r="BJ85" s="378"/>
      <c r="BK85" s="378"/>
      <c r="BL85" s="378"/>
      <c r="BM85" s="381">
        <v>15.75</v>
      </c>
    </row>
    <row r="86" spans="1:65" ht="15.75" customHeight="1" thickBot="1">
      <c r="A86" s="8"/>
      <c r="B86" s="3200"/>
      <c r="C86" s="3197"/>
      <c r="D86" s="3197"/>
      <c r="E86" s="3197"/>
      <c r="F86" s="3197"/>
      <c r="G86" s="3197"/>
      <c r="H86" s="3197"/>
      <c r="I86" s="3197"/>
      <c r="J86" s="3197"/>
      <c r="K86" s="3197"/>
      <c r="L86" s="3197"/>
      <c r="M86" s="3197"/>
      <c r="N86" s="3197"/>
      <c r="O86" s="3196"/>
      <c r="P86" s="356"/>
      <c r="Q86" s="3543" t="s">
        <v>138</v>
      </c>
      <c r="R86" s="3544"/>
      <c r="S86" s="3545"/>
      <c r="T86" s="356"/>
      <c r="U86" s="356"/>
      <c r="V86" s="356"/>
      <c r="W86" s="356"/>
      <c r="X86" s="356"/>
      <c r="Y86" s="356"/>
      <c r="Z86" s="356"/>
      <c r="AA86" s="3348" t="str">
        <f>IF(ISBLANK(AB86),"",LARGE(AA72:AA85,1)+1)</f>
        <v/>
      </c>
      <c r="AB86" s="395"/>
      <c r="AC86" s="395" t="s">
        <v>6645</v>
      </c>
      <c r="AD86" s="395"/>
      <c r="AE86" s="395"/>
      <c r="AF86" s="395"/>
      <c r="AG86" s="395"/>
      <c r="AH86" s="3228" t="str">
        <f>IF(ISBLANK(AI86),"",LARGE(AH72:AH85,1)+1)</f>
        <v/>
      </c>
      <c r="AI86" s="395"/>
      <c r="AJ86" s="395" t="s">
        <v>6644</v>
      </c>
      <c r="AK86" s="395"/>
      <c r="AL86" s="395"/>
      <c r="AM86" s="395"/>
      <c r="AN86" s="395"/>
      <c r="AO86" s="407"/>
      <c r="AP86" s="356"/>
      <c r="AQ86" s="378"/>
      <c r="AR86" s="378"/>
      <c r="AS86" s="378"/>
      <c r="AT86" s="378"/>
      <c r="AU86" s="378"/>
      <c r="AV86" s="378"/>
      <c r="AW86" s="378"/>
      <c r="AX86" s="378"/>
      <c r="AY86" s="378"/>
      <c r="AZ86" s="378"/>
      <c r="BA86" s="378"/>
      <c r="BB86" s="378"/>
      <c r="BC86" s="378"/>
      <c r="BD86" s="378"/>
      <c r="BE86" s="423" t="s">
        <v>172</v>
      </c>
      <c r="BF86" s="422"/>
      <c r="BG86" s="421"/>
      <c r="BH86" s="378"/>
      <c r="BI86" s="378"/>
      <c r="BJ86" s="378"/>
      <c r="BK86" s="378"/>
      <c r="BL86" s="378"/>
      <c r="BM86" s="381">
        <v>15.75</v>
      </c>
    </row>
    <row r="87" spans="1:65" ht="15.75" customHeight="1" thickBot="1">
      <c r="A87" s="8"/>
      <c r="B87" s="384"/>
      <c r="C87" s="384"/>
      <c r="D87" s="384"/>
      <c r="E87" s="384"/>
      <c r="F87" s="384"/>
      <c r="G87" s="384"/>
      <c r="H87" s="384"/>
      <c r="I87" s="384"/>
      <c r="J87" s="384"/>
      <c r="K87" s="384"/>
      <c r="L87" s="384"/>
      <c r="M87" s="384"/>
      <c r="N87" s="384"/>
      <c r="O87" s="384"/>
      <c r="P87" s="356"/>
      <c r="Q87" s="3543"/>
      <c r="R87" s="3544"/>
      <c r="S87" s="3545"/>
      <c r="T87" s="356"/>
      <c r="U87" s="356"/>
      <c r="V87" s="356"/>
      <c r="W87" s="356"/>
      <c r="X87" s="356"/>
      <c r="Y87" s="356"/>
      <c r="Z87" s="356"/>
      <c r="AA87" s="3348">
        <f>IF(ISBLANK(AB87),"",LARGE(AA72:AA86,1)+1)</f>
        <v>11</v>
      </c>
      <c r="AB87" s="395" t="s">
        <v>6643</v>
      </c>
      <c r="AC87" s="395"/>
      <c r="AD87" s="395"/>
      <c r="AE87" s="395"/>
      <c r="AF87" s="395"/>
      <c r="AG87" s="395"/>
      <c r="AH87" s="3228" t="str">
        <f>IF(ISBLANK(AI87),"",LARGE(AH72:AH86,1)+1)</f>
        <v/>
      </c>
      <c r="AI87" s="395"/>
      <c r="AJ87" s="395" t="s">
        <v>6642</v>
      </c>
      <c r="AK87" s="395"/>
      <c r="AL87" s="395"/>
      <c r="AM87" s="395"/>
      <c r="AN87" s="395"/>
      <c r="AO87" s="407"/>
      <c r="AP87" s="356"/>
      <c r="AQ87" s="378"/>
      <c r="AR87" s="378"/>
      <c r="AS87" s="378"/>
      <c r="AT87" s="378"/>
      <c r="AU87" s="378"/>
      <c r="AV87" s="378"/>
      <c r="AW87" s="378"/>
      <c r="AX87" s="378"/>
      <c r="AY87" s="378"/>
      <c r="AZ87" s="378"/>
      <c r="BA87" s="378"/>
      <c r="BB87" s="378"/>
      <c r="BC87" s="378"/>
      <c r="BD87" s="378"/>
      <c r="BE87" s="413"/>
      <c r="BF87" s="420" t="s">
        <v>98</v>
      </c>
      <c r="BG87" s="419" t="str">
        <f>ADDRESS(ROW(X11),COLUMN(X11),4)</f>
        <v>X11</v>
      </c>
      <c r="BH87" s="378"/>
      <c r="BI87" s="378"/>
      <c r="BJ87" s="378"/>
      <c r="BK87" s="378"/>
      <c r="BL87" s="378"/>
      <c r="BM87" s="381">
        <v>15.75</v>
      </c>
    </row>
    <row r="88" spans="1:65" ht="15.75" customHeight="1">
      <c r="A88" s="8"/>
      <c r="B88" s="3955" t="str">
        <f>+AA3</f>
        <v>HARICOT DE MOUTON OU CASSOULET TOULOUSAIN</v>
      </c>
      <c r="C88" s="3956"/>
      <c r="D88" s="3956"/>
      <c r="E88" s="3956"/>
      <c r="F88" s="3956"/>
      <c r="G88" s="3956"/>
      <c r="H88" s="3956"/>
      <c r="I88" s="3956"/>
      <c r="J88" s="3956"/>
      <c r="K88" s="3956"/>
      <c r="L88" s="3959" t="s">
        <v>116</v>
      </c>
      <c r="M88" s="3959"/>
      <c r="N88" s="3974">
        <v>50</v>
      </c>
      <c r="O88" s="3976" t="s">
        <v>144</v>
      </c>
      <c r="P88" s="356"/>
      <c r="Q88" s="3543"/>
      <c r="R88" s="3544"/>
      <c r="S88" s="3545"/>
      <c r="T88" s="356"/>
      <c r="U88" s="356"/>
      <c r="V88" s="356"/>
      <c r="W88" s="356"/>
      <c r="X88" s="356"/>
      <c r="Y88" s="356"/>
      <c r="Z88" s="356"/>
      <c r="AA88" s="3348">
        <f>IF(ISBLANK(AB88),"",LARGE(AA72:AA87,1)+1)</f>
        <v>12</v>
      </c>
      <c r="AB88" s="395" t="s">
        <v>6641</v>
      </c>
      <c r="AC88" s="3229"/>
      <c r="AD88" s="395"/>
      <c r="AE88" s="395"/>
      <c r="AF88" s="395"/>
      <c r="AG88" s="395"/>
      <c r="AH88" s="3228">
        <f>IF(ISBLANK(AI88),"",LARGE(AH72:AH87,1)+1)</f>
        <v>30</v>
      </c>
      <c r="AI88" s="395" t="s">
        <v>6640</v>
      </c>
      <c r="AJ88" s="395"/>
      <c r="AK88" s="395"/>
      <c r="AL88" s="395"/>
      <c r="AM88" s="395"/>
      <c r="AN88" s="395"/>
      <c r="AO88" s="407"/>
      <c r="AP88" s="356"/>
      <c r="AQ88" s="378"/>
      <c r="AR88" s="378"/>
      <c r="AS88" s="378"/>
      <c r="AT88" s="378"/>
      <c r="AU88" s="378"/>
      <c r="AV88" s="378"/>
      <c r="AW88" s="378"/>
      <c r="AX88" s="378"/>
      <c r="AY88" s="378"/>
      <c r="AZ88" s="378"/>
      <c r="BA88" s="378"/>
      <c r="BB88" s="378"/>
      <c r="BC88" s="378"/>
      <c r="BD88" s="378"/>
      <c r="BE88" s="3583" t="s">
        <v>171</v>
      </c>
      <c r="BF88" s="3584"/>
      <c r="BG88" s="3585"/>
      <c r="BH88" s="378"/>
      <c r="BI88" s="378"/>
      <c r="BJ88" s="378"/>
      <c r="BK88" s="378"/>
      <c r="BL88" s="378"/>
      <c r="BM88" s="381">
        <v>15.75</v>
      </c>
    </row>
    <row r="89" spans="1:65" ht="15.75" customHeight="1">
      <c r="A89" s="8"/>
      <c r="B89" s="4040"/>
      <c r="C89" s="4041"/>
      <c r="D89" s="4041"/>
      <c r="E89" s="4041"/>
      <c r="F89" s="4041"/>
      <c r="G89" s="4041"/>
      <c r="H89" s="4041"/>
      <c r="I89" s="4041"/>
      <c r="J89" s="4041"/>
      <c r="K89" s="4041"/>
      <c r="L89" s="4042"/>
      <c r="M89" s="4042"/>
      <c r="N89" s="4053"/>
      <c r="O89" s="4054"/>
      <c r="P89" s="356"/>
      <c r="Q89" s="3543"/>
      <c r="R89" s="3544"/>
      <c r="S89" s="3545"/>
      <c r="T89" s="356"/>
      <c r="U89" s="356"/>
      <c r="V89" s="356"/>
      <c r="W89" s="356"/>
      <c r="X89" s="356"/>
      <c r="Y89" s="356"/>
      <c r="Z89" s="356"/>
      <c r="AA89" s="3348">
        <f>IF(ISBLANK(AB89),"",LARGE(AA72:AA88,1)+1)</f>
        <v>13</v>
      </c>
      <c r="AB89" s="395" t="s">
        <v>6639</v>
      </c>
      <c r="AC89" s="395"/>
      <c r="AD89" s="395"/>
      <c r="AE89" s="395"/>
      <c r="AF89" s="395"/>
      <c r="AG89" s="395"/>
      <c r="AH89" s="3228">
        <f>IF(ISBLANK(AI89),"",LARGE(AH72:AH88,1)+1)</f>
        <v>31</v>
      </c>
      <c r="AI89" s="395" t="s">
        <v>6638</v>
      </c>
      <c r="AJ89" s="395"/>
      <c r="AK89" s="395"/>
      <c r="AL89" s="395"/>
      <c r="AM89" s="395"/>
      <c r="AN89" s="395"/>
      <c r="AO89" s="407"/>
      <c r="AP89" s="356"/>
      <c r="AQ89" s="378"/>
      <c r="AR89" s="378"/>
      <c r="AS89" s="378"/>
      <c r="AT89" s="378"/>
      <c r="AU89" s="378"/>
      <c r="AV89" s="378"/>
      <c r="AW89" s="378"/>
      <c r="AX89" s="378"/>
      <c r="AY89" s="378"/>
      <c r="AZ89" s="378"/>
      <c r="BA89" s="378"/>
      <c r="BB89" s="378"/>
      <c r="BC89" s="378"/>
      <c r="BD89" s="378"/>
      <c r="BE89" s="3586"/>
      <c r="BF89" s="3951"/>
      <c r="BG89" s="3588"/>
      <c r="BH89" s="378"/>
      <c r="BI89" s="378"/>
      <c r="BJ89" s="378"/>
      <c r="BK89" s="378"/>
      <c r="BL89" s="378"/>
      <c r="BM89" s="381">
        <v>15.75</v>
      </c>
    </row>
    <row r="90" spans="1:65" ht="15.75" customHeight="1" thickBot="1">
      <c r="A90" s="384"/>
      <c r="B90" s="3186" t="s">
        <v>119</v>
      </c>
      <c r="C90" s="3209"/>
      <c r="D90" s="3209"/>
      <c r="E90" s="3185"/>
      <c r="F90" s="3184"/>
      <c r="G90" s="3183"/>
      <c r="H90" s="3209"/>
      <c r="I90" s="3209"/>
      <c r="J90" s="3182" t="s">
        <v>120</v>
      </c>
      <c r="K90" s="3209"/>
      <c r="L90" s="3181"/>
      <c r="M90" s="3181" t="s">
        <v>121</v>
      </c>
      <c r="N90" s="3208">
        <f>N88</f>
        <v>50</v>
      </c>
      <c r="O90" s="3207" t="str">
        <f>O88</f>
        <v>Morceaux</v>
      </c>
      <c r="P90" s="356"/>
      <c r="Q90" s="3543"/>
      <c r="R90" s="3544"/>
      <c r="S90" s="3545"/>
      <c r="T90" s="356"/>
      <c r="U90" s="356"/>
      <c r="V90" s="356"/>
      <c r="W90" s="356"/>
      <c r="X90" s="356"/>
      <c r="Y90" s="356"/>
      <c r="Z90" s="356"/>
      <c r="AA90" s="3348">
        <f>IF(ISBLANK(AB90),"",LARGE(AA72:AA89,1)+1)</f>
        <v>14</v>
      </c>
      <c r="AB90" s="395" t="s">
        <v>6637</v>
      </c>
      <c r="AC90" s="395"/>
      <c r="AD90" s="395"/>
      <c r="AE90" s="395"/>
      <c r="AF90" s="395"/>
      <c r="AG90" s="395"/>
      <c r="AH90" s="3228">
        <f>IF(ISBLANK(AI90),"",LARGE(AH72:AH89,1)+1)</f>
        <v>32</v>
      </c>
      <c r="AI90" s="395" t="s">
        <v>6636</v>
      </c>
      <c r="AJ90" s="395"/>
      <c r="AK90" s="395"/>
      <c r="AL90" s="395"/>
      <c r="AM90" s="395"/>
      <c r="AN90" s="395"/>
      <c r="AO90" s="407"/>
      <c r="AP90" s="356"/>
      <c r="AQ90" s="378"/>
      <c r="AR90" s="378"/>
      <c r="AS90" s="378"/>
      <c r="AT90" s="378"/>
      <c r="AU90" s="378"/>
      <c r="AV90" s="378"/>
      <c r="AW90" s="378"/>
      <c r="AX90" s="378"/>
      <c r="AY90" s="378"/>
      <c r="AZ90" s="378"/>
      <c r="BA90" s="378"/>
      <c r="BB90" s="378"/>
      <c r="BC90" s="378"/>
      <c r="BD90" s="378"/>
      <c r="BE90" s="3293">
        <f ca="1">CELL("largeur",BE90)</f>
        <v>12</v>
      </c>
      <c r="BF90" s="3292">
        <f ca="1">CELL("largeur",BF90)</f>
        <v>12</v>
      </c>
      <c r="BG90" s="3291">
        <f ca="1">CELL("largeur",BG90)</f>
        <v>12</v>
      </c>
      <c r="BH90" s="378"/>
      <c r="BI90" s="378"/>
      <c r="BJ90" s="378"/>
      <c r="BK90" s="378"/>
      <c r="BL90" s="378"/>
      <c r="BM90" s="381">
        <v>15.75</v>
      </c>
    </row>
    <row r="91" spans="1:65" ht="15.75" customHeight="1">
      <c r="A91" s="384"/>
      <c r="B91" s="4045">
        <f>SUM(C94:C99)</f>
        <v>572</v>
      </c>
      <c r="C91" s="3563" t="str">
        <f>O88</f>
        <v>Morceaux</v>
      </c>
      <c r="D91" s="3575">
        <f>SUM(E94:E99)</f>
        <v>572</v>
      </c>
      <c r="E91" s="3597">
        <f>IF(D91=0,0,INT(D91/N88))</f>
        <v>11</v>
      </c>
      <c r="F91" s="3597"/>
      <c r="G91" s="3599">
        <f>D91-(E91*N88)</f>
        <v>22</v>
      </c>
      <c r="H91" s="3581" t="str">
        <f>IF(G91=0,0,O88)</f>
        <v>Morceaux</v>
      </c>
      <c r="I91" s="3581"/>
      <c r="J91" s="382"/>
      <c r="K91" s="382"/>
      <c r="L91" s="3597">
        <f>IF(G91=0,0,E91+1)</f>
        <v>12</v>
      </c>
      <c r="M91" s="3597"/>
      <c r="N91" s="3599">
        <f>IF(G91=0,0,D91-(L91*N88))</f>
        <v>-28</v>
      </c>
      <c r="O91" s="3557" t="str">
        <f>IF(N91=0,0,O88)</f>
        <v>Morceaux</v>
      </c>
      <c r="P91" s="356"/>
      <c r="Q91" s="3543"/>
      <c r="R91" s="3544"/>
      <c r="S91" s="3545"/>
      <c r="T91" s="356"/>
      <c r="U91" s="356"/>
      <c r="V91" s="356"/>
      <c r="W91" s="356"/>
      <c r="X91" s="356"/>
      <c r="Y91" s="356"/>
      <c r="Z91" s="356"/>
      <c r="AA91" s="3348" t="str">
        <f>IF(ISBLANK(AB91),"",LARGE(AA72:AA90,1)+1)</f>
        <v/>
      </c>
      <c r="AB91" s="395"/>
      <c r="AC91" s="3229" t="s">
        <v>6635</v>
      </c>
      <c r="AD91" s="395"/>
      <c r="AE91" s="395"/>
      <c r="AF91" s="395"/>
      <c r="AG91" s="395"/>
      <c r="AH91" s="3228">
        <f>IF(ISBLANK(AI91),"",LARGE(AH72:AH90,1)+1)</f>
        <v>33</v>
      </c>
      <c r="AI91" s="395" t="s">
        <v>6634</v>
      </c>
      <c r="AJ91" s="395"/>
      <c r="AK91" s="395"/>
      <c r="AL91" s="395"/>
      <c r="AM91" s="395"/>
      <c r="AN91" s="395"/>
      <c r="AO91" s="407"/>
      <c r="AP91" s="356"/>
      <c r="AQ91" s="378"/>
      <c r="AR91" s="378"/>
      <c r="AS91" s="378"/>
      <c r="AT91" s="378"/>
      <c r="AU91" s="378"/>
      <c r="AV91" s="378"/>
      <c r="AW91" s="378"/>
      <c r="AX91" s="378"/>
      <c r="AY91" s="378"/>
      <c r="AZ91" s="378"/>
      <c r="BA91" s="378"/>
      <c r="BB91" s="378"/>
      <c r="BC91" s="378"/>
      <c r="BD91" s="378"/>
      <c r="BE91" s="378"/>
      <c r="BF91" s="378"/>
      <c r="BG91" s="378"/>
      <c r="BH91" s="378"/>
      <c r="BI91" s="378"/>
      <c r="BJ91" s="378"/>
      <c r="BK91" s="378"/>
      <c r="BL91" s="378"/>
      <c r="BM91" s="381">
        <v>15.75</v>
      </c>
    </row>
    <row r="92" spans="1:65" ht="15.75" customHeight="1">
      <c r="A92" s="384"/>
      <c r="B92" s="4046"/>
      <c r="C92" s="4047"/>
      <c r="D92" s="4055"/>
      <c r="E92" s="4049"/>
      <c r="F92" s="4049"/>
      <c r="G92" s="4050"/>
      <c r="H92" s="4051"/>
      <c r="I92" s="4051"/>
      <c r="J92" s="3353"/>
      <c r="K92" s="3353"/>
      <c r="L92" s="4049"/>
      <c r="M92" s="4049"/>
      <c r="N92" s="4050"/>
      <c r="O92" s="4052"/>
      <c r="P92" s="356"/>
      <c r="Q92" s="413"/>
      <c r="R92" s="412"/>
      <c r="S92" s="411"/>
      <c r="T92" s="356"/>
      <c r="U92" s="356"/>
      <c r="V92" s="356"/>
      <c r="W92" s="356"/>
      <c r="X92" s="356"/>
      <c r="Y92" s="356"/>
      <c r="Z92" s="356"/>
      <c r="AA92" s="3348">
        <f>IF(ISBLANK(AB92),"",LARGE(AA72:AA91,1)+1)</f>
        <v>15</v>
      </c>
      <c r="AB92" s="395" t="s">
        <v>6633</v>
      </c>
      <c r="AC92" s="395"/>
      <c r="AD92" s="395"/>
      <c r="AE92" s="395"/>
      <c r="AF92" s="395"/>
      <c r="AG92" s="395"/>
      <c r="AH92" s="3228">
        <f>IF(ISBLANK(AI92),"",LARGE(AH72:AH91,1)+1)</f>
        <v>34</v>
      </c>
      <c r="AI92" s="395" t="s">
        <v>6632</v>
      </c>
      <c r="AJ92" s="395"/>
      <c r="AK92" s="395"/>
      <c r="AL92" s="395"/>
      <c r="AM92" s="395"/>
      <c r="AN92" s="395"/>
      <c r="AO92" s="407"/>
      <c r="AP92" s="356"/>
      <c r="AQ92" s="378"/>
      <c r="AR92" s="378"/>
      <c r="AS92" s="378"/>
      <c r="AT92" s="378"/>
      <c r="AU92" s="378"/>
      <c r="AV92" s="378"/>
      <c r="AW92" s="378"/>
      <c r="AX92" s="378"/>
      <c r="AY92" s="378"/>
      <c r="AZ92" s="378"/>
      <c r="BA92" s="378"/>
      <c r="BB92" s="378"/>
      <c r="BC92" s="378"/>
      <c r="BD92" s="378"/>
      <c r="BE92" s="378"/>
      <c r="BF92" s="378"/>
      <c r="BG92" s="378"/>
      <c r="BH92" s="378"/>
      <c r="BI92" s="378"/>
      <c r="BJ92" s="378"/>
      <c r="BK92" s="378"/>
      <c r="BL92" s="378"/>
      <c r="BM92" s="381">
        <v>15.75</v>
      </c>
    </row>
    <row r="93" spans="1:65" ht="15.75" customHeight="1">
      <c r="A93" s="384"/>
      <c r="B93" s="3352"/>
      <c r="C93" s="278" t="s">
        <v>124</v>
      </c>
      <c r="D93" s="335" t="s">
        <v>146</v>
      </c>
      <c r="E93" s="382"/>
      <c r="F93" s="279"/>
      <c r="G93" s="280"/>
      <c r="H93" s="282"/>
      <c r="I93" s="282"/>
      <c r="J93" s="282"/>
      <c r="K93" s="410" t="s">
        <v>126</v>
      </c>
      <c r="L93" s="3205"/>
      <c r="M93" s="3205"/>
      <c r="N93" s="3205"/>
      <c r="O93" s="3204"/>
      <c r="P93" s="356"/>
      <c r="Q93" s="3543" t="s">
        <v>143</v>
      </c>
      <c r="R93" s="3544"/>
      <c r="S93" s="3545"/>
      <c r="T93" s="356"/>
      <c r="U93" s="356"/>
      <c r="V93" s="356"/>
      <c r="W93" s="356"/>
      <c r="X93" s="356"/>
      <c r="Y93" s="356"/>
      <c r="Z93" s="356"/>
      <c r="AA93" s="3348">
        <f>IF(ISBLANK(AB93),"",LARGE(AA72:AA92,1)+1)</f>
        <v>16</v>
      </c>
      <c r="AB93" s="395" t="s">
        <v>6631</v>
      </c>
      <c r="AC93" s="395"/>
      <c r="AD93" s="395"/>
      <c r="AE93" s="395"/>
      <c r="AF93" s="395"/>
      <c r="AG93" s="395"/>
      <c r="AH93" s="3228" t="str">
        <f>IF(ISBLANK(AI93),"",LARGE(AH72:AH92,1)+1)</f>
        <v/>
      </c>
      <c r="AI93" s="395"/>
      <c r="AJ93" s="395" t="s">
        <v>6630</v>
      </c>
      <c r="AK93" s="395"/>
      <c r="AL93" s="395"/>
      <c r="AM93" s="395"/>
      <c r="AN93" s="395"/>
      <c r="AO93" s="407"/>
      <c r="AP93" s="356"/>
      <c r="AQ93" s="378"/>
      <c r="AR93" s="378"/>
      <c r="AS93" s="378"/>
      <c r="AT93" s="378"/>
      <c r="AU93" s="378"/>
      <c r="AV93" s="378"/>
      <c r="AW93" s="378"/>
      <c r="AX93" s="378"/>
      <c r="AY93" s="378"/>
      <c r="AZ93" s="378"/>
      <c r="BA93" s="378"/>
      <c r="BB93" s="378"/>
      <c r="BC93" s="378"/>
      <c r="BD93" s="378"/>
      <c r="BE93" s="378"/>
      <c r="BF93" s="378"/>
      <c r="BG93" s="378"/>
      <c r="BH93" s="378"/>
      <c r="BI93" s="378"/>
      <c r="BJ93" s="378"/>
      <c r="BK93" s="378"/>
      <c r="BL93" s="378"/>
      <c r="BM93" s="381">
        <v>15.75</v>
      </c>
    </row>
    <row r="94" spans="1:65" ht="15.75" customHeight="1">
      <c r="A94" s="384"/>
      <c r="B94" s="3351" t="s">
        <v>128</v>
      </c>
      <c r="C94" s="285">
        <f t="shared" ref="C94:C99" si="34">AU7</f>
        <v>100</v>
      </c>
      <c r="D94" s="406">
        <v>1</v>
      </c>
      <c r="E94" s="338">
        <f t="shared" ref="E94:E99" si="35">C94*D94</f>
        <v>100</v>
      </c>
      <c r="F94" s="405" t="str">
        <f>O88</f>
        <v>Morceaux</v>
      </c>
      <c r="G94" s="3552">
        <f>IF(E94=0,0,INT(E94/N88))</f>
        <v>2</v>
      </c>
      <c r="H94" s="3552"/>
      <c r="I94" s="404">
        <f>E94-(G94*N88)</f>
        <v>0</v>
      </c>
      <c r="J94" s="342">
        <f>IF(I94=0,0,O88)</f>
        <v>0</v>
      </c>
      <c r="K94" s="382"/>
      <c r="L94" s="291">
        <f t="shared" ref="L94:L99" si="36">IF(I94=0,0,G94+1)</f>
        <v>0</v>
      </c>
      <c r="M94" s="403">
        <f>IF(I94=0,0,E94-(L94*N88))</f>
        <v>0</v>
      </c>
      <c r="N94" s="402">
        <f>IF(M94=0,0,O88)</f>
        <v>0</v>
      </c>
      <c r="O94" s="400"/>
      <c r="P94" s="356"/>
      <c r="Q94" s="3543"/>
      <c r="R94" s="3544"/>
      <c r="S94" s="3545"/>
      <c r="T94" s="356"/>
      <c r="U94" s="356"/>
      <c r="V94" s="356"/>
      <c r="W94" s="356"/>
      <c r="X94" s="356"/>
      <c r="Y94" s="356"/>
      <c r="Z94" s="356"/>
      <c r="AA94" s="3348" t="str">
        <f>IF(ISBLANK(AB94),"",LARGE(AA72:AA93,1)+1)</f>
        <v/>
      </c>
      <c r="AB94" s="395"/>
      <c r="AC94" s="395" t="s">
        <v>6629</v>
      </c>
      <c r="AD94" s="395"/>
      <c r="AE94" s="395"/>
      <c r="AF94" s="395"/>
      <c r="AG94" s="395"/>
      <c r="AH94" s="3228" t="str">
        <f>IF(ISBLANK(AI94),"",LARGE(AH72:AH93,1)+1)</f>
        <v/>
      </c>
      <c r="AI94" s="395"/>
      <c r="AJ94" s="3229" t="s">
        <v>1551</v>
      </c>
      <c r="AK94" s="395"/>
      <c r="AL94" s="395"/>
      <c r="AM94" s="395"/>
      <c r="AN94" s="395"/>
      <c r="AO94" s="407"/>
      <c r="AP94" s="356"/>
      <c r="AQ94" s="378"/>
      <c r="AR94" s="378"/>
      <c r="AS94" s="378"/>
      <c r="AT94" s="378"/>
      <c r="AU94" s="378"/>
      <c r="AV94" s="378"/>
      <c r="AW94" s="378"/>
      <c r="AX94" s="378"/>
      <c r="AY94" s="378"/>
      <c r="AZ94" s="378"/>
      <c r="BA94" s="378"/>
      <c r="BB94" s="378"/>
      <c r="BC94" s="378"/>
      <c r="BD94" s="378"/>
      <c r="BE94" s="378"/>
      <c r="BF94" s="378"/>
      <c r="BG94" s="378"/>
      <c r="BH94" s="378"/>
      <c r="BI94" s="378"/>
      <c r="BJ94" s="378"/>
      <c r="BK94" s="378"/>
      <c r="BL94" s="378"/>
      <c r="BM94" s="381">
        <v>15.75</v>
      </c>
    </row>
    <row r="95" spans="1:65" ht="15.75" customHeight="1">
      <c r="A95" s="384"/>
      <c r="B95" s="3350" t="s">
        <v>129</v>
      </c>
      <c r="C95" s="285">
        <f t="shared" si="34"/>
        <v>260</v>
      </c>
      <c r="D95" s="406">
        <v>1</v>
      </c>
      <c r="E95" s="338">
        <f t="shared" si="35"/>
        <v>260</v>
      </c>
      <c r="F95" s="405" t="str">
        <f>O88</f>
        <v>Morceaux</v>
      </c>
      <c r="G95" s="3552">
        <f>IF(E95=0,0,INT(E95/N88))</f>
        <v>5</v>
      </c>
      <c r="H95" s="3552"/>
      <c r="I95" s="404">
        <f>E95-(G95*N88)</f>
        <v>10</v>
      </c>
      <c r="J95" s="342" t="str">
        <f>IF(I95=0,0,O88)</f>
        <v>Morceaux</v>
      </c>
      <c r="K95" s="382"/>
      <c r="L95" s="291">
        <f t="shared" si="36"/>
        <v>6</v>
      </c>
      <c r="M95" s="403">
        <f>IF(I95=0,0,E95-(L95*N88))</f>
        <v>-40</v>
      </c>
      <c r="N95" s="402" t="str">
        <f>IF(M95=0,0,O88)</f>
        <v>Morceaux</v>
      </c>
      <c r="O95" s="400"/>
      <c r="P95" s="356"/>
      <c r="Q95" s="3543"/>
      <c r="R95" s="3544"/>
      <c r="S95" s="3545"/>
      <c r="T95" s="356"/>
      <c r="U95" s="356"/>
      <c r="V95" s="356"/>
      <c r="W95" s="356"/>
      <c r="X95" s="356"/>
      <c r="Y95" s="356"/>
      <c r="Z95" s="356"/>
      <c r="AA95" s="3348">
        <f>IF(ISBLANK(AB95),"",LARGE(AA72:AA94,1)+1)</f>
        <v>17</v>
      </c>
      <c r="AB95" s="395" t="s">
        <v>6628</v>
      </c>
      <c r="AC95" s="395"/>
      <c r="AD95" s="395"/>
      <c r="AE95" s="395"/>
      <c r="AF95" s="395"/>
      <c r="AG95" s="395"/>
      <c r="AH95" s="3228">
        <f>IF(ISBLANK(AI95),"",LARGE(AH72:AH94,1)+1)</f>
        <v>35</v>
      </c>
      <c r="AI95" s="395" t="s">
        <v>6627</v>
      </c>
      <c r="AJ95" s="395"/>
      <c r="AK95" s="395"/>
      <c r="AL95" s="395"/>
      <c r="AM95" s="395"/>
      <c r="AN95" s="395"/>
      <c r="AO95" s="407"/>
      <c r="AP95" s="356"/>
      <c r="AQ95" s="378"/>
      <c r="AR95" s="378"/>
      <c r="AS95" s="378"/>
      <c r="AT95" s="378"/>
      <c r="AU95" s="378"/>
      <c r="AV95" s="378"/>
      <c r="AW95" s="378"/>
      <c r="AX95" s="378"/>
      <c r="AY95" s="378"/>
      <c r="AZ95" s="378"/>
      <c r="BA95" s="378"/>
      <c r="BB95" s="378"/>
      <c r="BC95" s="378"/>
      <c r="BD95" s="378"/>
      <c r="BE95" s="378"/>
      <c r="BF95" s="378"/>
      <c r="BG95" s="378"/>
      <c r="BH95" s="378"/>
      <c r="BI95" s="378"/>
      <c r="BJ95" s="378"/>
      <c r="BK95" s="378"/>
      <c r="BL95" s="378"/>
      <c r="BM95" s="381">
        <v>15.75</v>
      </c>
    </row>
    <row r="96" spans="1:65" ht="15.75" customHeight="1">
      <c r="A96" s="384"/>
      <c r="B96" s="3349" t="s">
        <v>28</v>
      </c>
      <c r="C96" s="285">
        <f t="shared" si="34"/>
        <v>120</v>
      </c>
      <c r="D96" s="406">
        <v>1</v>
      </c>
      <c r="E96" s="338">
        <f t="shared" si="35"/>
        <v>120</v>
      </c>
      <c r="F96" s="405" t="str">
        <f>O88</f>
        <v>Morceaux</v>
      </c>
      <c r="G96" s="3552">
        <f>IF(E96=0,0,INT(E96/N88))</f>
        <v>2</v>
      </c>
      <c r="H96" s="3552"/>
      <c r="I96" s="404">
        <f>E96-(G96*N88)</f>
        <v>20</v>
      </c>
      <c r="J96" s="342" t="str">
        <f>IF(I96=0,0,O88)</f>
        <v>Morceaux</v>
      </c>
      <c r="K96" s="382"/>
      <c r="L96" s="291">
        <f t="shared" si="36"/>
        <v>3</v>
      </c>
      <c r="M96" s="403">
        <f>IF(I96=0,0,E96-(L96*N88))</f>
        <v>-30</v>
      </c>
      <c r="N96" s="402" t="str">
        <f>IF(M96=0,0,O88)</f>
        <v>Morceaux</v>
      </c>
      <c r="O96" s="400"/>
      <c r="P96" s="356"/>
      <c r="Q96" s="3543"/>
      <c r="R96" s="3544"/>
      <c r="S96" s="3545"/>
      <c r="T96" s="356"/>
      <c r="U96" s="356"/>
      <c r="V96" s="356"/>
      <c r="W96" s="356"/>
      <c r="X96" s="356"/>
      <c r="Y96" s="356"/>
      <c r="Z96" s="356"/>
      <c r="AA96" s="3348">
        <f>IF(ISBLANK(AB96),"",LARGE(AA72:AA95,1)+1)</f>
        <v>18</v>
      </c>
      <c r="AB96" s="395" t="s">
        <v>6626</v>
      </c>
      <c r="AC96" s="395"/>
      <c r="AD96" s="395"/>
      <c r="AE96" s="395"/>
      <c r="AF96" s="395"/>
      <c r="AG96" s="395"/>
      <c r="AH96" s="3228" t="str">
        <f>IF(ISBLANK(AI96),"",LARGE(AH72:AH95,1)+1)</f>
        <v/>
      </c>
      <c r="AI96" s="395"/>
      <c r="AJ96" s="395" t="s">
        <v>6625</v>
      </c>
      <c r="AK96" s="395"/>
      <c r="AL96" s="395"/>
      <c r="AM96" s="395"/>
      <c r="AN96" s="395"/>
      <c r="AO96" s="407"/>
      <c r="AP96" s="356"/>
      <c r="AQ96" s="378"/>
      <c r="AR96" s="378"/>
      <c r="AS96" s="378"/>
      <c r="AT96" s="378"/>
      <c r="AU96" s="378"/>
      <c r="AV96" s="378"/>
      <c r="AW96" s="378"/>
      <c r="AX96" s="378"/>
      <c r="AY96" s="378"/>
      <c r="AZ96" s="378"/>
      <c r="BA96" s="378"/>
      <c r="BB96" s="378"/>
      <c r="BC96" s="378"/>
      <c r="BD96" s="378"/>
      <c r="BE96" s="378"/>
      <c r="BF96" s="378"/>
      <c r="BG96" s="378"/>
      <c r="BH96" s="378"/>
      <c r="BI96" s="378"/>
      <c r="BJ96" s="378"/>
      <c r="BK96" s="378"/>
      <c r="BL96" s="378"/>
      <c r="BM96" s="381">
        <v>15.75</v>
      </c>
    </row>
    <row r="97" spans="1:65" ht="15.75" customHeight="1">
      <c r="A97" s="384"/>
      <c r="B97" s="3349" t="s">
        <v>136</v>
      </c>
      <c r="C97" s="285">
        <f t="shared" si="34"/>
        <v>60</v>
      </c>
      <c r="D97" s="406">
        <v>1</v>
      </c>
      <c r="E97" s="338">
        <f t="shared" si="35"/>
        <v>60</v>
      </c>
      <c r="F97" s="405" t="str">
        <f>O88</f>
        <v>Morceaux</v>
      </c>
      <c r="G97" s="3552">
        <f>IF(E97=0,0,INT(E97/N88))</f>
        <v>1</v>
      </c>
      <c r="H97" s="3552"/>
      <c r="I97" s="404">
        <f>E97-(G97*N88)</f>
        <v>10</v>
      </c>
      <c r="J97" s="342" t="str">
        <f>IF(I97=0,0,O88)</f>
        <v>Morceaux</v>
      </c>
      <c r="K97" s="382"/>
      <c r="L97" s="291">
        <f t="shared" si="36"/>
        <v>2</v>
      </c>
      <c r="M97" s="403">
        <f>IF(I97=0,0,E97-(L97*N88))</f>
        <v>-40</v>
      </c>
      <c r="N97" s="402" t="str">
        <f>IF(M97=0,0,O88)</f>
        <v>Morceaux</v>
      </c>
      <c r="O97" s="400"/>
      <c r="P97" s="356"/>
      <c r="Q97" s="3543" t="s">
        <v>145</v>
      </c>
      <c r="R97" s="3544"/>
      <c r="S97" s="3545"/>
      <c r="T97" s="356"/>
      <c r="U97" s="356"/>
      <c r="V97" s="356"/>
      <c r="W97" s="356"/>
      <c r="X97" s="356"/>
      <c r="Y97" s="356"/>
      <c r="Z97" s="356"/>
      <c r="AA97" s="3348">
        <f>IF(ISBLANK(AB97),"",LARGE(AA72:AA96,1)+1)</f>
        <v>19</v>
      </c>
      <c r="AB97" s="395" t="s">
        <v>6624</v>
      </c>
      <c r="AC97" s="395"/>
      <c r="AD97" s="395"/>
      <c r="AE97" s="395"/>
      <c r="AF97" s="395"/>
      <c r="AG97" s="395"/>
      <c r="AH97" s="3228" t="str">
        <f>IF(ISBLANK(AI97),"",LARGE(AH72:AH96,1)+1)</f>
        <v/>
      </c>
      <c r="AI97" s="395"/>
      <c r="AJ97" s="3229" t="s">
        <v>6623</v>
      </c>
      <c r="AK97" s="395"/>
      <c r="AL97" s="395"/>
      <c r="AM97" s="395"/>
      <c r="AN97" s="395"/>
      <c r="AO97" s="407"/>
      <c r="AP97" s="356"/>
      <c r="AQ97" s="378"/>
      <c r="AR97" s="378"/>
      <c r="AS97" s="378"/>
      <c r="AT97" s="378"/>
      <c r="AU97" s="378"/>
      <c r="AV97" s="378"/>
      <c r="AW97" s="378"/>
      <c r="AX97" s="378"/>
      <c r="AY97" s="378"/>
      <c r="AZ97" s="378"/>
      <c r="BA97" s="378"/>
      <c r="BB97" s="378"/>
      <c r="BC97" s="378"/>
      <c r="BD97" s="378"/>
      <c r="BE97" s="378"/>
      <c r="BF97" s="378"/>
      <c r="BG97" s="378"/>
      <c r="BH97" s="378"/>
      <c r="BI97" s="378"/>
      <c r="BJ97" s="378"/>
      <c r="BK97" s="378"/>
      <c r="BL97" s="378"/>
      <c r="BM97" s="381">
        <v>15.75</v>
      </c>
    </row>
    <row r="98" spans="1:65" ht="15.75" customHeight="1">
      <c r="A98" s="384"/>
      <c r="B98" s="3349" t="s">
        <v>56</v>
      </c>
      <c r="C98" s="285">
        <f t="shared" si="34"/>
        <v>20</v>
      </c>
      <c r="D98" s="406">
        <v>1</v>
      </c>
      <c r="E98" s="338">
        <f t="shared" si="35"/>
        <v>20</v>
      </c>
      <c r="F98" s="405" t="str">
        <f>O88</f>
        <v>Morceaux</v>
      </c>
      <c r="G98" s="3552">
        <f>IF(E98=0,0,INT(E98/N88))</f>
        <v>0</v>
      </c>
      <c r="H98" s="3552"/>
      <c r="I98" s="404">
        <f>E98-(G98*N88)</f>
        <v>20</v>
      </c>
      <c r="J98" s="342" t="str">
        <f>IF(I98=0,0,O88)</f>
        <v>Morceaux</v>
      </c>
      <c r="K98" s="382"/>
      <c r="L98" s="291">
        <f t="shared" si="36"/>
        <v>1</v>
      </c>
      <c r="M98" s="403">
        <f>IF(I98=0,0,E98-(L98*N88))</f>
        <v>-30</v>
      </c>
      <c r="N98" s="402" t="str">
        <f>IF(M98=0,0,O88)</f>
        <v>Morceaux</v>
      </c>
      <c r="O98" s="400"/>
      <c r="P98" s="356"/>
      <c r="Q98" s="3543"/>
      <c r="R98" s="3544"/>
      <c r="S98" s="3923"/>
      <c r="T98" s="356"/>
      <c r="U98" s="356"/>
      <c r="V98" s="356"/>
      <c r="W98" s="356"/>
      <c r="X98" s="356"/>
      <c r="Y98" s="356"/>
      <c r="Z98" s="356"/>
      <c r="AA98" s="3348">
        <f>IF(ISBLANK(AB98),"",LARGE(AA72:AA97,1)+1)</f>
        <v>20</v>
      </c>
      <c r="AB98" s="395" t="s">
        <v>6622</v>
      </c>
      <c r="AC98" s="395"/>
      <c r="AD98" s="395"/>
      <c r="AE98" s="395"/>
      <c r="AF98" s="395"/>
      <c r="AG98" s="395"/>
      <c r="AH98" s="3228" t="str">
        <f>IF(ISBLANK(AI98),"",LARGE(AH72:AH97,1)+1)</f>
        <v/>
      </c>
      <c r="AI98" s="395"/>
      <c r="AJ98" s="395" t="s">
        <v>6621</v>
      </c>
      <c r="AK98" s="395"/>
      <c r="AL98" s="395"/>
      <c r="AM98" s="395"/>
      <c r="AN98" s="395"/>
      <c r="AO98" s="394"/>
      <c r="AP98" s="356"/>
      <c r="AQ98" s="378"/>
      <c r="AR98" s="378"/>
      <c r="AS98" s="378"/>
      <c r="AT98" s="378"/>
      <c r="AU98" s="378"/>
      <c r="AV98" s="378"/>
      <c r="AW98" s="378"/>
      <c r="AX98" s="378"/>
      <c r="AY98" s="378"/>
      <c r="AZ98" s="378"/>
      <c r="BA98" s="378"/>
      <c r="BB98" s="378"/>
      <c r="BC98" s="378"/>
      <c r="BD98" s="378"/>
      <c r="BE98" s="378"/>
      <c r="BF98" s="378"/>
      <c r="BG98" s="378"/>
      <c r="BH98" s="378"/>
      <c r="BI98" s="378"/>
      <c r="BJ98" s="378"/>
      <c r="BK98" s="378"/>
      <c r="BL98" s="378"/>
      <c r="BM98" s="381">
        <v>15.75</v>
      </c>
    </row>
    <row r="99" spans="1:65" ht="15.75" customHeight="1" thickBot="1">
      <c r="A99" s="378"/>
      <c r="B99" s="3349" t="s">
        <v>57</v>
      </c>
      <c r="C99" s="285">
        <f t="shared" si="34"/>
        <v>12</v>
      </c>
      <c r="D99" s="406">
        <v>1</v>
      </c>
      <c r="E99" s="338">
        <f t="shared" si="35"/>
        <v>12</v>
      </c>
      <c r="F99" s="405" t="str">
        <f>O88</f>
        <v>Morceaux</v>
      </c>
      <c r="G99" s="3552">
        <f>IF(E99=0,0,INT(E99/N88))</f>
        <v>0</v>
      </c>
      <c r="H99" s="3552"/>
      <c r="I99" s="404">
        <f>E99-(G99*N88)</f>
        <v>12</v>
      </c>
      <c r="J99" s="342" t="str">
        <f>IF(I99=0,0,O88)</f>
        <v>Morceaux</v>
      </c>
      <c r="K99" s="382"/>
      <c r="L99" s="291">
        <f t="shared" si="36"/>
        <v>1</v>
      </c>
      <c r="M99" s="403">
        <f>IF(I99=0,0,E99-(L99*N88))</f>
        <v>-38</v>
      </c>
      <c r="N99" s="402" t="str">
        <f>IF(M99=0,0,O88)</f>
        <v>Morceaux</v>
      </c>
      <c r="O99" s="400"/>
      <c r="P99" s="356"/>
      <c r="Q99" s="3978"/>
      <c r="R99" s="3979"/>
      <c r="S99" s="3980"/>
      <c r="T99" s="356"/>
      <c r="U99" s="356"/>
      <c r="V99" s="356"/>
      <c r="W99" s="356"/>
      <c r="X99" s="356"/>
      <c r="Y99" s="356"/>
      <c r="Z99" s="356"/>
      <c r="AA99" s="3348">
        <f>IF(ISBLANK(AB99),"",LARGE(AA72:AA98,1)+1)</f>
        <v>21</v>
      </c>
      <c r="AB99" s="395" t="s">
        <v>6620</v>
      </c>
      <c r="AC99" s="395"/>
      <c r="AD99" s="395"/>
      <c r="AE99" s="395"/>
      <c r="AF99" s="395"/>
      <c r="AG99" s="395"/>
      <c r="AH99" s="3228" t="str">
        <f>IF(ISBLANK(AI99),"",LARGE(AH72:AH98,1)+1)</f>
        <v/>
      </c>
      <c r="AI99" s="395"/>
      <c r="AJ99" s="395" t="s">
        <v>6619</v>
      </c>
      <c r="AK99" s="395"/>
      <c r="AL99" s="395"/>
      <c r="AM99" s="395"/>
      <c r="AN99" s="395"/>
      <c r="AO99" s="394"/>
      <c r="AP99" s="378"/>
      <c r="AQ99" s="378"/>
      <c r="AR99" s="378"/>
      <c r="AS99" s="378"/>
      <c r="AT99" s="378"/>
      <c r="AU99" s="378"/>
      <c r="AV99" s="378"/>
      <c r="AW99" s="378"/>
      <c r="AX99" s="378"/>
      <c r="AY99" s="378"/>
      <c r="AZ99" s="378"/>
      <c r="BA99" s="378"/>
      <c r="BB99" s="378"/>
      <c r="BC99" s="378"/>
      <c r="BD99" s="378"/>
      <c r="BE99" s="378"/>
      <c r="BF99" s="378"/>
      <c r="BG99" s="378"/>
      <c r="BH99" s="378"/>
      <c r="BI99" s="378"/>
      <c r="BJ99" s="378"/>
      <c r="BK99" s="378"/>
      <c r="BL99" s="378"/>
      <c r="BM99" s="381">
        <v>15.75</v>
      </c>
    </row>
    <row r="100" spans="1:65" ht="15.75" customHeight="1">
      <c r="A100" s="378"/>
      <c r="B100" s="3347"/>
      <c r="C100" s="382"/>
      <c r="D100" s="382"/>
      <c r="E100" s="382"/>
      <c r="F100" s="382"/>
      <c r="G100" s="344" t="s">
        <v>139</v>
      </c>
      <c r="H100" s="344"/>
      <c r="I100" s="344"/>
      <c r="J100" s="344"/>
      <c r="K100" s="401"/>
      <c r="L100" s="344"/>
      <c r="M100" s="344"/>
      <c r="N100" s="344"/>
      <c r="O100" s="400"/>
      <c r="P100" s="356"/>
      <c r="Q100" s="356"/>
      <c r="R100" s="356"/>
      <c r="S100" s="356"/>
      <c r="T100" s="356"/>
      <c r="U100" s="356"/>
      <c r="V100" s="356"/>
      <c r="W100" s="356"/>
      <c r="X100" s="356"/>
      <c r="Y100" s="356"/>
      <c r="Z100" s="356"/>
      <c r="AA100" s="3348" t="str">
        <f>IF(ISBLANK(AB100),"",LARGE(AA72:AA99,1)+1)</f>
        <v/>
      </c>
      <c r="AB100" s="395"/>
      <c r="AC100" s="395"/>
      <c r="AD100" s="395"/>
      <c r="AE100" s="395"/>
      <c r="AF100" s="395"/>
      <c r="AG100" s="395"/>
      <c r="AH100" s="3228" t="str">
        <f>IF(ISBLANK(AI100),"",LARGE(AH72:AH99,1)+1)</f>
        <v/>
      </c>
      <c r="AI100" s="395"/>
      <c r="AJ100" s="395" t="s">
        <v>6618</v>
      </c>
      <c r="AK100" s="395"/>
      <c r="AL100" s="395"/>
      <c r="AM100" s="395"/>
      <c r="AN100" s="395"/>
      <c r="AO100" s="394"/>
      <c r="AP100" s="378"/>
      <c r="AQ100" s="378"/>
      <c r="AR100" s="378"/>
      <c r="AS100" s="378"/>
      <c r="AT100" s="378"/>
      <c r="AU100" s="378"/>
      <c r="AV100" s="378"/>
      <c r="AW100" s="378"/>
      <c r="AX100" s="378"/>
      <c r="AY100" s="378"/>
      <c r="AZ100" s="378"/>
      <c r="BA100" s="378"/>
      <c r="BB100" s="378"/>
      <c r="BC100" s="378"/>
      <c r="BD100" s="378"/>
      <c r="BE100" s="378"/>
      <c r="BF100" s="378"/>
      <c r="BG100" s="378"/>
      <c r="BH100" s="378"/>
      <c r="BI100" s="378"/>
      <c r="BJ100" s="378"/>
      <c r="BK100" s="378"/>
      <c r="BL100" s="378"/>
      <c r="BM100" s="381">
        <v>15.75</v>
      </c>
    </row>
    <row r="101" spans="1:65" ht="15.75" customHeight="1">
      <c r="A101" s="378"/>
      <c r="B101" s="3347"/>
      <c r="C101" s="382"/>
      <c r="D101" s="382"/>
      <c r="E101" s="382"/>
      <c r="F101" s="382"/>
      <c r="G101" s="3560">
        <f>IF(G102=0,0,INT(G102/N88))</f>
        <v>10</v>
      </c>
      <c r="H101" s="3560"/>
      <c r="I101" s="850" t="s">
        <v>140</v>
      </c>
      <c r="J101" s="398">
        <f>D91-G102</f>
        <v>72</v>
      </c>
      <c r="K101" s="397" t="str">
        <f>O88</f>
        <v>Morceaux</v>
      </c>
      <c r="L101" s="3554" t="s">
        <v>141</v>
      </c>
      <c r="M101" s="3554"/>
      <c r="N101" s="3555">
        <f>COUNTIF(I94:I99,"&gt;0")</f>
        <v>5</v>
      </c>
      <c r="O101" s="3549" t="s">
        <v>142</v>
      </c>
      <c r="P101" s="356"/>
      <c r="Q101" s="356"/>
      <c r="R101" s="356"/>
      <c r="S101" s="356"/>
      <c r="T101" s="356"/>
      <c r="U101" s="356"/>
      <c r="V101" s="356"/>
      <c r="W101" s="356"/>
      <c r="X101" s="356"/>
      <c r="Y101" s="356"/>
      <c r="Z101" s="356"/>
      <c r="AA101" s="3348" t="str">
        <f>IF(ISBLANK(AB101),"",LARGE(AA72:AA100,1)+1)</f>
        <v/>
      </c>
      <c r="AB101" s="395"/>
      <c r="AC101" s="395"/>
      <c r="AD101" s="395"/>
      <c r="AE101" s="395"/>
      <c r="AF101" s="395"/>
      <c r="AG101" s="395"/>
      <c r="AH101" s="396" t="str">
        <f>IF(ISBLANK(AI101),"",LARGE(AH72:AH100,1)+1)</f>
        <v/>
      </c>
      <c r="AI101" s="395"/>
      <c r="AJ101" s="395" t="s">
        <v>6617</v>
      </c>
      <c r="AK101" s="395"/>
      <c r="AL101" s="395"/>
      <c r="AM101" s="395"/>
      <c r="AN101" s="395"/>
      <c r="AO101" s="394"/>
      <c r="AP101" s="378"/>
      <c r="AQ101" s="378"/>
      <c r="AR101" s="378"/>
      <c r="AS101" s="378"/>
      <c r="AT101" s="378"/>
      <c r="AU101" s="378"/>
      <c r="AV101" s="378"/>
      <c r="AW101" s="378"/>
      <c r="AX101" s="378"/>
      <c r="AY101" s="378"/>
      <c r="AZ101" s="378"/>
      <c r="BA101" s="378"/>
      <c r="BB101" s="378"/>
      <c r="BC101" s="378"/>
      <c r="BD101" s="378"/>
      <c r="BE101" s="378"/>
      <c r="BF101" s="378"/>
      <c r="BG101" s="378"/>
      <c r="BH101" s="378"/>
      <c r="BI101" s="378"/>
      <c r="BJ101" s="378"/>
      <c r="BK101" s="378"/>
      <c r="BL101" s="378"/>
      <c r="BM101" s="381">
        <v>15.75</v>
      </c>
    </row>
    <row r="102" spans="1:65" ht="15.75" customHeight="1" thickBot="1">
      <c r="A102" s="378"/>
      <c r="B102" s="3347"/>
      <c r="C102" s="382"/>
      <c r="D102" s="382"/>
      <c r="E102" s="382"/>
      <c r="F102" s="382"/>
      <c r="G102" s="3924">
        <f>SUM(G94:H99)*N88</f>
        <v>500</v>
      </c>
      <c r="H102" s="3924"/>
      <c r="I102" s="391" t="str">
        <f>O88</f>
        <v>Morceaux</v>
      </c>
      <c r="J102" s="392">
        <f>G102+J101</f>
        <v>572</v>
      </c>
      <c r="K102" s="382"/>
      <c r="L102" s="3554"/>
      <c r="M102" s="3554"/>
      <c r="N102" s="3555"/>
      <c r="O102" s="3549"/>
      <c r="P102" s="356"/>
      <c r="Q102" s="356"/>
      <c r="R102" s="356"/>
      <c r="S102" s="356"/>
      <c r="T102" s="356"/>
      <c r="U102" s="356"/>
      <c r="V102" s="356"/>
      <c r="W102" s="356"/>
      <c r="X102" s="356"/>
      <c r="Y102" s="356"/>
      <c r="Z102" s="356"/>
      <c r="AA102" s="248">
        <v>11</v>
      </c>
      <c r="AB102" s="3346">
        <v>11</v>
      </c>
      <c r="AC102" s="3346">
        <v>11</v>
      </c>
      <c r="AD102" s="3346">
        <v>11</v>
      </c>
      <c r="AE102" s="3346">
        <v>11</v>
      </c>
      <c r="AF102" s="3346">
        <v>15</v>
      </c>
      <c r="AG102" s="3346">
        <v>15</v>
      </c>
      <c r="AH102" s="3346">
        <v>11</v>
      </c>
      <c r="AI102" s="3346">
        <v>11</v>
      </c>
      <c r="AJ102" s="3346">
        <v>11</v>
      </c>
      <c r="AK102" s="3346">
        <v>11</v>
      </c>
      <c r="AL102" s="3346">
        <v>11</v>
      </c>
      <c r="AM102" s="3346">
        <v>11</v>
      </c>
      <c r="AN102" s="3346">
        <v>11</v>
      </c>
      <c r="AO102" s="388">
        <v>7</v>
      </c>
      <c r="AP102" s="378"/>
      <c r="AQ102" s="378"/>
      <c r="AR102" s="378"/>
      <c r="AS102" s="378"/>
      <c r="AT102" s="378"/>
      <c r="AU102" s="378"/>
      <c r="AV102" s="378"/>
      <c r="AW102" s="378"/>
      <c r="AX102" s="378"/>
      <c r="AY102" s="378"/>
      <c r="AZ102" s="378"/>
      <c r="BA102" s="378"/>
      <c r="BB102" s="378"/>
      <c r="BC102" s="378"/>
      <c r="BD102" s="378"/>
      <c r="BE102" s="378"/>
      <c r="BF102" s="378"/>
      <c r="BG102" s="378"/>
      <c r="BH102" s="378"/>
      <c r="BI102" s="378"/>
      <c r="BJ102" s="378"/>
      <c r="BK102" s="378"/>
      <c r="BL102" s="378"/>
      <c r="BM102" s="381">
        <v>15.75</v>
      </c>
    </row>
    <row r="103" spans="1:65" ht="15.75" customHeight="1" thickBot="1">
      <c r="A103" s="384"/>
      <c r="B103" s="3200"/>
      <c r="C103" s="3197"/>
      <c r="D103" s="3197"/>
      <c r="E103" s="3197"/>
      <c r="F103" s="3197"/>
      <c r="G103" s="3197"/>
      <c r="H103" s="3197"/>
      <c r="I103" s="3197"/>
      <c r="J103" s="3197"/>
      <c r="K103" s="3197"/>
      <c r="L103" s="3197"/>
      <c r="M103" s="3197"/>
      <c r="N103" s="3197"/>
      <c r="O103" s="3196"/>
      <c r="P103" s="356"/>
      <c r="Q103" s="356"/>
      <c r="R103" s="356"/>
      <c r="S103" s="356"/>
      <c r="T103" s="356"/>
      <c r="U103" s="356"/>
      <c r="V103" s="356"/>
      <c r="W103" s="356"/>
      <c r="X103" s="356"/>
      <c r="Y103" s="356"/>
      <c r="Z103" s="356"/>
      <c r="AA103" s="3345">
        <v>11</v>
      </c>
      <c r="AB103" s="3345">
        <v>11</v>
      </c>
      <c r="AC103" s="3345">
        <v>11</v>
      </c>
      <c r="AD103" s="3345">
        <v>11</v>
      </c>
      <c r="AE103" s="3345">
        <v>11</v>
      </c>
      <c r="AF103" s="3345">
        <v>15</v>
      </c>
      <c r="AG103" s="3345">
        <v>15</v>
      </c>
      <c r="AH103" s="3345">
        <v>11</v>
      </c>
      <c r="AI103" s="3345">
        <v>11</v>
      </c>
      <c r="AJ103" s="3345">
        <v>11</v>
      </c>
      <c r="AK103" s="3345">
        <v>11</v>
      </c>
      <c r="AL103" s="3345">
        <v>11</v>
      </c>
      <c r="AM103" s="3345">
        <v>11</v>
      </c>
      <c r="AN103" s="3345">
        <v>11</v>
      </c>
      <c r="AO103" s="3345">
        <v>7</v>
      </c>
      <c r="AP103" s="356"/>
      <c r="AQ103" s="356"/>
      <c r="AR103" s="356"/>
      <c r="AS103" s="356"/>
      <c r="AT103" s="378"/>
      <c r="AU103" s="378"/>
      <c r="AV103" s="378"/>
      <c r="AW103" s="378"/>
      <c r="AX103" s="378"/>
      <c r="AY103" s="378"/>
      <c r="AZ103" s="378"/>
      <c r="BA103" s="378"/>
      <c r="BB103" s="378"/>
      <c r="BC103" s="378"/>
      <c r="BD103" s="378"/>
      <c r="BE103" s="378"/>
      <c r="BF103" s="378"/>
      <c r="BG103" s="378"/>
      <c r="BH103" s="378"/>
      <c r="BI103" s="378"/>
      <c r="BJ103" s="378"/>
      <c r="BK103" s="378"/>
      <c r="BL103" s="378"/>
      <c r="BM103" s="381">
        <v>15.75</v>
      </c>
    </row>
    <row r="104" spans="1:65" ht="24.95" customHeight="1">
      <c r="A104" s="384"/>
      <c r="B104" s="8"/>
      <c r="C104" s="8"/>
      <c r="D104" s="8" t="s">
        <v>148</v>
      </c>
      <c r="E104" s="8"/>
      <c r="F104" s="8"/>
      <c r="G104" s="8"/>
      <c r="H104" s="8"/>
      <c r="I104" s="8"/>
      <c r="J104" s="8"/>
      <c r="K104" s="8"/>
      <c r="L104" s="8"/>
      <c r="M104" s="8"/>
      <c r="N104" s="8"/>
      <c r="O104" s="8"/>
      <c r="P104" s="356"/>
      <c r="Q104" s="356"/>
      <c r="R104" s="356"/>
      <c r="S104" s="356"/>
      <c r="T104" s="356"/>
      <c r="U104" s="356"/>
      <c r="V104" s="356"/>
      <c r="W104" s="356"/>
      <c r="X104" s="356"/>
      <c r="Y104" s="356"/>
      <c r="Z104" s="356"/>
      <c r="AA104" s="356"/>
      <c r="AB104" s="356"/>
      <c r="AC104" s="356"/>
      <c r="AD104" s="356"/>
      <c r="AE104" s="356"/>
      <c r="AF104" s="356"/>
      <c r="AG104" s="356"/>
      <c r="AH104" s="356"/>
      <c r="AI104" s="356"/>
      <c r="AJ104" s="356"/>
      <c r="AK104" s="356"/>
      <c r="AL104" s="356"/>
      <c r="AM104" s="356"/>
      <c r="AN104" s="356"/>
      <c r="AO104" s="356"/>
      <c r="AP104" s="356"/>
      <c r="AQ104" s="356"/>
      <c r="AR104" s="356"/>
      <c r="AS104" s="356"/>
      <c r="AT104" s="378"/>
      <c r="AU104" s="378"/>
      <c r="AV104" s="378"/>
      <c r="AW104" s="378"/>
      <c r="AX104" s="378"/>
      <c r="AY104" s="378"/>
      <c r="AZ104" s="378"/>
      <c r="BA104" s="378"/>
      <c r="BB104" s="378"/>
      <c r="BC104" s="378"/>
      <c r="BD104" s="378"/>
      <c r="BE104" s="378"/>
      <c r="BF104" s="378"/>
      <c r="BG104" s="378"/>
      <c r="BH104" s="378"/>
      <c r="BI104" s="378"/>
      <c r="BJ104" s="378"/>
      <c r="BK104" s="378"/>
      <c r="BL104" s="378"/>
      <c r="BM104" s="381">
        <v>25</v>
      </c>
    </row>
    <row r="105" spans="1:65" ht="24.95" customHeight="1">
      <c r="A105" s="384"/>
      <c r="B105" s="356"/>
      <c r="C105" s="357"/>
      <c r="D105" s="358" t="s">
        <v>149</v>
      </c>
      <c r="E105" s="356">
        <v>16</v>
      </c>
      <c r="F105" s="356" t="s">
        <v>150</v>
      </c>
      <c r="G105" s="382"/>
      <c r="H105" s="382"/>
      <c r="I105" s="382"/>
      <c r="J105" s="358" t="s">
        <v>151</v>
      </c>
      <c r="K105" s="356">
        <v>60</v>
      </c>
      <c r="L105" s="356" t="s">
        <v>152</v>
      </c>
      <c r="M105" s="382"/>
      <c r="N105" s="382"/>
      <c r="O105" s="382"/>
      <c r="P105" s="356"/>
      <c r="Q105" s="356"/>
      <c r="R105" s="356"/>
      <c r="S105" s="356"/>
      <c r="T105" s="356"/>
      <c r="U105" s="356"/>
      <c r="V105" s="356"/>
      <c r="W105" s="356"/>
      <c r="X105" s="356"/>
      <c r="Y105" s="356"/>
      <c r="Z105" s="356"/>
      <c r="AA105" s="356"/>
      <c r="AB105" s="356"/>
      <c r="AC105" s="356"/>
      <c r="AD105" s="356"/>
      <c r="AE105" s="356"/>
      <c r="AF105" s="356"/>
      <c r="AG105" s="356"/>
      <c r="AH105" s="356"/>
      <c r="AI105" s="356"/>
      <c r="AJ105" s="356"/>
      <c r="AK105" s="356"/>
      <c r="AL105" s="356"/>
      <c r="AM105" s="356"/>
      <c r="AN105" s="356"/>
      <c r="AO105" s="356"/>
      <c r="AP105" s="356"/>
      <c r="AQ105" s="356"/>
      <c r="AR105" s="356"/>
      <c r="AS105" s="356"/>
      <c r="AT105" s="378"/>
      <c r="AU105" s="378"/>
      <c r="AV105" s="378"/>
      <c r="AW105" s="378"/>
      <c r="AX105" s="378"/>
      <c r="AY105" s="378"/>
      <c r="AZ105" s="378"/>
      <c r="BA105" s="378"/>
      <c r="BB105" s="378"/>
      <c r="BC105" s="378"/>
      <c r="BD105" s="378"/>
      <c r="BE105" s="378"/>
      <c r="BF105" s="378"/>
      <c r="BG105" s="378"/>
      <c r="BH105" s="378"/>
      <c r="BI105" s="378"/>
      <c r="BJ105" s="378"/>
      <c r="BK105" s="378"/>
      <c r="BL105" s="378"/>
      <c r="BM105" s="381">
        <v>25</v>
      </c>
    </row>
    <row r="106" spans="1:65" ht="24.95" customHeight="1">
      <c r="A106" s="255"/>
      <c r="B106" s="356"/>
      <c r="C106" s="359"/>
      <c r="D106" s="358" t="s">
        <v>153</v>
      </c>
      <c r="E106" s="356">
        <v>24</v>
      </c>
      <c r="F106" s="356" t="s">
        <v>150</v>
      </c>
      <c r="G106" s="382"/>
      <c r="H106" s="382"/>
      <c r="I106" s="382"/>
      <c r="J106" s="358" t="s">
        <v>154</v>
      </c>
      <c r="K106" s="356">
        <v>20</v>
      </c>
      <c r="L106" s="356" t="s">
        <v>155</v>
      </c>
      <c r="M106" s="382"/>
      <c r="N106" s="382"/>
      <c r="O106" s="382"/>
      <c r="P106" s="356"/>
      <c r="Q106" s="356"/>
      <c r="R106" s="356"/>
      <c r="S106" s="356"/>
      <c r="T106" s="356"/>
      <c r="U106" s="356"/>
      <c r="V106" s="356"/>
      <c r="W106" s="356"/>
      <c r="X106" s="356"/>
      <c r="Y106" s="356"/>
      <c r="Z106" s="356"/>
      <c r="AA106" s="356"/>
      <c r="AB106" s="356"/>
      <c r="AC106" s="356"/>
      <c r="AD106" s="356"/>
      <c r="AE106" s="356"/>
      <c r="AF106" s="356"/>
      <c r="AG106" s="356"/>
      <c r="AH106" s="356"/>
      <c r="AI106" s="356"/>
      <c r="AJ106" s="356"/>
      <c r="AK106" s="356"/>
      <c r="AL106" s="356"/>
      <c r="AM106" s="356"/>
      <c r="AN106" s="356"/>
      <c r="AO106" s="356"/>
      <c r="AP106" s="356"/>
      <c r="AQ106" s="356"/>
      <c r="AR106" s="356"/>
      <c r="AS106" s="356"/>
      <c r="AT106" s="378"/>
      <c r="AU106" s="378"/>
      <c r="AV106" s="378"/>
      <c r="AW106" s="378"/>
      <c r="AX106" s="378"/>
      <c r="AY106" s="378"/>
      <c r="AZ106" s="378"/>
      <c r="BA106" s="378"/>
      <c r="BB106" s="378"/>
      <c r="BC106" s="378"/>
      <c r="BD106" s="378"/>
      <c r="BE106" s="378"/>
      <c r="BF106" s="378"/>
      <c r="BG106" s="378"/>
      <c r="BH106" s="378"/>
      <c r="BI106" s="378"/>
      <c r="BJ106" s="378"/>
      <c r="BK106" s="378"/>
      <c r="BL106" s="378"/>
      <c r="BM106" s="381">
        <v>25</v>
      </c>
    </row>
    <row r="107" spans="1:65" ht="24.95" customHeight="1">
      <c r="A107" s="255"/>
      <c r="B107" s="356"/>
      <c r="C107" s="382"/>
      <c r="D107" s="358" t="s">
        <v>156</v>
      </c>
      <c r="E107" s="356">
        <v>20</v>
      </c>
      <c r="F107" s="356" t="s">
        <v>150</v>
      </c>
      <c r="G107" s="382"/>
      <c r="H107" s="382"/>
      <c r="I107" s="382"/>
      <c r="J107" s="358" t="s">
        <v>157</v>
      </c>
      <c r="K107" s="356">
        <v>3</v>
      </c>
      <c r="L107" s="356" t="s">
        <v>22</v>
      </c>
      <c r="M107" s="382"/>
      <c r="N107" s="382"/>
      <c r="O107" s="382"/>
      <c r="P107" s="356"/>
      <c r="Q107" s="356"/>
      <c r="R107" s="356"/>
      <c r="S107" s="356"/>
      <c r="T107" s="356"/>
      <c r="U107" s="356"/>
      <c r="V107" s="356"/>
      <c r="W107" s="356"/>
      <c r="X107" s="356"/>
      <c r="Y107" s="356"/>
      <c r="Z107" s="356"/>
      <c r="AA107" s="356"/>
      <c r="AB107" s="356"/>
      <c r="AC107" s="356"/>
      <c r="AD107" s="356"/>
      <c r="AE107" s="356"/>
      <c r="AF107" s="356"/>
      <c r="AG107" s="356"/>
      <c r="AH107" s="356"/>
      <c r="AI107" s="356"/>
      <c r="AJ107" s="356"/>
      <c r="AK107" s="356"/>
      <c r="AL107" s="356"/>
      <c r="AM107" s="356"/>
      <c r="AN107" s="356"/>
      <c r="AO107" s="356"/>
      <c r="AP107" s="356"/>
      <c r="AQ107" s="356"/>
      <c r="AR107" s="356"/>
      <c r="AS107" s="356"/>
      <c r="AT107" s="378"/>
      <c r="AU107" s="378"/>
      <c r="AV107" s="378"/>
      <c r="AW107" s="378"/>
      <c r="AX107" s="378"/>
      <c r="AY107" s="378"/>
      <c r="AZ107" s="378"/>
      <c r="BA107" s="378"/>
      <c r="BB107" s="378"/>
      <c r="BC107" s="378"/>
      <c r="BD107" s="378"/>
      <c r="BE107" s="378"/>
      <c r="BF107" s="378"/>
      <c r="BG107" s="378"/>
      <c r="BH107" s="378"/>
      <c r="BI107" s="378"/>
      <c r="BJ107" s="378"/>
      <c r="BK107" s="378"/>
      <c r="BL107" s="378"/>
      <c r="BM107" s="381">
        <v>25</v>
      </c>
    </row>
    <row r="108" spans="1:65" ht="24.95" customHeight="1">
      <c r="A108" s="380"/>
      <c r="B108" s="356"/>
      <c r="C108" s="382"/>
      <c r="D108" s="358" t="s">
        <v>158</v>
      </c>
      <c r="E108" s="356">
        <v>25</v>
      </c>
      <c r="F108" s="356" t="s">
        <v>159</v>
      </c>
      <c r="G108" s="382"/>
      <c r="H108" s="382"/>
      <c r="I108" s="382"/>
      <c r="J108" s="358" t="s">
        <v>160</v>
      </c>
      <c r="K108" s="356">
        <v>7.2</v>
      </c>
      <c r="L108" s="383" t="s">
        <v>22</v>
      </c>
      <c r="M108" s="382"/>
      <c r="N108" s="382"/>
      <c r="O108" s="382"/>
      <c r="P108" s="356"/>
      <c r="Q108" s="356"/>
      <c r="R108" s="356"/>
      <c r="S108" s="356"/>
      <c r="T108" s="356"/>
      <c r="U108" s="356"/>
      <c r="V108" s="356"/>
      <c r="W108" s="356"/>
      <c r="X108" s="356"/>
      <c r="Y108" s="356"/>
      <c r="Z108" s="356"/>
      <c r="AA108" s="356"/>
      <c r="AB108" s="356"/>
      <c r="AC108" s="356"/>
      <c r="AD108" s="356"/>
      <c r="AE108" s="356"/>
      <c r="AF108" s="356"/>
      <c r="AG108" s="356"/>
      <c r="AH108" s="356"/>
      <c r="AI108" s="356"/>
      <c r="AJ108" s="356"/>
      <c r="AK108" s="356"/>
      <c r="AL108" s="356"/>
      <c r="AM108" s="356"/>
      <c r="AN108" s="356"/>
      <c r="AO108" s="356"/>
      <c r="AP108" s="356"/>
      <c r="AQ108" s="356"/>
      <c r="AR108" s="356"/>
      <c r="AS108" s="356"/>
      <c r="AT108" s="378"/>
      <c r="AU108" s="378"/>
      <c r="AV108" s="378"/>
      <c r="AW108" s="378"/>
      <c r="AX108" s="378"/>
      <c r="AY108" s="378"/>
      <c r="AZ108" s="378"/>
      <c r="BA108" s="378"/>
      <c r="BB108" s="378"/>
      <c r="BC108" s="378"/>
      <c r="BD108" s="378"/>
      <c r="BE108" s="378"/>
      <c r="BF108" s="378"/>
      <c r="BG108" s="378"/>
      <c r="BH108" s="378"/>
      <c r="BI108" s="378"/>
      <c r="BJ108" s="378"/>
      <c r="BK108" s="378"/>
      <c r="BL108" s="378"/>
      <c r="BM108" s="381">
        <v>25</v>
      </c>
    </row>
    <row r="109" spans="1:65" ht="15" customHeight="1">
      <c r="A109" s="380"/>
      <c r="B109" s="382"/>
      <c r="C109" s="382"/>
      <c r="D109" s="358" t="s">
        <v>161</v>
      </c>
      <c r="E109" s="356">
        <v>25</v>
      </c>
      <c r="F109" s="356" t="s">
        <v>162</v>
      </c>
      <c r="G109" s="382"/>
      <c r="H109" s="382"/>
      <c r="I109" s="382"/>
      <c r="J109" s="358" t="s">
        <v>163</v>
      </c>
      <c r="K109" s="356">
        <v>4</v>
      </c>
      <c r="L109" s="383" t="s">
        <v>22</v>
      </c>
      <c r="M109" s="382"/>
      <c r="N109" s="382"/>
      <c r="O109" s="382"/>
      <c r="P109" s="356"/>
      <c r="Q109" s="356"/>
      <c r="R109" s="356"/>
      <c r="S109" s="356"/>
      <c r="T109" s="356"/>
      <c r="U109" s="356"/>
      <c r="V109" s="356"/>
      <c r="W109" s="356"/>
      <c r="X109" s="356"/>
      <c r="Y109" s="356"/>
      <c r="Z109" s="356"/>
      <c r="AA109" s="356"/>
      <c r="AB109" s="356"/>
      <c r="AC109" s="356"/>
      <c r="AD109" s="356"/>
      <c r="AE109" s="356"/>
      <c r="AF109" s="356"/>
      <c r="AG109" s="356"/>
      <c r="AH109" s="356"/>
      <c r="AI109" s="356"/>
      <c r="AJ109" s="356"/>
      <c r="AK109" s="356"/>
      <c r="AL109" s="356"/>
      <c r="AM109" s="356"/>
      <c r="AN109" s="356"/>
      <c r="AO109" s="356"/>
      <c r="AP109" s="356"/>
      <c r="AQ109" s="356"/>
      <c r="AR109" s="356"/>
      <c r="AS109" s="356"/>
      <c r="AT109" s="378"/>
      <c r="AU109" s="378"/>
      <c r="AV109" s="378"/>
      <c r="AW109" s="378"/>
      <c r="AX109" s="378"/>
      <c r="AY109" s="378"/>
      <c r="AZ109" s="378"/>
      <c r="BA109" s="378"/>
      <c r="BB109" s="378"/>
      <c r="BC109" s="378"/>
      <c r="BD109" s="378"/>
      <c r="BE109" s="378"/>
      <c r="BF109" s="378"/>
      <c r="BG109" s="378"/>
      <c r="BH109" s="378"/>
      <c r="BI109" s="378"/>
      <c r="BJ109" s="378"/>
      <c r="BK109" s="378"/>
      <c r="BL109" s="378"/>
      <c r="BM109" s="381">
        <v>15</v>
      </c>
    </row>
    <row r="110" spans="1:65" ht="15" customHeight="1">
      <c r="A110" s="380"/>
      <c r="B110" s="382"/>
      <c r="C110" s="382"/>
      <c r="D110" s="358" t="s">
        <v>164</v>
      </c>
      <c r="E110" s="356">
        <v>12</v>
      </c>
      <c r="F110" s="356" t="s">
        <v>150</v>
      </c>
      <c r="G110" s="382"/>
      <c r="H110" s="382"/>
      <c r="I110" s="382"/>
      <c r="J110" s="382"/>
      <c r="K110" s="382"/>
      <c r="L110" s="382"/>
      <c r="M110" s="382"/>
      <c r="N110" s="382"/>
      <c r="O110" s="382"/>
      <c r="P110" s="356"/>
      <c r="Q110" s="356"/>
      <c r="R110" s="356"/>
      <c r="S110" s="356"/>
      <c r="T110" s="356"/>
      <c r="U110" s="356"/>
      <c r="V110" s="356"/>
      <c r="W110" s="356"/>
      <c r="X110" s="356"/>
      <c r="Y110" s="356"/>
      <c r="Z110" s="356"/>
      <c r="AA110" s="356"/>
      <c r="AB110" s="356"/>
      <c r="AC110" s="356"/>
      <c r="AD110" s="356"/>
      <c r="AE110" s="356"/>
      <c r="AF110" s="356"/>
      <c r="AG110" s="356"/>
      <c r="AH110" s="356"/>
      <c r="AI110" s="356"/>
      <c r="AJ110" s="356"/>
      <c r="AK110" s="356"/>
      <c r="AL110" s="356"/>
      <c r="AM110" s="356"/>
      <c r="AN110" s="356"/>
      <c r="AO110" s="356"/>
      <c r="AP110" s="356"/>
      <c r="AQ110" s="356"/>
      <c r="AR110" s="356"/>
      <c r="AS110" s="356"/>
      <c r="AT110" s="378"/>
      <c r="AU110" s="378"/>
      <c r="AV110" s="378"/>
      <c r="AW110" s="378"/>
      <c r="AX110" s="378"/>
      <c r="AY110" s="378"/>
      <c r="AZ110" s="378"/>
      <c r="BA110" s="378"/>
      <c r="BB110" s="378"/>
      <c r="BC110" s="378"/>
      <c r="BD110" s="378"/>
      <c r="BE110" s="378"/>
      <c r="BF110" s="378"/>
      <c r="BG110" s="378"/>
      <c r="BH110" s="378"/>
      <c r="BI110" s="378"/>
      <c r="BJ110" s="378"/>
      <c r="BK110" s="378"/>
      <c r="BL110" s="378"/>
      <c r="BM110" s="381">
        <v>15</v>
      </c>
    </row>
    <row r="111" spans="1:65" ht="15" customHeight="1">
      <c r="A111" s="380"/>
      <c r="B111" s="382"/>
      <c r="C111" s="382"/>
      <c r="D111" s="382"/>
      <c r="E111" s="382"/>
      <c r="F111" s="382"/>
      <c r="G111" s="382"/>
      <c r="H111" s="382"/>
      <c r="I111" s="382"/>
      <c r="J111" s="382"/>
      <c r="K111" s="382"/>
      <c r="L111" s="382"/>
      <c r="M111" s="382"/>
      <c r="N111" s="382"/>
      <c r="O111" s="382"/>
      <c r="P111" s="356"/>
      <c r="Q111" s="356"/>
      <c r="R111" s="356"/>
      <c r="S111" s="356"/>
      <c r="T111" s="356"/>
      <c r="U111" s="356"/>
      <c r="V111" s="356"/>
      <c r="W111" s="356"/>
      <c r="X111" s="356"/>
      <c r="Y111" s="356"/>
      <c r="Z111" s="356"/>
      <c r="AA111" s="356"/>
      <c r="AB111" s="356"/>
      <c r="AC111" s="356"/>
      <c r="AD111" s="356"/>
      <c r="AE111" s="356"/>
      <c r="AF111" s="356"/>
      <c r="AG111" s="356"/>
      <c r="AH111" s="356"/>
      <c r="AI111" s="356"/>
      <c r="AJ111" s="356"/>
      <c r="AK111" s="356"/>
      <c r="AL111" s="356"/>
      <c r="AM111" s="356"/>
      <c r="AN111" s="356"/>
      <c r="AO111" s="356"/>
      <c r="AP111" s="356"/>
      <c r="AQ111" s="356"/>
      <c r="AR111" s="356"/>
      <c r="AS111" s="356"/>
      <c r="AT111" s="378"/>
      <c r="AU111" s="378"/>
      <c r="AV111" s="378"/>
      <c r="AW111" s="378"/>
      <c r="AX111" s="378"/>
      <c r="AY111" s="378"/>
      <c r="AZ111" s="378"/>
      <c r="BA111" s="378"/>
      <c r="BB111" s="378"/>
      <c r="BC111" s="378"/>
      <c r="BD111" s="378"/>
      <c r="BE111" s="378"/>
      <c r="BF111" s="378"/>
      <c r="BG111" s="378"/>
      <c r="BH111" s="378"/>
      <c r="BI111" s="378"/>
      <c r="BJ111" s="378"/>
      <c r="BK111" s="378"/>
      <c r="BL111" s="378"/>
      <c r="BM111" s="381">
        <v>15</v>
      </c>
    </row>
    <row r="112" spans="1:65" ht="15" customHeight="1">
      <c r="A112" s="380"/>
      <c r="B112" s="361" t="s">
        <v>165</v>
      </c>
      <c r="C112" s="357"/>
      <c r="D112" s="382"/>
      <c r="E112" s="382"/>
      <c r="F112" s="382"/>
      <c r="G112" s="382"/>
      <c r="H112" s="382"/>
      <c r="I112" s="382"/>
      <c r="J112" s="382"/>
      <c r="K112" s="382"/>
      <c r="L112" s="382"/>
      <c r="M112" s="382"/>
      <c r="N112" s="382"/>
      <c r="O112" s="382"/>
      <c r="P112" s="356"/>
      <c r="Q112" s="356"/>
      <c r="R112" s="356"/>
      <c r="S112" s="356"/>
      <c r="T112" s="356"/>
      <c r="U112" s="356"/>
      <c r="V112" s="356"/>
      <c r="W112" s="356"/>
      <c r="X112" s="356"/>
      <c r="Y112" s="356"/>
      <c r="Z112" s="356"/>
      <c r="AA112" s="356"/>
      <c r="AB112" s="356"/>
      <c r="AC112" s="356"/>
      <c r="AD112" s="356"/>
      <c r="AE112" s="356"/>
      <c r="AF112" s="356"/>
      <c r="AG112" s="356"/>
      <c r="AH112" s="356"/>
      <c r="AI112" s="356"/>
      <c r="AJ112" s="356"/>
      <c r="AK112" s="356"/>
      <c r="AL112" s="356"/>
      <c r="AM112" s="356"/>
      <c r="AN112" s="356"/>
      <c r="AO112" s="356"/>
      <c r="AP112" s="356"/>
      <c r="AQ112" s="356"/>
      <c r="AR112" s="356"/>
      <c r="AS112" s="356"/>
      <c r="AT112" s="378"/>
      <c r="AU112" s="378"/>
      <c r="AV112" s="378"/>
      <c r="AW112" s="378"/>
      <c r="AX112" s="378"/>
      <c r="AY112" s="378"/>
      <c r="AZ112" s="378"/>
      <c r="BA112" s="378"/>
      <c r="BB112" s="378"/>
      <c r="BC112" s="378"/>
      <c r="BD112" s="378"/>
      <c r="BE112" s="378"/>
      <c r="BF112" s="378"/>
      <c r="BG112" s="378"/>
      <c r="BH112" s="378"/>
      <c r="BI112" s="378"/>
      <c r="BJ112" s="378"/>
      <c r="BK112" s="378"/>
      <c r="BL112" s="378"/>
      <c r="BM112" s="381">
        <v>15</v>
      </c>
    </row>
    <row r="113" spans="1:65" ht="15" customHeight="1">
      <c r="A113" s="380"/>
      <c r="B113" s="361" t="s">
        <v>166</v>
      </c>
      <c r="C113" s="359"/>
      <c r="D113" s="382"/>
      <c r="E113" s="382"/>
      <c r="F113" s="382"/>
      <c r="G113" s="382"/>
      <c r="H113" s="382"/>
      <c r="I113" s="382"/>
      <c r="J113" s="382"/>
      <c r="K113" s="382"/>
      <c r="L113" s="382"/>
      <c r="M113" s="382"/>
      <c r="N113" s="382"/>
      <c r="O113" s="382"/>
      <c r="P113" s="356"/>
      <c r="Q113" s="356"/>
      <c r="R113" s="356"/>
      <c r="S113" s="356"/>
      <c r="T113" s="356"/>
      <c r="U113" s="356"/>
      <c r="V113" s="356"/>
      <c r="W113" s="356"/>
      <c r="X113" s="356"/>
      <c r="Y113" s="356"/>
      <c r="Z113" s="356"/>
      <c r="AA113" s="356"/>
      <c r="AB113" s="356"/>
      <c r="AC113" s="356"/>
      <c r="AD113" s="356"/>
      <c r="AE113" s="356"/>
      <c r="AF113" s="356"/>
      <c r="AG113" s="356"/>
      <c r="AH113" s="356"/>
      <c r="AI113" s="356"/>
      <c r="AJ113" s="356"/>
      <c r="AK113" s="356"/>
      <c r="AL113" s="356"/>
      <c r="AM113" s="356"/>
      <c r="AN113" s="356"/>
      <c r="AO113" s="356"/>
      <c r="AP113" s="356"/>
      <c r="AQ113" s="356"/>
      <c r="AR113" s="356"/>
      <c r="AS113" s="356"/>
      <c r="AT113" s="378"/>
      <c r="AU113" s="378"/>
      <c r="AV113" s="378"/>
      <c r="AW113" s="378"/>
      <c r="AX113" s="378"/>
      <c r="AY113" s="378"/>
      <c r="AZ113" s="378"/>
      <c r="BA113" s="378"/>
      <c r="BB113" s="378"/>
      <c r="BC113" s="378"/>
      <c r="BD113" s="378"/>
      <c r="BE113" s="378"/>
      <c r="BF113" s="378"/>
      <c r="BG113" s="378"/>
      <c r="BH113" s="378"/>
      <c r="BI113" s="378"/>
      <c r="BJ113" s="378"/>
      <c r="BK113" s="378"/>
      <c r="BL113" s="378"/>
      <c r="BM113" s="381">
        <v>15</v>
      </c>
    </row>
    <row r="114" spans="1:65" ht="15" customHeight="1">
      <c r="A114" s="380"/>
      <c r="B114" s="361" t="s">
        <v>167</v>
      </c>
      <c r="C114" s="382"/>
      <c r="D114" s="382"/>
      <c r="E114" s="382"/>
      <c r="F114" s="382"/>
      <c r="G114" s="382"/>
      <c r="H114" s="382"/>
      <c r="I114" s="382"/>
      <c r="J114" s="382"/>
      <c r="K114" s="382"/>
      <c r="L114" s="382"/>
      <c r="M114" s="382"/>
      <c r="N114" s="382"/>
      <c r="O114" s="382"/>
      <c r="P114" s="356"/>
      <c r="Q114" s="356"/>
      <c r="R114" s="356"/>
      <c r="S114" s="356"/>
      <c r="T114" s="356"/>
      <c r="U114" s="356"/>
      <c r="V114" s="356"/>
      <c r="W114" s="356"/>
      <c r="X114" s="356"/>
      <c r="Y114" s="356"/>
      <c r="Z114" s="356"/>
      <c r="AA114" s="356"/>
      <c r="AB114" s="356"/>
      <c r="AC114" s="356"/>
      <c r="AD114" s="356"/>
      <c r="AE114" s="356"/>
      <c r="AF114" s="356"/>
      <c r="AG114" s="356"/>
      <c r="AH114" s="356"/>
      <c r="AI114" s="356"/>
      <c r="AJ114" s="356"/>
      <c r="AK114" s="356"/>
      <c r="AL114" s="356"/>
      <c r="AM114" s="356"/>
      <c r="AN114" s="356"/>
      <c r="AO114" s="356"/>
      <c r="AP114" s="356"/>
      <c r="AQ114" s="356"/>
      <c r="AR114" s="356"/>
      <c r="AS114" s="356"/>
      <c r="AT114" s="378"/>
      <c r="AU114" s="378"/>
      <c r="AV114" s="378"/>
      <c r="AW114" s="378"/>
      <c r="AX114" s="378"/>
      <c r="AY114" s="378"/>
      <c r="AZ114" s="378"/>
      <c r="BA114" s="378"/>
      <c r="BB114" s="378"/>
      <c r="BC114" s="378"/>
      <c r="BD114" s="378"/>
      <c r="BE114" s="378"/>
      <c r="BF114" s="378"/>
      <c r="BG114" s="378"/>
      <c r="BH114" s="378"/>
      <c r="BI114" s="378"/>
      <c r="BJ114" s="378"/>
      <c r="BK114" s="378"/>
      <c r="BL114" s="378"/>
      <c r="BM114" s="381">
        <v>15</v>
      </c>
    </row>
    <row r="115" spans="1:65" ht="15.75">
      <c r="A115" s="380"/>
      <c r="B115" s="380"/>
      <c r="C115" s="380"/>
      <c r="D115" s="380"/>
      <c r="E115" s="380"/>
      <c r="F115" s="380"/>
      <c r="G115" s="380"/>
      <c r="H115" s="380"/>
      <c r="I115" s="380"/>
      <c r="J115" s="380"/>
      <c r="K115" s="380"/>
      <c r="L115" s="380"/>
      <c r="M115" s="380"/>
      <c r="N115" s="380"/>
      <c r="O115" s="380"/>
      <c r="P115" s="356"/>
      <c r="Q115" s="356"/>
      <c r="R115" s="356"/>
      <c r="S115" s="356"/>
      <c r="T115" s="356"/>
      <c r="U115" s="356"/>
      <c r="V115" s="356"/>
      <c r="W115" s="356"/>
      <c r="X115" s="356"/>
      <c r="Y115" s="356"/>
      <c r="Z115" s="356"/>
      <c r="AA115" s="356"/>
      <c r="AB115" s="356"/>
      <c r="AC115" s="356"/>
      <c r="AD115" s="356"/>
      <c r="AE115" s="356"/>
      <c r="AF115" s="356"/>
      <c r="AG115" s="356"/>
      <c r="AH115" s="356"/>
      <c r="AI115" s="356"/>
      <c r="AJ115" s="356"/>
      <c r="AK115" s="356"/>
      <c r="AL115" s="356"/>
      <c r="AM115" s="356"/>
      <c r="AN115" s="356"/>
      <c r="AO115" s="356"/>
      <c r="AP115" s="356"/>
      <c r="AQ115" s="356"/>
      <c r="AR115" s="356"/>
      <c r="AS115" s="356"/>
      <c r="AT115" s="379"/>
      <c r="AU115" s="379"/>
      <c r="AV115" s="379"/>
      <c r="AW115" s="379"/>
      <c r="AX115" s="379"/>
      <c r="AY115" s="379"/>
      <c r="AZ115" s="379"/>
      <c r="BA115" s="379"/>
      <c r="BB115" s="379"/>
      <c r="BC115" s="379"/>
      <c r="BD115" s="379"/>
      <c r="BE115" s="379"/>
      <c r="BF115" s="379"/>
      <c r="BG115" s="379"/>
      <c r="BH115" s="379"/>
      <c r="BI115" s="379"/>
      <c r="BJ115" s="379"/>
      <c r="BK115" s="379"/>
      <c r="BL115" s="378"/>
      <c r="BM115" s="377" t="s">
        <v>168</v>
      </c>
    </row>
  </sheetData>
  <mergeCells count="147">
    <mergeCell ref="G101:H101"/>
    <mergeCell ref="L101:M102"/>
    <mergeCell ref="N101:N102"/>
    <mergeCell ref="O101:O102"/>
    <mergeCell ref="G102:H102"/>
    <mergeCell ref="Q93:S96"/>
    <mergeCell ref="G94:H94"/>
    <mergeCell ref="G95:H95"/>
    <mergeCell ref="G96:H96"/>
    <mergeCell ref="Q86:S91"/>
    <mergeCell ref="G97:H97"/>
    <mergeCell ref="Q97:S99"/>
    <mergeCell ref="G98:H98"/>
    <mergeCell ref="G99:H99"/>
    <mergeCell ref="B88:K89"/>
    <mergeCell ref="L88:M89"/>
    <mergeCell ref="N88:N89"/>
    <mergeCell ref="O88:O89"/>
    <mergeCell ref="BE88:BG89"/>
    <mergeCell ref="B91:B92"/>
    <mergeCell ref="C91:C92"/>
    <mergeCell ref="D91:D92"/>
    <mergeCell ref="E91:F92"/>
    <mergeCell ref="G91:G92"/>
    <mergeCell ref="H91:I92"/>
    <mergeCell ref="L91:M92"/>
    <mergeCell ref="N91:N92"/>
    <mergeCell ref="O91:O92"/>
    <mergeCell ref="Q75:S77"/>
    <mergeCell ref="BE75:BG77"/>
    <mergeCell ref="G77:H77"/>
    <mergeCell ref="G78:H78"/>
    <mergeCell ref="Q78:S82"/>
    <mergeCell ref="G79:H79"/>
    <mergeCell ref="G80:H80"/>
    <mergeCell ref="G81:H81"/>
    <mergeCell ref="BE81:BG83"/>
    <mergeCell ref="G82:H82"/>
    <mergeCell ref="Q83:S84"/>
    <mergeCell ref="G84:H84"/>
    <mergeCell ref="L84:M85"/>
    <mergeCell ref="N84:N85"/>
    <mergeCell ref="O84:O85"/>
    <mergeCell ref="G85:H85"/>
    <mergeCell ref="Q85:S85"/>
    <mergeCell ref="Y63:Y68"/>
    <mergeCell ref="AO63:AO67"/>
    <mergeCell ref="B64:C65"/>
    <mergeCell ref="BE64:BG67"/>
    <mergeCell ref="AA70:AC71"/>
    <mergeCell ref="AD70:AD71"/>
    <mergeCell ref="AG70:AH71"/>
    <mergeCell ref="AI70:AI71"/>
    <mergeCell ref="BG70:BG71"/>
    <mergeCell ref="B71:K72"/>
    <mergeCell ref="L71:M72"/>
    <mergeCell ref="N71:N72"/>
    <mergeCell ref="O71:O72"/>
    <mergeCell ref="Q71:S74"/>
    <mergeCell ref="BE72:BG74"/>
    <mergeCell ref="B74:B75"/>
    <mergeCell ref="C74:C75"/>
    <mergeCell ref="D74:D75"/>
    <mergeCell ref="E74:F75"/>
    <mergeCell ref="G74:G75"/>
    <mergeCell ref="H74:I75"/>
    <mergeCell ref="L74:M75"/>
    <mergeCell ref="N74:N75"/>
    <mergeCell ref="O74:O75"/>
    <mergeCell ref="AS51:AY51"/>
    <mergeCell ref="BI51:BI52"/>
    <mergeCell ref="BJ51:BJ52"/>
    <mergeCell ref="BK51:BK52"/>
    <mergeCell ref="AS52:AY52"/>
    <mergeCell ref="AS53:AY53"/>
    <mergeCell ref="BE54:BG56"/>
    <mergeCell ref="BI55:BI58"/>
    <mergeCell ref="BE57:BG58"/>
    <mergeCell ref="BE35:BG36"/>
    <mergeCell ref="BE38:BG39"/>
    <mergeCell ref="BI38:BK40"/>
    <mergeCell ref="BI42:BK44"/>
    <mergeCell ref="BE45:BG46"/>
    <mergeCell ref="BI45:BK47"/>
    <mergeCell ref="BE47:BG48"/>
    <mergeCell ref="BE49:BG49"/>
    <mergeCell ref="BE50:BG53"/>
    <mergeCell ref="BI50:BK50"/>
    <mergeCell ref="AX21:AX22"/>
    <mergeCell ref="BI21:BK23"/>
    <mergeCell ref="AY23:AZ24"/>
    <mergeCell ref="BI24:BK26"/>
    <mergeCell ref="BE25:BG26"/>
    <mergeCell ref="BE27:BG29"/>
    <mergeCell ref="BI27:BK34"/>
    <mergeCell ref="AS30:AS31"/>
    <mergeCell ref="AT30:AT31"/>
    <mergeCell ref="BE31:BF31"/>
    <mergeCell ref="BE33:BG34"/>
    <mergeCell ref="AR34:AZ34"/>
    <mergeCell ref="BE2:BG3"/>
    <mergeCell ref="BI2:BK3"/>
    <mergeCell ref="V3:W3"/>
    <mergeCell ref="AL3:AM3"/>
    <mergeCell ref="BI6:BK7"/>
    <mergeCell ref="AK7:AN7"/>
    <mergeCell ref="AR7:AR12"/>
    <mergeCell ref="AS7:AS9"/>
    <mergeCell ref="BE7:BF8"/>
    <mergeCell ref="BG7:BG8"/>
    <mergeCell ref="BI10:BK11"/>
    <mergeCell ref="AK5:AN6"/>
    <mergeCell ref="AR5:AS5"/>
    <mergeCell ref="BB5:BC5"/>
    <mergeCell ref="V8:X8"/>
    <mergeCell ref="AM8:AN8"/>
    <mergeCell ref="BI8:BK9"/>
    <mergeCell ref="AE11:AG11"/>
    <mergeCell ref="AS11:AS12"/>
    <mergeCell ref="BI12:BK14"/>
    <mergeCell ref="BE13:BE14"/>
    <mergeCell ref="BF13:BF14"/>
    <mergeCell ref="BG13:BG14"/>
    <mergeCell ref="A4:A67"/>
    <mergeCell ref="Y4:Y62"/>
    <mergeCell ref="AO4:AO62"/>
    <mergeCell ref="BE4:BG4"/>
    <mergeCell ref="BI4:BK5"/>
    <mergeCell ref="AH5:AJ5"/>
    <mergeCell ref="BE5:BG5"/>
    <mergeCell ref="BB6:BC6"/>
    <mergeCell ref="BF6:BG6"/>
    <mergeCell ref="B9:C10"/>
    <mergeCell ref="D9:F9"/>
    <mergeCell ref="G9:I9"/>
    <mergeCell ref="J9:L9"/>
    <mergeCell ref="M9:O9"/>
    <mergeCell ref="P9:R9"/>
    <mergeCell ref="S9:U9"/>
    <mergeCell ref="BI15:BK17"/>
    <mergeCell ref="AX16:AY16"/>
    <mergeCell ref="BI18:BK20"/>
    <mergeCell ref="AS21:AS22"/>
    <mergeCell ref="AT21:AT22"/>
    <mergeCell ref="AU21:AU22"/>
    <mergeCell ref="AV21:AV22"/>
    <mergeCell ref="AW21:AW22"/>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54AFB-E051-4D15-AAB2-C1634EC9188B}">
  <dimension ref="B1:BG176"/>
  <sheetViews>
    <sheetView showGridLines="0" zoomScaleNormal="100" zoomScaleSheetLayoutView="200" workbookViewId="0">
      <selection activeCell="AX37" sqref="AX37"/>
    </sheetView>
  </sheetViews>
  <sheetFormatPr baseColWidth="10" defaultRowHeight="11.25"/>
  <cols>
    <col min="1" max="1" width="1.42578125" style="1406" customWidth="1"/>
    <col min="2" max="2" width="5.140625" style="1406" customWidth="1"/>
    <col min="3" max="5" width="0.85546875" style="1406" customWidth="1"/>
    <col min="6" max="6" width="3.42578125" style="1406" customWidth="1"/>
    <col min="7" max="7" width="10.7109375" style="1406" customWidth="1"/>
    <col min="8" max="10" width="0.85546875" style="1406" customWidth="1"/>
    <col min="11" max="11" width="10.7109375" style="1406" customWidth="1"/>
    <col min="12" max="14" width="0.85546875" style="1406" customWidth="1"/>
    <col min="15" max="15" width="3.140625" style="1406" customWidth="1"/>
    <col min="16" max="16" width="10.7109375" style="1406" customWidth="1"/>
    <col min="17" max="19" width="0.85546875" style="1406" customWidth="1"/>
    <col min="20" max="20" width="10.7109375" style="1406" customWidth="1"/>
    <col min="21" max="23" width="0.85546875" style="1406" customWidth="1"/>
    <col min="24" max="24" width="3.5703125" style="1406" customWidth="1"/>
    <col min="25" max="25" width="10.7109375" style="1406" customWidth="1"/>
    <col min="26" max="28" width="0.85546875" style="1406" customWidth="1"/>
    <col min="29" max="29" width="10.7109375" style="1406" customWidth="1"/>
    <col min="30" max="32" width="0.85546875" style="1406" customWidth="1"/>
    <col min="33" max="33" width="3.140625" style="1406" customWidth="1"/>
    <col min="34" max="34" width="10.7109375" style="1406" customWidth="1"/>
    <col min="35" max="37" width="0.85546875" style="1406" customWidth="1"/>
    <col min="38" max="38" width="10.7109375" style="1406" customWidth="1"/>
    <col min="39" max="41" width="0.85546875" style="1406" customWidth="1"/>
    <col min="42" max="42" width="3.42578125" style="1406" customWidth="1"/>
    <col min="43" max="43" width="10.7109375" style="1406" customWidth="1"/>
    <col min="44" max="45" width="0.85546875" style="1407" customWidth="1"/>
    <col min="46" max="46" width="0.85546875" style="1406" customWidth="1"/>
    <col min="47" max="47" width="10.7109375" style="1406" customWidth="1"/>
    <col min="48" max="48" width="1.7109375" style="1406" customWidth="1"/>
    <col min="49" max="49" width="2.28515625" style="1406" customWidth="1"/>
    <col min="50" max="50" width="10.7109375" style="1406" customWidth="1"/>
    <col min="51" max="55" width="5.7109375" style="1406" customWidth="1"/>
    <col min="56" max="16384" width="11.42578125" style="1406"/>
  </cols>
  <sheetData>
    <row r="1" spans="2:59" ht="6.75" customHeight="1" thickBot="1"/>
    <row r="2" spans="2:59" s="1487" customFormat="1" ht="15" customHeight="1">
      <c r="B2" s="4110" t="s">
        <v>790</v>
      </c>
      <c r="C2" s="4111"/>
      <c r="D2" s="4111"/>
      <c r="E2" s="4111"/>
      <c r="F2" s="4111"/>
      <c r="G2" s="4111"/>
      <c r="H2" s="4111"/>
      <c r="I2" s="4111"/>
      <c r="J2" s="4112"/>
      <c r="K2" s="4119" t="s">
        <v>789</v>
      </c>
      <c r="L2" s="4120"/>
      <c r="M2" s="4120"/>
      <c r="N2" s="4120"/>
      <c r="O2" s="4120"/>
      <c r="P2" s="4120"/>
      <c r="Q2" s="4120"/>
      <c r="R2" s="4120"/>
      <c r="S2" s="4120"/>
      <c r="T2" s="4120"/>
      <c r="U2" s="4120"/>
      <c r="V2" s="4120"/>
      <c r="W2" s="4120"/>
      <c r="X2" s="4120"/>
      <c r="Y2" s="4120"/>
      <c r="Z2" s="4120"/>
      <c r="AA2" s="4120"/>
      <c r="AB2" s="4120"/>
      <c r="AC2" s="4120"/>
      <c r="AD2" s="4120"/>
      <c r="AE2" s="4120"/>
      <c r="AF2" s="4120"/>
      <c r="AG2" s="4120"/>
      <c r="AH2" s="4120"/>
      <c r="AI2" s="4120"/>
      <c r="AJ2" s="4120"/>
      <c r="AK2" s="4121"/>
      <c r="AL2" s="4125" t="s">
        <v>788</v>
      </c>
      <c r="AM2" s="4126"/>
      <c r="AN2" s="4126"/>
      <c r="AO2" s="4126"/>
      <c r="AP2" s="4126"/>
      <c r="AQ2" s="4126"/>
      <c r="AR2" s="4126"/>
      <c r="AS2" s="4126"/>
      <c r="AT2" s="4126"/>
      <c r="AU2" s="4127"/>
      <c r="AY2" s="1500" t="s">
        <v>787</v>
      </c>
      <c r="AZ2" s="1498"/>
      <c r="BA2" s="1498"/>
      <c r="BB2" s="1498"/>
      <c r="BC2" s="1498"/>
      <c r="BD2" s="1498"/>
      <c r="BE2" s="1498"/>
      <c r="BF2" s="1498"/>
    </row>
    <row r="3" spans="2:59" s="1487" customFormat="1" ht="15" customHeight="1">
      <c r="B3" s="4113"/>
      <c r="C3" s="4114"/>
      <c r="D3" s="4114"/>
      <c r="E3" s="4114"/>
      <c r="F3" s="4114"/>
      <c r="G3" s="4114"/>
      <c r="H3" s="4114"/>
      <c r="I3" s="4114"/>
      <c r="J3" s="4115"/>
      <c r="K3" s="4122"/>
      <c r="L3" s="4123"/>
      <c r="M3" s="4123"/>
      <c r="N3" s="4123"/>
      <c r="O3" s="4123"/>
      <c r="P3" s="4123"/>
      <c r="Q3" s="4123"/>
      <c r="R3" s="4123"/>
      <c r="S3" s="4123"/>
      <c r="T3" s="4123"/>
      <c r="U3" s="4123"/>
      <c r="V3" s="4123"/>
      <c r="W3" s="4123"/>
      <c r="X3" s="4123"/>
      <c r="Y3" s="4123"/>
      <c r="Z3" s="4123"/>
      <c r="AA3" s="4123"/>
      <c r="AB3" s="4123"/>
      <c r="AC3" s="4123"/>
      <c r="AD3" s="4123"/>
      <c r="AE3" s="4123"/>
      <c r="AF3" s="4123"/>
      <c r="AG3" s="4123"/>
      <c r="AH3" s="4123"/>
      <c r="AI3" s="4123"/>
      <c r="AJ3" s="4123"/>
      <c r="AK3" s="4124"/>
      <c r="AL3" s="4128" t="s">
        <v>786</v>
      </c>
      <c r="AM3" s="4129"/>
      <c r="AN3" s="4129"/>
      <c r="AO3" s="4129"/>
      <c r="AP3" s="4129"/>
      <c r="AQ3" s="4129"/>
      <c r="AR3" s="4129"/>
      <c r="AS3" s="4129"/>
      <c r="AT3" s="4129"/>
      <c r="AU3" s="4130"/>
      <c r="AY3" s="1498" t="s">
        <v>785</v>
      </c>
      <c r="AZ3" s="1498"/>
      <c r="BA3" s="1498"/>
      <c r="BB3" s="1498"/>
      <c r="BC3" s="1498"/>
      <c r="BD3" s="1498"/>
      <c r="BE3" s="1498"/>
      <c r="BF3" s="1498"/>
    </row>
    <row r="4" spans="2:59" s="1487" customFormat="1" ht="15" customHeight="1">
      <c r="B4" s="4113"/>
      <c r="C4" s="4114"/>
      <c r="D4" s="4114"/>
      <c r="E4" s="4114"/>
      <c r="F4" s="4114"/>
      <c r="G4" s="4114"/>
      <c r="H4" s="4114"/>
      <c r="I4" s="4114"/>
      <c r="J4" s="4115"/>
      <c r="K4" s="4122"/>
      <c r="L4" s="4123"/>
      <c r="M4" s="4123"/>
      <c r="N4" s="4123"/>
      <c r="O4" s="4123"/>
      <c r="P4" s="4123"/>
      <c r="Q4" s="4123"/>
      <c r="R4" s="4123"/>
      <c r="S4" s="4123"/>
      <c r="T4" s="4123"/>
      <c r="U4" s="4123"/>
      <c r="V4" s="4123"/>
      <c r="W4" s="4123"/>
      <c r="X4" s="4123"/>
      <c r="Y4" s="4123"/>
      <c r="Z4" s="4123"/>
      <c r="AA4" s="4123"/>
      <c r="AB4" s="4123"/>
      <c r="AC4" s="4123"/>
      <c r="AD4" s="4123"/>
      <c r="AE4" s="4123"/>
      <c r="AF4" s="4123"/>
      <c r="AG4" s="4123"/>
      <c r="AH4" s="4123"/>
      <c r="AI4" s="4123"/>
      <c r="AJ4" s="4123"/>
      <c r="AK4" s="4124"/>
      <c r="AL4" s="4131" t="s">
        <v>784</v>
      </c>
      <c r="AM4" s="4132"/>
      <c r="AN4" s="4132"/>
      <c r="AO4" s="4132"/>
      <c r="AP4" s="4132"/>
      <c r="AQ4" s="4132"/>
      <c r="AR4" s="4132"/>
      <c r="AS4" s="4132"/>
      <c r="AT4" s="4132"/>
      <c r="AU4" s="4133"/>
      <c r="AY4" s="1499" t="s">
        <v>783</v>
      </c>
      <c r="AZ4" s="1498"/>
      <c r="BA4" s="1498"/>
      <c r="BB4" s="1498"/>
      <c r="BC4" s="1498"/>
      <c r="BD4" s="1498"/>
      <c r="BE4" s="1498"/>
      <c r="BF4" s="1498"/>
    </row>
    <row r="5" spans="2:59" s="1487" customFormat="1" ht="15" customHeight="1">
      <c r="B5" s="4113"/>
      <c r="C5" s="4114"/>
      <c r="D5" s="4114"/>
      <c r="E5" s="4114"/>
      <c r="F5" s="4114"/>
      <c r="G5" s="4114"/>
      <c r="H5" s="4114"/>
      <c r="I5" s="4114"/>
      <c r="J5" s="4115"/>
      <c r="K5" s="4134" t="s">
        <v>782</v>
      </c>
      <c r="L5" s="4135"/>
      <c r="M5" s="4135"/>
      <c r="N5" s="4135"/>
      <c r="O5" s="4135"/>
      <c r="P5" s="4135"/>
      <c r="Q5" s="4135"/>
      <c r="R5" s="4135"/>
      <c r="S5" s="4135"/>
      <c r="T5" s="4135"/>
      <c r="U5" s="4135"/>
      <c r="V5" s="4135"/>
      <c r="W5" s="4135"/>
      <c r="X5" s="4135"/>
      <c r="Y5" s="4135"/>
      <c r="Z5" s="4135"/>
      <c r="AA5" s="4135"/>
      <c r="AB5" s="4135"/>
      <c r="AC5" s="4135"/>
      <c r="AD5" s="4135"/>
      <c r="AE5" s="4135"/>
      <c r="AF5" s="4135"/>
      <c r="AG5" s="4135"/>
      <c r="AH5" s="4135"/>
      <c r="AI5" s="4135"/>
      <c r="AJ5" s="4135"/>
      <c r="AK5" s="4136"/>
      <c r="AL5" s="4131" t="s">
        <v>781</v>
      </c>
      <c r="AM5" s="4132"/>
      <c r="AN5" s="4132"/>
      <c r="AO5" s="4132"/>
      <c r="AP5" s="4132"/>
      <c r="AQ5" s="4132"/>
      <c r="AR5" s="4132"/>
      <c r="AS5" s="4132"/>
      <c r="AT5" s="4132"/>
      <c r="AU5" s="4133"/>
      <c r="AY5" s="1498"/>
      <c r="AZ5" s="1498"/>
      <c r="BA5" s="1498"/>
      <c r="BB5" s="1498" t="s">
        <v>780</v>
      </c>
      <c r="BC5" s="1498"/>
      <c r="BD5" s="1498"/>
      <c r="BE5" s="1498"/>
      <c r="BF5" s="1498"/>
    </row>
    <row r="6" spans="2:59" s="1487" customFormat="1" ht="15" customHeight="1">
      <c r="B6" s="4116"/>
      <c r="C6" s="4117"/>
      <c r="D6" s="4117"/>
      <c r="E6" s="4117"/>
      <c r="F6" s="4117"/>
      <c r="G6" s="4117"/>
      <c r="H6" s="4117"/>
      <c r="I6" s="4117"/>
      <c r="J6" s="4118"/>
      <c r="K6" s="4137"/>
      <c r="L6" s="4138"/>
      <c r="M6" s="4138"/>
      <c r="N6" s="4138"/>
      <c r="O6" s="4138"/>
      <c r="P6" s="4138"/>
      <c r="Q6" s="4138"/>
      <c r="R6" s="4138"/>
      <c r="S6" s="4138"/>
      <c r="T6" s="4138"/>
      <c r="U6" s="4138"/>
      <c r="V6" s="4138"/>
      <c r="W6" s="4138"/>
      <c r="X6" s="4138"/>
      <c r="Y6" s="4138"/>
      <c r="Z6" s="4138"/>
      <c r="AA6" s="4138"/>
      <c r="AB6" s="4138"/>
      <c r="AC6" s="4138"/>
      <c r="AD6" s="4138"/>
      <c r="AE6" s="4138"/>
      <c r="AF6" s="4138"/>
      <c r="AG6" s="4138"/>
      <c r="AH6" s="4138"/>
      <c r="AI6" s="4138"/>
      <c r="AJ6" s="4138"/>
      <c r="AK6" s="4139"/>
      <c r="AL6" s="4140" t="s">
        <v>779</v>
      </c>
      <c r="AM6" s="4141"/>
      <c r="AN6" s="4141"/>
      <c r="AO6" s="4141"/>
      <c r="AP6" s="4141"/>
      <c r="AQ6" s="4141"/>
      <c r="AR6" s="4141"/>
      <c r="AS6" s="4141"/>
      <c r="AT6" s="4141"/>
      <c r="AU6" s="4142"/>
      <c r="AY6" s="1490" t="s">
        <v>778</v>
      </c>
      <c r="AZ6" s="1489"/>
      <c r="BA6" s="1489"/>
      <c r="BB6" s="1489"/>
      <c r="BC6" s="1489"/>
      <c r="BD6" s="1489"/>
      <c r="BE6" s="1489"/>
      <c r="BF6" s="1489"/>
      <c r="BG6" s="1497"/>
    </row>
    <row r="7" spans="2:59" s="1487" customFormat="1" ht="15" customHeight="1" thickBot="1">
      <c r="B7" s="1496" t="s">
        <v>777</v>
      </c>
      <c r="C7" s="1495"/>
      <c r="D7" s="1492"/>
      <c r="E7" s="1492"/>
      <c r="F7" s="1492"/>
      <c r="G7" s="1494" t="str">
        <f ca="1">CELL("nomfichier")</f>
        <v>E:\0-UPRT\1-UPRT.FR-SITE-WEB\ff-fiches-fabrications\ff-fiches-fabrication-maj-08-2020\[ff-2-A-collectivite.poids.portion.xlsx]Nota</v>
      </c>
      <c r="H7" s="1492"/>
      <c r="I7" s="1492"/>
      <c r="J7" s="1492"/>
      <c r="K7" s="1493"/>
      <c r="L7" s="1492"/>
      <c r="M7" s="1492"/>
      <c r="N7" s="1492"/>
      <c r="O7" s="1492"/>
      <c r="P7" s="1492"/>
      <c r="Q7" s="1492"/>
      <c r="R7" s="1492"/>
      <c r="S7" s="1492"/>
      <c r="T7" s="1492"/>
      <c r="U7" s="1492"/>
      <c r="V7" s="1492"/>
      <c r="W7" s="1492"/>
      <c r="X7" s="1492"/>
      <c r="Y7" s="1492"/>
      <c r="Z7" s="1492"/>
      <c r="AA7" s="1492"/>
      <c r="AB7" s="1492"/>
      <c r="AC7" s="1492"/>
      <c r="AD7" s="1492"/>
      <c r="AE7" s="1492"/>
      <c r="AF7" s="1492"/>
      <c r="AG7" s="1492"/>
      <c r="AH7" s="1492"/>
      <c r="AI7" s="1492"/>
      <c r="AJ7" s="1492"/>
      <c r="AK7" s="1492"/>
      <c r="AL7" s="1492"/>
      <c r="AM7" s="1492"/>
      <c r="AN7" s="1492"/>
      <c r="AO7" s="1492"/>
      <c r="AP7" s="1492"/>
      <c r="AQ7" s="1492"/>
      <c r="AR7" s="1492"/>
      <c r="AS7" s="1492"/>
      <c r="AT7" s="1492"/>
      <c r="AU7" s="1491"/>
      <c r="AY7" s="1490" t="s">
        <v>776</v>
      </c>
      <c r="AZ7" s="1489"/>
      <c r="BA7" s="1489"/>
      <c r="BB7" s="1489"/>
      <c r="BC7" s="1489"/>
      <c r="BD7" s="1489"/>
      <c r="BE7" s="1489"/>
      <c r="BF7" s="1489"/>
      <c r="BG7" s="1488"/>
    </row>
    <row r="8" spans="2:59" ht="15.75">
      <c r="B8" s="1486"/>
      <c r="C8" s="1485"/>
      <c r="D8" s="1485"/>
      <c r="E8" s="1485"/>
      <c r="F8" s="1485"/>
      <c r="G8" s="1482"/>
      <c r="H8" s="1482"/>
      <c r="I8" s="1482"/>
      <c r="J8" s="1482"/>
      <c r="K8" s="1482"/>
      <c r="L8" s="1482"/>
      <c r="M8" s="1482"/>
      <c r="N8" s="1482"/>
      <c r="O8" s="1482"/>
      <c r="P8" s="1482"/>
      <c r="Q8" s="1482"/>
      <c r="R8" s="1482"/>
      <c r="S8" s="1482"/>
      <c r="T8" s="1482"/>
      <c r="U8" s="1482"/>
      <c r="V8" s="1482"/>
      <c r="W8" s="1482"/>
      <c r="X8" s="1482"/>
      <c r="Y8" s="1482"/>
      <c r="Z8" s="1482"/>
      <c r="AA8" s="1482"/>
      <c r="AB8" s="1482"/>
      <c r="AC8" s="1482"/>
      <c r="AD8" s="1482"/>
      <c r="AE8" s="1482"/>
      <c r="AF8" s="1482"/>
      <c r="AG8" s="1482"/>
      <c r="AH8" s="1482"/>
      <c r="AI8" s="1482"/>
      <c r="AJ8" s="1482"/>
      <c r="AK8" s="1482"/>
      <c r="AL8" s="1482"/>
      <c r="AM8" s="1482"/>
      <c r="AN8" s="1482"/>
      <c r="AO8" s="1482"/>
      <c r="AP8" s="1482"/>
      <c r="AQ8" s="1482"/>
      <c r="AR8" s="1483"/>
      <c r="AS8" s="1483"/>
      <c r="AT8" s="1482"/>
      <c r="AU8" s="1482"/>
      <c r="AV8" s="1482"/>
    </row>
    <row r="9" spans="2:59" ht="9.9499999999999993" customHeight="1">
      <c r="B9" s="4056"/>
      <c r="F9" s="4059" t="s">
        <v>2</v>
      </c>
      <c r="G9" s="4092" t="s">
        <v>775</v>
      </c>
      <c r="H9" s="4092"/>
      <c r="I9" s="4092"/>
      <c r="J9" s="4092"/>
      <c r="K9" s="4093"/>
      <c r="L9" s="1421"/>
      <c r="M9" s="1421"/>
      <c r="N9" s="1421"/>
      <c r="O9" s="4059" t="s">
        <v>27</v>
      </c>
      <c r="P9" s="4104" t="s">
        <v>774</v>
      </c>
      <c r="Q9" s="4104"/>
      <c r="R9" s="4104"/>
      <c r="S9" s="4104"/>
      <c r="T9" s="4105"/>
      <c r="U9" s="1421"/>
      <c r="V9" s="1421"/>
      <c r="W9" s="1421"/>
      <c r="X9" s="4059" t="s">
        <v>39</v>
      </c>
      <c r="Y9" s="4074" t="s">
        <v>773</v>
      </c>
      <c r="Z9" s="4074"/>
      <c r="AA9" s="4074"/>
      <c r="AB9" s="4074"/>
      <c r="AC9" s="4075"/>
      <c r="AD9" s="1421"/>
      <c r="AE9" s="1421"/>
      <c r="AF9" s="1421"/>
      <c r="AG9" s="4059" t="s">
        <v>52</v>
      </c>
      <c r="AH9" s="4143" t="s">
        <v>772</v>
      </c>
      <c r="AI9" s="4143"/>
      <c r="AJ9" s="4143"/>
      <c r="AK9" s="4143"/>
      <c r="AL9" s="4144"/>
      <c r="AM9" s="1421"/>
      <c r="AN9" s="1421"/>
      <c r="AO9" s="1421"/>
      <c r="AP9" s="4059" t="s">
        <v>771</v>
      </c>
      <c r="AQ9" s="4062" t="s">
        <v>770</v>
      </c>
      <c r="AR9" s="4062"/>
      <c r="AS9" s="4062"/>
      <c r="AT9" s="4062"/>
      <c r="AU9" s="4063"/>
      <c r="AV9" s="1421"/>
      <c r="AY9" s="1438"/>
      <c r="AZ9" s="1437"/>
      <c r="BA9" s="1436"/>
      <c r="BB9" s="1436"/>
      <c r="BC9" s="1436"/>
      <c r="BD9" s="1435"/>
    </row>
    <row r="10" spans="2:59" ht="4.5" customHeight="1">
      <c r="B10" s="4057"/>
      <c r="C10" s="1427"/>
      <c r="D10" s="1427"/>
      <c r="E10" s="1427"/>
      <c r="F10" s="4060"/>
      <c r="G10" s="4094"/>
      <c r="H10" s="4094"/>
      <c r="I10" s="4094"/>
      <c r="J10" s="4094"/>
      <c r="K10" s="4095"/>
      <c r="L10" s="1421"/>
      <c r="M10" s="1421"/>
      <c r="N10" s="1421"/>
      <c r="O10" s="4060"/>
      <c r="P10" s="4106"/>
      <c r="Q10" s="4106"/>
      <c r="R10" s="4106"/>
      <c r="S10" s="4106"/>
      <c r="T10" s="4107"/>
      <c r="U10" s="1421"/>
      <c r="V10" s="1421"/>
      <c r="W10" s="1421"/>
      <c r="X10" s="4060"/>
      <c r="Y10" s="4076"/>
      <c r="Z10" s="4076"/>
      <c r="AA10" s="4076"/>
      <c r="AB10" s="4076"/>
      <c r="AC10" s="4077"/>
      <c r="AD10" s="1421"/>
      <c r="AE10" s="1421"/>
      <c r="AF10" s="1421"/>
      <c r="AG10" s="4060"/>
      <c r="AH10" s="4145"/>
      <c r="AI10" s="4145"/>
      <c r="AJ10" s="4145"/>
      <c r="AK10" s="4145"/>
      <c r="AL10" s="4146"/>
      <c r="AM10" s="1421"/>
      <c r="AN10" s="1421"/>
      <c r="AO10" s="1421"/>
      <c r="AP10" s="4060"/>
      <c r="AQ10" s="4064"/>
      <c r="AR10" s="4064"/>
      <c r="AS10" s="4064"/>
      <c r="AT10" s="4064"/>
      <c r="AU10" s="4065"/>
      <c r="AV10" s="1421"/>
      <c r="AW10" s="1427"/>
      <c r="AY10" s="1431"/>
      <c r="AZ10" s="1430"/>
      <c r="BA10" s="1429"/>
      <c r="BB10" s="1429"/>
      <c r="BC10" s="1429"/>
      <c r="BD10" s="1428"/>
    </row>
    <row r="11" spans="2:59" ht="9.9499999999999993" customHeight="1" thickBot="1">
      <c r="B11" s="4058"/>
      <c r="F11" s="4061"/>
      <c r="G11" s="4096"/>
      <c r="H11" s="4096"/>
      <c r="I11" s="4096"/>
      <c r="J11" s="4096"/>
      <c r="K11" s="4097"/>
      <c r="L11" s="1421"/>
      <c r="M11" s="1421"/>
      <c r="N11" s="1421"/>
      <c r="O11" s="4061"/>
      <c r="P11" s="4108"/>
      <c r="Q11" s="4108"/>
      <c r="R11" s="4108"/>
      <c r="S11" s="4108"/>
      <c r="T11" s="4109"/>
      <c r="U11" s="1421"/>
      <c r="V11" s="1421"/>
      <c r="W11" s="1421"/>
      <c r="X11" s="4061"/>
      <c r="Y11" s="4078"/>
      <c r="Z11" s="4078"/>
      <c r="AA11" s="4078"/>
      <c r="AB11" s="4078"/>
      <c r="AC11" s="4079"/>
      <c r="AD11" s="1421"/>
      <c r="AE11" s="1421"/>
      <c r="AF11" s="1421"/>
      <c r="AG11" s="4061"/>
      <c r="AH11" s="4147"/>
      <c r="AI11" s="4147"/>
      <c r="AJ11" s="4147"/>
      <c r="AK11" s="4147"/>
      <c r="AL11" s="4148"/>
      <c r="AM11" s="1421"/>
      <c r="AN11" s="1421"/>
      <c r="AO11" s="1421"/>
      <c r="AP11" s="4061"/>
      <c r="AQ11" s="4066"/>
      <c r="AR11" s="4066"/>
      <c r="AS11" s="4066"/>
      <c r="AT11" s="4066"/>
      <c r="AU11" s="4067"/>
      <c r="AV11" s="1421"/>
      <c r="AY11" s="1425"/>
      <c r="AZ11" s="1424"/>
      <c r="BA11" s="1423"/>
      <c r="BB11" s="1423"/>
      <c r="BC11" s="1423"/>
      <c r="BD11" s="1422"/>
    </row>
    <row r="12" spans="2:59" ht="21" customHeight="1">
      <c r="B12" s="1486"/>
      <c r="C12" s="1485"/>
      <c r="D12" s="1485"/>
      <c r="E12" s="1485"/>
      <c r="F12" s="1485"/>
      <c r="G12" s="1482"/>
      <c r="H12" s="1482"/>
      <c r="I12" s="1484"/>
      <c r="J12" s="1482"/>
      <c r="K12" s="1482"/>
      <c r="L12" s="1482"/>
      <c r="M12" s="1482"/>
      <c r="N12" s="1482"/>
      <c r="O12" s="1482"/>
      <c r="P12" s="1482"/>
      <c r="Q12" s="1482"/>
      <c r="R12" s="1482"/>
      <c r="S12" s="1482"/>
      <c r="T12" s="1482"/>
      <c r="U12" s="1482"/>
      <c r="V12" s="1482"/>
      <c r="W12" s="1482"/>
      <c r="X12" s="1482"/>
      <c r="Y12" s="1482"/>
      <c r="Z12" s="1482"/>
      <c r="AA12" s="1482"/>
      <c r="AB12" s="1482"/>
      <c r="AC12" s="1482"/>
      <c r="AD12" s="1482"/>
      <c r="AE12" s="1482"/>
      <c r="AF12" s="1482"/>
      <c r="AG12" s="1482"/>
      <c r="AH12" s="1482"/>
      <c r="AI12" s="1482"/>
      <c r="AJ12" s="1482"/>
      <c r="AK12" s="1482"/>
      <c r="AL12" s="1482"/>
      <c r="AM12" s="1482"/>
      <c r="AN12" s="1482"/>
      <c r="AO12" s="1482"/>
      <c r="AP12" s="1482"/>
      <c r="AQ12" s="1482"/>
      <c r="AR12" s="1483"/>
      <c r="AS12" s="1483"/>
      <c r="AT12" s="1482"/>
      <c r="AU12" s="1482"/>
      <c r="AV12" s="1482"/>
    </row>
    <row r="13" spans="2:59" ht="9.9499999999999993" customHeight="1">
      <c r="B13" s="4056">
        <v>1</v>
      </c>
      <c r="F13" s="4059"/>
      <c r="G13" s="4092" t="s">
        <v>769</v>
      </c>
      <c r="H13" s="4092"/>
      <c r="I13" s="4092"/>
      <c r="J13" s="4092"/>
      <c r="K13" s="4093"/>
      <c r="L13" s="1421"/>
      <c r="M13" s="1421"/>
      <c r="N13" s="1421"/>
      <c r="O13" s="4059">
        <v>1</v>
      </c>
      <c r="P13" s="4098" t="s">
        <v>768</v>
      </c>
      <c r="Q13" s="4098"/>
      <c r="R13" s="4098"/>
      <c r="S13" s="4098"/>
      <c r="T13" s="4099"/>
      <c r="U13" s="1421"/>
      <c r="V13" s="1421"/>
      <c r="W13" s="1421"/>
      <c r="X13" s="1438"/>
      <c r="Y13" s="1437"/>
      <c r="Z13" s="1436"/>
      <c r="AA13" s="1436"/>
      <c r="AB13" s="1436"/>
      <c r="AC13" s="1435"/>
      <c r="AD13" s="1421"/>
      <c r="AE13" s="1421"/>
      <c r="AF13" s="1421"/>
      <c r="AG13" s="1438"/>
      <c r="AH13" s="1437"/>
      <c r="AI13" s="1436"/>
      <c r="AJ13" s="1436"/>
      <c r="AK13" s="1436"/>
      <c r="AL13" s="1435"/>
      <c r="AM13" s="1421"/>
      <c r="AN13" s="1421"/>
      <c r="AO13" s="1421"/>
      <c r="AP13" s="1438"/>
      <c r="AQ13" s="1437"/>
      <c r="AR13" s="1436"/>
      <c r="AS13" s="1436"/>
      <c r="AT13" s="1436"/>
      <c r="AU13" s="1435"/>
      <c r="AV13" s="1421"/>
    </row>
    <row r="14" spans="2:59" ht="5.0999999999999996" customHeight="1">
      <c r="B14" s="4057"/>
      <c r="C14" s="1427"/>
      <c r="D14" s="1427"/>
      <c r="E14" s="1427"/>
      <c r="F14" s="4060"/>
      <c r="G14" s="4094"/>
      <c r="H14" s="4094"/>
      <c r="I14" s="4094"/>
      <c r="J14" s="4094"/>
      <c r="K14" s="4095"/>
      <c r="L14" s="1414"/>
      <c r="M14" s="1414"/>
      <c r="N14" s="1414"/>
      <c r="O14" s="4060"/>
      <c r="P14" s="4100"/>
      <c r="Q14" s="4100"/>
      <c r="R14" s="4100"/>
      <c r="S14" s="4100"/>
      <c r="T14" s="4101"/>
      <c r="U14" s="1432"/>
      <c r="V14" s="1432"/>
      <c r="W14" s="1456"/>
      <c r="X14" s="1481"/>
      <c r="Y14" s="1456"/>
      <c r="Z14" s="1434"/>
      <c r="AA14" s="1434"/>
      <c r="AB14" s="1429"/>
      <c r="AC14" s="1428"/>
      <c r="AD14" s="1421"/>
      <c r="AE14" s="1433"/>
      <c r="AF14" s="1421"/>
      <c r="AG14" s="1431"/>
      <c r="AH14" s="1430"/>
      <c r="AI14" s="1429"/>
      <c r="AJ14" s="1429"/>
      <c r="AK14" s="1429"/>
      <c r="AL14" s="1428"/>
      <c r="AM14" s="1421"/>
      <c r="AN14" s="1433"/>
      <c r="AO14" s="1421"/>
      <c r="AP14" s="1431"/>
      <c r="AQ14" s="1430"/>
      <c r="AR14" s="1429"/>
      <c r="AS14" s="1429"/>
      <c r="AT14" s="1429"/>
      <c r="AU14" s="1428"/>
      <c r="AV14" s="1421"/>
      <c r="AW14" s="1427"/>
    </row>
    <row r="15" spans="2:59" ht="9.9499999999999993" customHeight="1" thickBot="1">
      <c r="B15" s="4058"/>
      <c r="F15" s="4061"/>
      <c r="G15" s="4096"/>
      <c r="H15" s="4096"/>
      <c r="I15" s="4096"/>
      <c r="J15" s="4096"/>
      <c r="K15" s="4097"/>
      <c r="L15" s="1421"/>
      <c r="M15" s="1421"/>
      <c r="N15" s="1421"/>
      <c r="O15" s="4061"/>
      <c r="P15" s="4102"/>
      <c r="Q15" s="4102"/>
      <c r="R15" s="4102"/>
      <c r="S15" s="4102"/>
      <c r="T15" s="4103"/>
      <c r="U15" s="1421"/>
      <c r="V15" s="1421"/>
      <c r="W15" s="1421"/>
      <c r="X15" s="1425"/>
      <c r="Y15" s="1424"/>
      <c r="Z15" s="1423"/>
      <c r="AA15" s="1426"/>
      <c r="AB15" s="1423"/>
      <c r="AC15" s="1422"/>
      <c r="AD15" s="1421"/>
      <c r="AE15" s="1421"/>
      <c r="AF15" s="1421"/>
      <c r="AG15" s="1425"/>
      <c r="AH15" s="1424"/>
      <c r="AI15" s="1423"/>
      <c r="AJ15" s="1423"/>
      <c r="AK15" s="1423"/>
      <c r="AL15" s="1422"/>
      <c r="AM15" s="1421"/>
      <c r="AN15" s="1421"/>
      <c r="AO15" s="1421"/>
      <c r="AP15" s="1425"/>
      <c r="AQ15" s="1424"/>
      <c r="AR15" s="1423"/>
      <c r="AS15" s="1423"/>
      <c r="AT15" s="1423"/>
      <c r="AU15" s="1422"/>
      <c r="AV15" s="1421"/>
    </row>
    <row r="16" spans="2:59" ht="5.0999999999999996" customHeight="1">
      <c r="B16" s="1446"/>
      <c r="F16" s="1463"/>
      <c r="G16" s="1447"/>
      <c r="H16" s="1440"/>
      <c r="I16" s="1414"/>
      <c r="J16" s="1440"/>
      <c r="K16" s="1447"/>
      <c r="L16" s="1421"/>
      <c r="M16" s="1421"/>
      <c r="N16" s="1421"/>
      <c r="O16" s="1463"/>
      <c r="P16" s="1421"/>
      <c r="Q16" s="1441"/>
      <c r="R16" s="1441"/>
      <c r="S16" s="1441"/>
      <c r="T16" s="1421"/>
      <c r="U16" s="1421"/>
      <c r="V16" s="1421"/>
      <c r="W16" s="1421"/>
      <c r="X16" s="1464"/>
      <c r="Y16" s="1447"/>
      <c r="Z16" s="1440"/>
      <c r="AA16" s="1448"/>
      <c r="AB16" s="1440"/>
      <c r="AC16" s="1447"/>
      <c r="AD16" s="1421"/>
      <c r="AE16" s="1421"/>
      <c r="AF16" s="1421"/>
      <c r="AG16" s="1463"/>
      <c r="AH16" s="1421"/>
      <c r="AI16" s="1441"/>
      <c r="AJ16" s="1441"/>
      <c r="AK16" s="1441"/>
      <c r="AL16" s="1421"/>
      <c r="AM16" s="1421"/>
      <c r="AN16" s="1421"/>
      <c r="AO16" s="1421"/>
      <c r="AP16" s="1444"/>
      <c r="AQ16" s="1421"/>
      <c r="AR16" s="1468"/>
      <c r="AS16" s="1468"/>
      <c r="AT16" s="1441"/>
      <c r="AU16" s="1421"/>
      <c r="AV16" s="1421"/>
    </row>
    <row r="17" spans="2:49" ht="5.0999999999999996" customHeight="1">
      <c r="B17" s="1442"/>
      <c r="F17" s="1440"/>
      <c r="G17" s="1440"/>
      <c r="H17" s="1440"/>
      <c r="I17" s="1414"/>
      <c r="J17" s="1440"/>
      <c r="K17" s="1421"/>
      <c r="L17" s="1421"/>
      <c r="M17" s="1421"/>
      <c r="N17" s="1421"/>
      <c r="O17" s="1440"/>
      <c r="P17" s="1440"/>
      <c r="Q17" s="1440"/>
      <c r="R17" s="1448"/>
      <c r="S17" s="1440"/>
      <c r="T17" s="1440"/>
      <c r="U17" s="1421"/>
      <c r="V17" s="1421"/>
      <c r="W17" s="1421"/>
      <c r="X17" s="1440"/>
      <c r="Y17" s="1440"/>
      <c r="Z17" s="1440"/>
      <c r="AA17" s="1448"/>
      <c r="AB17" s="1440"/>
      <c r="AC17" s="1421"/>
      <c r="AD17" s="1421"/>
      <c r="AE17" s="1421"/>
      <c r="AF17" s="1421"/>
      <c r="AG17" s="1440"/>
      <c r="AH17" s="1421"/>
      <c r="AI17" s="1421"/>
      <c r="AJ17" s="1433"/>
      <c r="AK17" s="1421"/>
      <c r="AL17" s="1458"/>
      <c r="AM17" s="1421"/>
      <c r="AN17" s="1421"/>
      <c r="AO17" s="1421"/>
      <c r="AP17" s="1441"/>
      <c r="AQ17" s="1460"/>
      <c r="AR17" s="1465"/>
      <c r="AS17" s="1470"/>
      <c r="AT17" s="1421"/>
      <c r="AU17" s="1458"/>
      <c r="AV17" s="1421"/>
    </row>
    <row r="18" spans="2:49" ht="5.0999999999999996" customHeight="1">
      <c r="B18" s="1442"/>
      <c r="F18" s="1440"/>
      <c r="G18" s="1440"/>
      <c r="H18" s="1440"/>
      <c r="I18" s="1480"/>
      <c r="J18" s="1440"/>
      <c r="K18" s="1421"/>
      <c r="L18" s="1421"/>
      <c r="M18" s="1421"/>
      <c r="N18" s="1421"/>
      <c r="O18" s="1440"/>
      <c r="P18" s="1440"/>
      <c r="Q18" s="1440"/>
      <c r="R18" s="1440"/>
      <c r="S18" s="1440"/>
      <c r="T18" s="1440"/>
      <c r="U18" s="1421"/>
      <c r="V18" s="1421"/>
      <c r="W18" s="1421"/>
      <c r="X18" s="1440"/>
      <c r="Y18" s="1440"/>
      <c r="Z18" s="1440"/>
      <c r="AA18" s="1448"/>
      <c r="AB18" s="1440"/>
      <c r="AC18" s="1421"/>
      <c r="AD18" s="1421"/>
      <c r="AE18" s="1421"/>
      <c r="AF18" s="1421"/>
      <c r="AG18" s="1440"/>
      <c r="AH18" s="1421"/>
      <c r="AI18" s="1421"/>
      <c r="AJ18" s="1421"/>
      <c r="AK18" s="1421"/>
      <c r="AL18" s="1458"/>
      <c r="AM18" s="1421"/>
      <c r="AN18" s="1421"/>
      <c r="AO18" s="1421"/>
      <c r="AP18" s="1441"/>
      <c r="AQ18" s="1460"/>
      <c r="AR18" s="1465"/>
      <c r="AS18" s="1465"/>
      <c r="AT18" s="1421"/>
      <c r="AU18" s="1458"/>
      <c r="AV18" s="1421"/>
    </row>
    <row r="19" spans="2:49" ht="9.9499999999999993" customHeight="1">
      <c r="B19" s="4056">
        <v>2</v>
      </c>
      <c r="F19" s="4059"/>
      <c r="G19" s="4092" t="s">
        <v>767</v>
      </c>
      <c r="H19" s="4092"/>
      <c r="I19" s="4092"/>
      <c r="J19" s="4092"/>
      <c r="K19" s="4093"/>
      <c r="L19" s="1421"/>
      <c r="M19" s="1421"/>
      <c r="N19" s="1421"/>
      <c r="O19" s="1438"/>
      <c r="P19" s="1437"/>
      <c r="Q19" s="1436"/>
      <c r="R19" s="1436"/>
      <c r="S19" s="1436"/>
      <c r="T19" s="1435"/>
      <c r="U19" s="1421"/>
      <c r="V19" s="1421"/>
      <c r="W19" s="1421"/>
      <c r="X19" s="4059">
        <v>1</v>
      </c>
      <c r="Y19" s="4074" t="s">
        <v>766</v>
      </c>
      <c r="Z19" s="4074"/>
      <c r="AA19" s="4074"/>
      <c r="AB19" s="4074"/>
      <c r="AC19" s="4075"/>
      <c r="AD19" s="1421"/>
      <c r="AE19" s="1421"/>
      <c r="AF19" s="1421"/>
      <c r="AG19" s="1438"/>
      <c r="AH19" s="1437"/>
      <c r="AI19" s="1436"/>
      <c r="AJ19" s="1436"/>
      <c r="AK19" s="1436"/>
      <c r="AL19" s="1435"/>
      <c r="AM19" s="1421"/>
      <c r="AN19" s="1421"/>
      <c r="AO19" s="1421"/>
      <c r="AP19" s="1438"/>
      <c r="AQ19" s="1437"/>
      <c r="AR19" s="1436"/>
      <c r="AS19" s="1436"/>
      <c r="AT19" s="1436"/>
      <c r="AU19" s="1435"/>
      <c r="AV19" s="1421"/>
    </row>
    <row r="20" spans="2:49" ht="5.0999999999999996" customHeight="1">
      <c r="B20" s="4057"/>
      <c r="C20" s="1427"/>
      <c r="D20" s="1427"/>
      <c r="E20" s="1427"/>
      <c r="F20" s="4060"/>
      <c r="G20" s="4094"/>
      <c r="H20" s="4094"/>
      <c r="I20" s="4094"/>
      <c r="J20" s="4094"/>
      <c r="K20" s="4095"/>
      <c r="L20" s="1450"/>
      <c r="M20" s="1432"/>
      <c r="N20" s="1421"/>
      <c r="O20" s="1431"/>
      <c r="P20" s="1430"/>
      <c r="Q20" s="1429"/>
      <c r="R20" s="1429"/>
      <c r="S20" s="1429"/>
      <c r="T20" s="1428"/>
      <c r="U20" s="1421"/>
      <c r="V20" s="1432"/>
      <c r="W20" s="1421"/>
      <c r="X20" s="4060"/>
      <c r="Y20" s="4076"/>
      <c r="Z20" s="4076"/>
      <c r="AA20" s="4076"/>
      <c r="AB20" s="4076"/>
      <c r="AC20" s="4077"/>
      <c r="AD20" s="1433"/>
      <c r="AE20" s="1433"/>
      <c r="AF20" s="1433"/>
      <c r="AG20" s="1479"/>
      <c r="AH20" s="1478"/>
      <c r="AI20" s="1477"/>
      <c r="AJ20" s="1477"/>
      <c r="AK20" s="1429"/>
      <c r="AL20" s="1428"/>
      <c r="AM20" s="1421"/>
      <c r="AN20" s="1433"/>
      <c r="AO20" s="1421"/>
      <c r="AP20" s="1431"/>
      <c r="AQ20" s="1430"/>
      <c r="AR20" s="1429"/>
      <c r="AS20" s="1429"/>
      <c r="AT20" s="1429"/>
      <c r="AU20" s="1428"/>
      <c r="AV20" s="1421"/>
      <c r="AW20" s="1427"/>
    </row>
    <row r="21" spans="2:49" ht="9.9499999999999993" customHeight="1" thickBot="1">
      <c r="B21" s="4058"/>
      <c r="F21" s="4061"/>
      <c r="G21" s="4096"/>
      <c r="H21" s="4096"/>
      <c r="I21" s="4096"/>
      <c r="J21" s="4096"/>
      <c r="K21" s="4097"/>
      <c r="L21" s="1421"/>
      <c r="M21" s="1421"/>
      <c r="N21" s="1421"/>
      <c r="O21" s="1425"/>
      <c r="P21" s="1424"/>
      <c r="Q21" s="1423"/>
      <c r="R21" s="1423"/>
      <c r="S21" s="1423"/>
      <c r="T21" s="1422"/>
      <c r="U21" s="1421"/>
      <c r="V21" s="1421"/>
      <c r="W21" s="1421"/>
      <c r="X21" s="4061"/>
      <c r="Y21" s="4078"/>
      <c r="Z21" s="4078"/>
      <c r="AA21" s="4078"/>
      <c r="AB21" s="4078"/>
      <c r="AC21" s="4079"/>
      <c r="AD21" s="1421"/>
      <c r="AE21" s="1421"/>
      <c r="AF21" s="1421"/>
      <c r="AG21" s="1425"/>
      <c r="AH21" s="1424"/>
      <c r="AI21" s="1423"/>
      <c r="AJ21" s="1476"/>
      <c r="AK21" s="1423"/>
      <c r="AL21" s="1422"/>
      <c r="AM21" s="1421"/>
      <c r="AN21" s="1421"/>
      <c r="AO21" s="1421"/>
      <c r="AP21" s="1425"/>
      <c r="AQ21" s="1424"/>
      <c r="AR21" s="1423"/>
      <c r="AS21" s="1423"/>
      <c r="AT21" s="1423"/>
      <c r="AU21" s="1422"/>
      <c r="AV21" s="1421"/>
    </row>
    <row r="22" spans="2:49" ht="5.0999999999999996" customHeight="1">
      <c r="B22" s="1446"/>
      <c r="F22" s="1463"/>
      <c r="G22" s="1447"/>
      <c r="H22" s="1440"/>
      <c r="I22" s="1414"/>
      <c r="J22" s="1440"/>
      <c r="K22" s="1447"/>
      <c r="L22" s="1421"/>
      <c r="M22" s="1421"/>
      <c r="N22" s="1421"/>
      <c r="O22" s="1463"/>
      <c r="P22" s="1421"/>
      <c r="Q22" s="1441"/>
      <c r="R22" s="1441"/>
      <c r="S22" s="1441"/>
      <c r="T22" s="1421"/>
      <c r="U22" s="1421"/>
      <c r="V22" s="1421"/>
      <c r="W22" s="1421"/>
      <c r="X22" s="1464"/>
      <c r="Y22" s="1447"/>
      <c r="Z22" s="1440"/>
      <c r="AA22" s="1440"/>
      <c r="AB22" s="1440"/>
      <c r="AC22" s="1447"/>
      <c r="AD22" s="1421"/>
      <c r="AE22" s="1421"/>
      <c r="AF22" s="1421"/>
      <c r="AG22" s="1444"/>
      <c r="AH22" s="1421"/>
      <c r="AI22" s="1441"/>
      <c r="AJ22" s="1475"/>
      <c r="AK22" s="1441"/>
      <c r="AL22" s="1421"/>
      <c r="AM22" s="1421"/>
      <c r="AN22" s="1421"/>
      <c r="AO22" s="1421"/>
      <c r="AP22" s="1444"/>
      <c r="AQ22" s="1421"/>
      <c r="AR22" s="1468"/>
      <c r="AS22" s="1468"/>
      <c r="AT22" s="1441"/>
      <c r="AU22" s="1421"/>
      <c r="AV22" s="1421"/>
    </row>
    <row r="23" spans="2:49" ht="5.0999999999999996" customHeight="1">
      <c r="B23" s="1442"/>
      <c r="F23" s="1440"/>
      <c r="G23" s="1440"/>
      <c r="H23" s="1440"/>
      <c r="I23" s="1414"/>
      <c r="J23" s="1440"/>
      <c r="K23" s="1421"/>
      <c r="L23" s="1421"/>
      <c r="M23" s="1421"/>
      <c r="N23" s="1421"/>
      <c r="O23" s="1440"/>
      <c r="P23" s="1440"/>
      <c r="Q23" s="1440"/>
      <c r="R23" s="1443"/>
      <c r="S23" s="1440"/>
      <c r="T23" s="1440"/>
      <c r="U23" s="1421"/>
      <c r="V23" s="1421"/>
      <c r="W23" s="1421"/>
      <c r="X23" s="1440"/>
      <c r="Y23" s="1440"/>
      <c r="Z23" s="1440"/>
      <c r="AA23" s="1443"/>
      <c r="AB23" s="1440"/>
      <c r="AC23" s="1421"/>
      <c r="AD23" s="1421"/>
      <c r="AE23" s="1421"/>
      <c r="AF23" s="1421"/>
      <c r="AG23" s="1441"/>
      <c r="AH23" s="1421"/>
      <c r="AI23" s="1421"/>
      <c r="AJ23" s="1433"/>
      <c r="AK23" s="1421"/>
      <c r="AL23" s="1458"/>
      <c r="AM23" s="1421"/>
      <c r="AN23" s="1421"/>
      <c r="AO23" s="1421"/>
      <c r="AP23" s="1441"/>
      <c r="AQ23" s="1460"/>
      <c r="AR23" s="1465"/>
      <c r="AS23" s="1470"/>
      <c r="AT23" s="1421"/>
      <c r="AU23" s="1458"/>
      <c r="AV23" s="1421"/>
    </row>
    <row r="24" spans="2:49" ht="5.0999999999999996" customHeight="1">
      <c r="B24" s="1442"/>
      <c r="F24" s="1440"/>
      <c r="G24" s="1440"/>
      <c r="H24" s="1440"/>
      <c r="I24" s="1414"/>
      <c r="J24" s="1440"/>
      <c r="K24" s="1421"/>
      <c r="L24" s="1421"/>
      <c r="M24" s="1421"/>
      <c r="N24" s="1421"/>
      <c r="O24" s="1440"/>
      <c r="P24" s="1440"/>
      <c r="Q24" s="1440"/>
      <c r="R24" s="1440"/>
      <c r="S24" s="1440"/>
      <c r="T24" s="1440"/>
      <c r="U24" s="1421"/>
      <c r="V24" s="1421"/>
      <c r="W24" s="1421"/>
      <c r="X24" s="1440"/>
      <c r="Y24" s="1440"/>
      <c r="Z24" s="1440"/>
      <c r="AA24" s="1440"/>
      <c r="AB24" s="1440"/>
      <c r="AC24" s="1421"/>
      <c r="AD24" s="1421"/>
      <c r="AE24" s="1421"/>
      <c r="AF24" s="1421"/>
      <c r="AG24" s="1441"/>
      <c r="AH24" s="1421"/>
      <c r="AI24" s="1421"/>
      <c r="AJ24" s="1433"/>
      <c r="AK24" s="1421"/>
      <c r="AL24" s="1458"/>
      <c r="AM24" s="1421"/>
      <c r="AN24" s="1421"/>
      <c r="AO24" s="1421"/>
      <c r="AP24" s="1441"/>
      <c r="AQ24" s="1460"/>
      <c r="AR24" s="1465"/>
      <c r="AS24" s="1465"/>
      <c r="AT24" s="1421"/>
      <c r="AU24" s="1458"/>
      <c r="AV24" s="1421"/>
    </row>
    <row r="25" spans="2:49" ht="9.9499999999999993" customHeight="1">
      <c r="B25" s="4056">
        <v>3</v>
      </c>
      <c r="F25" s="4059"/>
      <c r="G25" s="4068" t="s">
        <v>765</v>
      </c>
      <c r="H25" s="4068"/>
      <c r="I25" s="4068"/>
      <c r="J25" s="4068"/>
      <c r="K25" s="4069"/>
      <c r="L25" s="1421"/>
      <c r="M25" s="1421"/>
      <c r="N25" s="1421"/>
      <c r="O25" s="1438"/>
      <c r="P25" s="1437"/>
      <c r="Q25" s="1436"/>
      <c r="R25" s="1436"/>
      <c r="S25" s="1436"/>
      <c r="T25" s="1435"/>
      <c r="U25" s="1421"/>
      <c r="V25" s="1421"/>
      <c r="W25" s="1421"/>
      <c r="X25" s="1438"/>
      <c r="Y25" s="1437"/>
      <c r="Z25" s="1436"/>
      <c r="AA25" s="1436"/>
      <c r="AB25" s="1436"/>
      <c r="AC25" s="1435"/>
      <c r="AD25" s="1421"/>
      <c r="AE25" s="1421"/>
      <c r="AF25" s="1421"/>
      <c r="AG25" s="4059">
        <v>1</v>
      </c>
      <c r="AH25" s="4080" t="s">
        <v>764</v>
      </c>
      <c r="AI25" s="4080"/>
      <c r="AJ25" s="4080"/>
      <c r="AK25" s="4080"/>
      <c r="AL25" s="4081"/>
      <c r="AM25" s="1421"/>
      <c r="AN25" s="1421"/>
      <c r="AO25" s="1421"/>
      <c r="AP25" s="1438"/>
      <c r="AQ25" s="1437"/>
      <c r="AR25" s="1436"/>
      <c r="AS25" s="1436"/>
      <c r="AT25" s="1436"/>
      <c r="AU25" s="1435"/>
      <c r="AV25" s="1421"/>
    </row>
    <row r="26" spans="2:49" ht="5.0999999999999996" customHeight="1">
      <c r="B26" s="4057"/>
      <c r="C26" s="1427"/>
      <c r="D26" s="1427"/>
      <c r="E26" s="1427"/>
      <c r="F26" s="4060"/>
      <c r="G26" s="4070"/>
      <c r="H26" s="4070"/>
      <c r="I26" s="4070"/>
      <c r="J26" s="4070"/>
      <c r="K26" s="4071"/>
      <c r="L26" s="1421"/>
      <c r="M26" s="1433"/>
      <c r="N26" s="1421"/>
      <c r="O26" s="1431"/>
      <c r="P26" s="1430"/>
      <c r="Q26" s="1429"/>
      <c r="R26" s="1429"/>
      <c r="S26" s="1429"/>
      <c r="T26" s="1428"/>
      <c r="U26" s="1421"/>
      <c r="V26" s="1433"/>
      <c r="W26" s="1421"/>
      <c r="X26" s="1431"/>
      <c r="Y26" s="1430"/>
      <c r="Z26" s="1429"/>
      <c r="AA26" s="1429"/>
      <c r="AB26" s="1429"/>
      <c r="AC26" s="1428"/>
      <c r="AD26" s="1421"/>
      <c r="AE26" s="1433"/>
      <c r="AF26" s="1421"/>
      <c r="AG26" s="4060"/>
      <c r="AH26" s="4082"/>
      <c r="AI26" s="4082"/>
      <c r="AJ26" s="4082"/>
      <c r="AK26" s="4082"/>
      <c r="AL26" s="4083"/>
      <c r="AM26" s="1421"/>
      <c r="AN26" s="1433"/>
      <c r="AO26" s="1421"/>
      <c r="AP26" s="1431"/>
      <c r="AQ26" s="1430"/>
      <c r="AR26" s="1429"/>
      <c r="AS26" s="1429"/>
      <c r="AT26" s="1429"/>
      <c r="AU26" s="1428"/>
      <c r="AV26" s="1421"/>
      <c r="AW26" s="1427"/>
    </row>
    <row r="27" spans="2:49" ht="9.9499999999999993" customHeight="1" thickBot="1">
      <c r="B27" s="4058"/>
      <c r="F27" s="4061"/>
      <c r="G27" s="4072"/>
      <c r="H27" s="4072"/>
      <c r="I27" s="4072"/>
      <c r="J27" s="4072"/>
      <c r="K27" s="4073"/>
      <c r="L27" s="1421"/>
      <c r="M27" s="1421"/>
      <c r="N27" s="1421"/>
      <c r="O27" s="1425"/>
      <c r="P27" s="1424"/>
      <c r="Q27" s="1423"/>
      <c r="R27" s="1423"/>
      <c r="S27" s="1423"/>
      <c r="T27" s="1422"/>
      <c r="U27" s="1421"/>
      <c r="V27" s="1421"/>
      <c r="W27" s="1421"/>
      <c r="X27" s="1425"/>
      <c r="Y27" s="1424"/>
      <c r="Z27" s="1423"/>
      <c r="AA27" s="1423"/>
      <c r="AB27" s="1423"/>
      <c r="AC27" s="1422"/>
      <c r="AD27" s="1421"/>
      <c r="AE27" s="1421"/>
      <c r="AF27" s="1421"/>
      <c r="AG27" s="4061"/>
      <c r="AH27" s="4084"/>
      <c r="AI27" s="4084"/>
      <c r="AJ27" s="4084"/>
      <c r="AK27" s="4084"/>
      <c r="AL27" s="4085"/>
      <c r="AM27" s="1421"/>
      <c r="AN27" s="1421"/>
      <c r="AO27" s="1421"/>
      <c r="AP27" s="1425"/>
      <c r="AQ27" s="1424"/>
      <c r="AR27" s="1423"/>
      <c r="AS27" s="1423"/>
      <c r="AT27" s="1423"/>
      <c r="AU27" s="1422"/>
      <c r="AV27" s="1421"/>
    </row>
    <row r="28" spans="2:49" ht="5.0999999999999996" customHeight="1">
      <c r="B28" s="1446"/>
      <c r="F28" s="1463"/>
      <c r="G28" s="1447"/>
      <c r="H28" s="1440"/>
      <c r="I28" s="1414"/>
      <c r="J28" s="1440"/>
      <c r="K28" s="1447"/>
      <c r="L28" s="1421"/>
      <c r="M28" s="1421"/>
      <c r="N28" s="1421"/>
      <c r="O28" s="1463"/>
      <c r="P28" s="1421"/>
      <c r="Q28" s="1441"/>
      <c r="R28" s="1441"/>
      <c r="S28" s="1441"/>
      <c r="T28" s="1421"/>
      <c r="U28" s="1421"/>
      <c r="V28" s="1421"/>
      <c r="W28" s="1421"/>
      <c r="X28" s="1463"/>
      <c r="Y28" s="1421"/>
      <c r="Z28" s="1441"/>
      <c r="AA28" s="1441"/>
      <c r="AB28" s="1441"/>
      <c r="AC28" s="1421"/>
      <c r="AD28" s="1421"/>
      <c r="AE28" s="1421"/>
      <c r="AF28" s="1421"/>
      <c r="AG28" s="1463"/>
      <c r="AH28" s="1421"/>
      <c r="AI28" s="1468"/>
      <c r="AJ28" s="1474"/>
      <c r="AK28" s="1441"/>
      <c r="AL28" s="1421"/>
      <c r="AM28" s="1421"/>
      <c r="AN28" s="1421"/>
      <c r="AO28" s="1421"/>
      <c r="AP28" s="1463"/>
      <c r="AQ28" s="1421"/>
      <c r="AR28" s="1468"/>
      <c r="AS28" s="1468"/>
      <c r="AT28" s="1441"/>
      <c r="AU28" s="1421"/>
      <c r="AV28" s="1421"/>
    </row>
    <row r="29" spans="2:49" ht="5.0999999999999996" customHeight="1">
      <c r="B29" s="1442"/>
      <c r="F29" s="1440"/>
      <c r="G29" s="1440"/>
      <c r="H29" s="1440"/>
      <c r="I29" s="1414"/>
      <c r="J29" s="1440"/>
      <c r="K29" s="1421"/>
      <c r="L29" s="1421"/>
      <c r="M29" s="1421"/>
      <c r="N29" s="1421"/>
      <c r="O29" s="1440"/>
      <c r="P29" s="1440"/>
      <c r="Q29" s="1440"/>
      <c r="R29" s="1443"/>
      <c r="S29" s="1440"/>
      <c r="T29" s="1440"/>
      <c r="U29" s="1421"/>
      <c r="V29" s="1421"/>
      <c r="W29" s="1421"/>
      <c r="X29" s="1440"/>
      <c r="Y29" s="1421"/>
      <c r="Z29" s="1421"/>
      <c r="AA29" s="1443"/>
      <c r="AB29" s="1421"/>
      <c r="AC29" s="1458"/>
      <c r="AD29" s="1421"/>
      <c r="AE29" s="1421"/>
      <c r="AF29" s="1421"/>
      <c r="AG29" s="1440"/>
      <c r="AH29" s="1460"/>
      <c r="AI29" s="1465"/>
      <c r="AJ29" s="1470"/>
      <c r="AK29" s="1421"/>
      <c r="AL29" s="1458"/>
      <c r="AM29" s="1421"/>
      <c r="AN29" s="1421"/>
      <c r="AO29" s="1421"/>
      <c r="AP29" s="1440"/>
      <c r="AQ29" s="1460"/>
      <c r="AR29" s="1465"/>
      <c r="AS29" s="1470"/>
      <c r="AT29" s="1421"/>
      <c r="AU29" s="1458"/>
      <c r="AV29" s="1421"/>
    </row>
    <row r="30" spans="2:49" ht="5.0999999999999996" customHeight="1">
      <c r="B30" s="1442"/>
      <c r="F30" s="1440"/>
      <c r="G30" s="1440"/>
      <c r="H30" s="1440"/>
      <c r="I30" s="1414"/>
      <c r="J30" s="1440"/>
      <c r="K30" s="1421"/>
      <c r="L30" s="1421"/>
      <c r="M30" s="1421"/>
      <c r="N30" s="1421"/>
      <c r="O30" s="1440"/>
      <c r="P30" s="1440"/>
      <c r="Q30" s="1440"/>
      <c r="R30" s="1440"/>
      <c r="S30" s="1440"/>
      <c r="T30" s="1440"/>
      <c r="U30" s="1421"/>
      <c r="V30" s="1421"/>
      <c r="W30" s="1421"/>
      <c r="X30" s="1440"/>
      <c r="Y30" s="1421"/>
      <c r="Z30" s="1421"/>
      <c r="AA30" s="1440"/>
      <c r="AB30" s="1421"/>
      <c r="AC30" s="1458"/>
      <c r="AD30" s="1421"/>
      <c r="AE30" s="1421"/>
      <c r="AF30" s="1421"/>
      <c r="AG30" s="1440"/>
      <c r="AH30" s="1460"/>
      <c r="AI30" s="1465"/>
      <c r="AJ30" s="1470"/>
      <c r="AK30" s="1421"/>
      <c r="AL30" s="1458"/>
      <c r="AM30" s="1421"/>
      <c r="AN30" s="1421"/>
      <c r="AO30" s="1421"/>
      <c r="AP30" s="1440"/>
      <c r="AQ30" s="1460"/>
      <c r="AR30" s="1465"/>
      <c r="AS30" s="1465"/>
      <c r="AT30" s="1421"/>
      <c r="AU30" s="1458"/>
      <c r="AV30" s="1421"/>
    </row>
    <row r="31" spans="2:49" ht="9.9499999999999993" customHeight="1">
      <c r="B31" s="4056">
        <v>4</v>
      </c>
      <c r="F31" s="4059"/>
      <c r="G31" s="4068" t="s">
        <v>763</v>
      </c>
      <c r="H31" s="4068"/>
      <c r="I31" s="4068"/>
      <c r="J31" s="4068"/>
      <c r="K31" s="4069"/>
      <c r="L31" s="1421"/>
      <c r="M31" s="1421"/>
      <c r="N31" s="1421"/>
      <c r="O31" s="1438"/>
      <c r="P31" s="1437"/>
      <c r="Q31" s="1436"/>
      <c r="R31" s="1436"/>
      <c r="S31" s="1436"/>
      <c r="T31" s="1435"/>
      <c r="U31" s="1421"/>
      <c r="V31" s="1421"/>
      <c r="W31" s="1421"/>
      <c r="X31" s="1438"/>
      <c r="Y31" s="1437"/>
      <c r="Z31" s="1436"/>
      <c r="AA31" s="1436"/>
      <c r="AB31" s="1436"/>
      <c r="AC31" s="1435"/>
      <c r="AD31" s="1421"/>
      <c r="AE31" s="1421"/>
      <c r="AF31" s="1421"/>
      <c r="AG31" s="4059">
        <v>2</v>
      </c>
      <c r="AH31" s="4080" t="s">
        <v>762</v>
      </c>
      <c r="AI31" s="4080"/>
      <c r="AJ31" s="4080"/>
      <c r="AK31" s="4080"/>
      <c r="AL31" s="4081"/>
      <c r="AM31" s="1421"/>
      <c r="AN31" s="1421"/>
      <c r="AO31" s="1421"/>
      <c r="AP31" s="1438"/>
      <c r="AQ31" s="1437"/>
      <c r="AR31" s="1436"/>
      <c r="AS31" s="1436"/>
      <c r="AT31" s="1436"/>
      <c r="AU31" s="1435"/>
      <c r="AV31" s="1421"/>
    </row>
    <row r="32" spans="2:49" ht="5.0999999999999996" customHeight="1">
      <c r="B32" s="4057"/>
      <c r="C32" s="1427"/>
      <c r="D32" s="1427"/>
      <c r="E32" s="1427"/>
      <c r="F32" s="4060"/>
      <c r="G32" s="4070"/>
      <c r="H32" s="4070"/>
      <c r="I32" s="4070"/>
      <c r="J32" s="4070"/>
      <c r="K32" s="4071"/>
      <c r="L32" s="1421"/>
      <c r="M32" s="1433"/>
      <c r="N32" s="1421"/>
      <c r="O32" s="1431"/>
      <c r="P32" s="1430"/>
      <c r="Q32" s="1429"/>
      <c r="R32" s="1429"/>
      <c r="S32" s="1429"/>
      <c r="T32" s="1428"/>
      <c r="U32" s="1421"/>
      <c r="V32" s="1433"/>
      <c r="W32" s="1421"/>
      <c r="X32" s="1431"/>
      <c r="Y32" s="1430"/>
      <c r="Z32" s="1429"/>
      <c r="AA32" s="1429"/>
      <c r="AB32" s="1429"/>
      <c r="AC32" s="1428"/>
      <c r="AD32" s="1421"/>
      <c r="AE32" s="1433"/>
      <c r="AF32" s="1421"/>
      <c r="AG32" s="4060"/>
      <c r="AH32" s="4082"/>
      <c r="AI32" s="4082"/>
      <c r="AJ32" s="4082"/>
      <c r="AK32" s="4082"/>
      <c r="AL32" s="4083"/>
      <c r="AM32" s="1421"/>
      <c r="AN32" s="1433"/>
      <c r="AO32" s="1421"/>
      <c r="AP32" s="1431"/>
      <c r="AQ32" s="1430"/>
      <c r="AR32" s="1429"/>
      <c r="AS32" s="1429"/>
      <c r="AT32" s="1429"/>
      <c r="AU32" s="1428"/>
      <c r="AV32" s="1421"/>
      <c r="AW32" s="1427"/>
    </row>
    <row r="33" spans="2:49" ht="9.9499999999999993" customHeight="1" thickBot="1">
      <c r="B33" s="4058"/>
      <c r="F33" s="4061"/>
      <c r="G33" s="4072"/>
      <c r="H33" s="4072"/>
      <c r="I33" s="4072"/>
      <c r="J33" s="4072"/>
      <c r="K33" s="4073"/>
      <c r="L33" s="1421"/>
      <c r="M33" s="1421"/>
      <c r="N33" s="1421"/>
      <c r="O33" s="1425"/>
      <c r="P33" s="1424"/>
      <c r="Q33" s="1423"/>
      <c r="R33" s="1423"/>
      <c r="S33" s="1423"/>
      <c r="T33" s="1422"/>
      <c r="U33" s="1421"/>
      <c r="V33" s="1421"/>
      <c r="W33" s="1421"/>
      <c r="X33" s="1425"/>
      <c r="Y33" s="1424"/>
      <c r="Z33" s="1423"/>
      <c r="AA33" s="1423"/>
      <c r="AB33" s="1423"/>
      <c r="AC33" s="1422"/>
      <c r="AD33" s="1421"/>
      <c r="AE33" s="1421"/>
      <c r="AF33" s="1421"/>
      <c r="AG33" s="4061"/>
      <c r="AH33" s="4084"/>
      <c r="AI33" s="4084"/>
      <c r="AJ33" s="4084"/>
      <c r="AK33" s="4084"/>
      <c r="AL33" s="4085"/>
      <c r="AM33" s="1421"/>
      <c r="AN33" s="1421"/>
      <c r="AO33" s="1421"/>
      <c r="AP33" s="1425"/>
      <c r="AQ33" s="1424"/>
      <c r="AR33" s="1423"/>
      <c r="AS33" s="1423"/>
      <c r="AT33" s="1423"/>
      <c r="AU33" s="1422"/>
      <c r="AV33" s="1421"/>
    </row>
    <row r="34" spans="2:49" ht="5.0999999999999996" customHeight="1">
      <c r="B34" s="1446"/>
      <c r="F34" s="1444"/>
      <c r="G34" s="1447"/>
      <c r="H34" s="1440"/>
      <c r="I34" s="1414"/>
      <c r="J34" s="1440"/>
      <c r="K34" s="1447"/>
      <c r="L34" s="1421"/>
      <c r="M34" s="1421"/>
      <c r="N34" s="1421"/>
      <c r="O34" s="1444"/>
      <c r="P34" s="1421"/>
      <c r="Q34" s="1441"/>
      <c r="R34" s="1441"/>
      <c r="S34" s="1441"/>
      <c r="T34" s="1421"/>
      <c r="U34" s="1421"/>
      <c r="V34" s="1421"/>
      <c r="W34" s="1421"/>
      <c r="X34" s="1444"/>
      <c r="Y34" s="1447"/>
      <c r="Z34" s="1440"/>
      <c r="AA34" s="1441"/>
      <c r="AB34" s="1440"/>
      <c r="AC34" s="1447"/>
      <c r="AD34" s="1421"/>
      <c r="AE34" s="1421"/>
      <c r="AF34" s="1421"/>
      <c r="AG34" s="1444"/>
      <c r="AH34" s="1421"/>
      <c r="AI34" s="1468"/>
      <c r="AJ34" s="1474"/>
      <c r="AK34" s="1441"/>
      <c r="AL34" s="1421"/>
      <c r="AM34" s="1421"/>
      <c r="AN34" s="1421"/>
      <c r="AO34" s="1421"/>
      <c r="AP34" s="1444"/>
      <c r="AQ34" s="1421"/>
      <c r="AR34" s="1468"/>
      <c r="AS34" s="1468"/>
      <c r="AT34" s="1441"/>
      <c r="AU34" s="1421"/>
      <c r="AV34" s="1421"/>
    </row>
    <row r="35" spans="2:49" ht="5.0999999999999996" customHeight="1">
      <c r="B35" s="1442"/>
      <c r="F35" s="1441"/>
      <c r="G35" s="1440"/>
      <c r="H35" s="1440"/>
      <c r="I35" s="1414"/>
      <c r="J35" s="1440"/>
      <c r="K35" s="1421"/>
      <c r="L35" s="1421"/>
      <c r="M35" s="1421"/>
      <c r="N35" s="1421"/>
      <c r="O35" s="1441"/>
      <c r="P35" s="1440"/>
      <c r="Q35" s="1440"/>
      <c r="R35" s="1466"/>
      <c r="S35" s="1440"/>
      <c r="T35" s="1440"/>
      <c r="U35" s="1421"/>
      <c r="V35" s="1421"/>
      <c r="W35" s="1421"/>
      <c r="X35" s="1441"/>
      <c r="Y35" s="1440"/>
      <c r="Z35" s="1440"/>
      <c r="AA35" s="1466"/>
      <c r="AB35" s="1440"/>
      <c r="AC35" s="1421"/>
      <c r="AD35" s="1421"/>
      <c r="AE35" s="1421"/>
      <c r="AF35" s="1421"/>
      <c r="AG35" s="1441"/>
      <c r="AH35" s="1460"/>
      <c r="AI35" s="1465"/>
      <c r="AJ35" s="1470"/>
      <c r="AK35" s="1421"/>
      <c r="AL35" s="1458"/>
      <c r="AM35" s="1421"/>
      <c r="AN35" s="1421"/>
      <c r="AO35" s="1421"/>
      <c r="AP35" s="1441"/>
      <c r="AQ35" s="1460"/>
      <c r="AR35" s="1465"/>
      <c r="AS35" s="1470"/>
      <c r="AT35" s="1421"/>
      <c r="AU35" s="1458"/>
      <c r="AV35" s="1421"/>
    </row>
    <row r="36" spans="2:49" ht="5.0999999999999996" customHeight="1">
      <c r="B36" s="1442"/>
      <c r="F36" s="1441"/>
      <c r="G36" s="1440"/>
      <c r="H36" s="1440"/>
      <c r="I36" s="1414"/>
      <c r="J36" s="1440"/>
      <c r="K36" s="1421"/>
      <c r="L36" s="1421"/>
      <c r="M36" s="1421"/>
      <c r="N36" s="1421"/>
      <c r="O36" s="1441"/>
      <c r="P36" s="1440"/>
      <c r="Q36" s="1440"/>
      <c r="R36" s="1440"/>
      <c r="S36" s="1440"/>
      <c r="T36" s="1440"/>
      <c r="U36" s="1421"/>
      <c r="V36" s="1421"/>
      <c r="W36" s="1421"/>
      <c r="X36" s="1441"/>
      <c r="Y36" s="1440"/>
      <c r="Z36" s="1440"/>
      <c r="AA36" s="1440"/>
      <c r="AB36" s="1440"/>
      <c r="AC36" s="1421"/>
      <c r="AD36" s="1421"/>
      <c r="AE36" s="1421"/>
      <c r="AF36" s="1421"/>
      <c r="AG36" s="1441"/>
      <c r="AH36" s="1460"/>
      <c r="AI36" s="1465"/>
      <c r="AJ36" s="1470"/>
      <c r="AK36" s="1421"/>
      <c r="AL36" s="1458"/>
      <c r="AM36" s="1421"/>
      <c r="AN36" s="1421"/>
      <c r="AO36" s="1421"/>
      <c r="AP36" s="1441"/>
      <c r="AQ36" s="1460"/>
      <c r="AR36" s="1465"/>
      <c r="AS36" s="1465"/>
      <c r="AT36" s="1421"/>
      <c r="AU36" s="1458"/>
      <c r="AV36" s="1421"/>
    </row>
    <row r="37" spans="2:49" ht="9.9499999999999993" customHeight="1">
      <c r="B37" s="4056">
        <v>5</v>
      </c>
      <c r="F37" s="4059"/>
      <c r="G37" s="4068" t="s">
        <v>761</v>
      </c>
      <c r="H37" s="4068"/>
      <c r="I37" s="4068"/>
      <c r="J37" s="4068"/>
      <c r="K37" s="4069"/>
      <c r="L37" s="1421"/>
      <c r="M37" s="1421"/>
      <c r="N37" s="1421"/>
      <c r="O37" s="1438"/>
      <c r="P37" s="1437"/>
      <c r="Q37" s="1436"/>
      <c r="R37" s="1436"/>
      <c r="S37" s="1436"/>
      <c r="T37" s="1435"/>
      <c r="U37" s="1421"/>
      <c r="V37" s="1421"/>
      <c r="W37" s="1421"/>
      <c r="X37" s="1438"/>
      <c r="Y37" s="1437"/>
      <c r="Z37" s="1436"/>
      <c r="AA37" s="1436"/>
      <c r="AB37" s="1436"/>
      <c r="AC37" s="1435"/>
      <c r="AD37" s="1421"/>
      <c r="AE37" s="1421"/>
      <c r="AF37" s="1421"/>
      <c r="AG37" s="4059">
        <v>3</v>
      </c>
      <c r="AH37" s="4080" t="s">
        <v>760</v>
      </c>
      <c r="AI37" s="4080"/>
      <c r="AJ37" s="4080"/>
      <c r="AK37" s="4080"/>
      <c r="AL37" s="4081"/>
      <c r="AM37" s="1421"/>
      <c r="AN37" s="1421"/>
      <c r="AO37" s="1421"/>
      <c r="AP37" s="1438"/>
      <c r="AQ37" s="1437"/>
      <c r="AR37" s="1436"/>
      <c r="AS37" s="1436"/>
      <c r="AT37" s="1436"/>
      <c r="AU37" s="1435"/>
      <c r="AV37" s="1421"/>
    </row>
    <row r="38" spans="2:49" ht="5.0999999999999996" customHeight="1">
      <c r="B38" s="4057"/>
      <c r="C38" s="1427"/>
      <c r="D38" s="1427"/>
      <c r="E38" s="1427"/>
      <c r="F38" s="4060"/>
      <c r="G38" s="4070"/>
      <c r="H38" s="4070"/>
      <c r="I38" s="4070"/>
      <c r="J38" s="4070"/>
      <c r="K38" s="4071"/>
      <c r="L38" s="1421"/>
      <c r="M38" s="1433"/>
      <c r="N38" s="1421"/>
      <c r="O38" s="1431"/>
      <c r="P38" s="1430"/>
      <c r="Q38" s="1429"/>
      <c r="R38" s="1429"/>
      <c r="S38" s="1429"/>
      <c r="T38" s="1428"/>
      <c r="U38" s="1421"/>
      <c r="V38" s="1433"/>
      <c r="W38" s="1421"/>
      <c r="X38" s="1431"/>
      <c r="Y38" s="1430"/>
      <c r="Z38" s="1429"/>
      <c r="AA38" s="1429"/>
      <c r="AB38" s="1429"/>
      <c r="AC38" s="1428"/>
      <c r="AD38" s="1421"/>
      <c r="AE38" s="1433"/>
      <c r="AF38" s="1421"/>
      <c r="AG38" s="4060"/>
      <c r="AH38" s="4082"/>
      <c r="AI38" s="4082"/>
      <c r="AJ38" s="4082"/>
      <c r="AK38" s="4082"/>
      <c r="AL38" s="4083"/>
      <c r="AM38" s="1421"/>
      <c r="AN38" s="1433"/>
      <c r="AO38" s="1421"/>
      <c r="AP38" s="1431"/>
      <c r="AQ38" s="1430"/>
      <c r="AR38" s="1429"/>
      <c r="AS38" s="1429"/>
      <c r="AT38" s="1429"/>
      <c r="AU38" s="1428"/>
      <c r="AV38" s="1421"/>
      <c r="AW38" s="1427"/>
    </row>
    <row r="39" spans="2:49" ht="9.9499999999999993" customHeight="1" thickBot="1">
      <c r="B39" s="4058"/>
      <c r="F39" s="4061"/>
      <c r="G39" s="4072"/>
      <c r="H39" s="4072"/>
      <c r="I39" s="4072"/>
      <c r="J39" s="4072"/>
      <c r="K39" s="4073"/>
      <c r="L39" s="1421"/>
      <c r="M39" s="1421"/>
      <c r="N39" s="1421"/>
      <c r="O39" s="1425"/>
      <c r="P39" s="1424"/>
      <c r="Q39" s="1423"/>
      <c r="R39" s="1423"/>
      <c r="S39" s="1423"/>
      <c r="T39" s="1422"/>
      <c r="U39" s="1421"/>
      <c r="V39" s="1421"/>
      <c r="W39" s="1421"/>
      <c r="X39" s="1425"/>
      <c r="Y39" s="1424"/>
      <c r="Z39" s="1423"/>
      <c r="AA39" s="1423"/>
      <c r="AB39" s="1423"/>
      <c r="AC39" s="1422"/>
      <c r="AD39" s="1421"/>
      <c r="AE39" s="1421"/>
      <c r="AF39" s="1421"/>
      <c r="AG39" s="4061"/>
      <c r="AH39" s="4084"/>
      <c r="AI39" s="4084"/>
      <c r="AJ39" s="4084"/>
      <c r="AK39" s="4084"/>
      <c r="AL39" s="4085"/>
      <c r="AM39" s="1421"/>
      <c r="AN39" s="1421"/>
      <c r="AO39" s="1421"/>
      <c r="AP39" s="1425"/>
      <c r="AQ39" s="1424"/>
      <c r="AR39" s="1423"/>
      <c r="AS39" s="1423"/>
      <c r="AT39" s="1423"/>
      <c r="AU39" s="1422"/>
      <c r="AV39" s="1421"/>
    </row>
    <row r="40" spans="2:49" ht="5.0999999999999996" customHeight="1">
      <c r="B40" s="1446"/>
      <c r="F40" s="1444"/>
      <c r="G40" s="1447"/>
      <c r="H40" s="1440"/>
      <c r="I40" s="1414"/>
      <c r="J40" s="1440"/>
      <c r="K40" s="1447"/>
      <c r="L40" s="1421"/>
      <c r="M40" s="1421"/>
      <c r="N40" s="1421"/>
      <c r="O40" s="1444"/>
      <c r="P40" s="1421"/>
      <c r="Q40" s="1441"/>
      <c r="R40" s="1441"/>
      <c r="S40" s="1441"/>
      <c r="T40" s="1421"/>
      <c r="U40" s="1421"/>
      <c r="V40" s="1421"/>
      <c r="W40" s="1421"/>
      <c r="X40" s="1444"/>
      <c r="Y40" s="1447"/>
      <c r="Z40" s="1440"/>
      <c r="AA40" s="1441"/>
      <c r="AB40" s="1440"/>
      <c r="AC40" s="1447"/>
      <c r="AD40" s="1421"/>
      <c r="AE40" s="1421"/>
      <c r="AF40" s="1421"/>
      <c r="AG40" s="1444"/>
      <c r="AH40" s="1421"/>
      <c r="AI40" s="1468"/>
      <c r="AJ40" s="1474"/>
      <c r="AK40" s="1441"/>
      <c r="AL40" s="1421"/>
      <c r="AM40" s="1421"/>
      <c r="AN40" s="1421"/>
      <c r="AO40" s="1421"/>
      <c r="AP40" s="1444"/>
      <c r="AQ40" s="1421"/>
      <c r="AR40" s="1468"/>
      <c r="AS40" s="1468"/>
      <c r="AT40" s="1441"/>
      <c r="AU40" s="1421"/>
      <c r="AV40" s="1421"/>
    </row>
    <row r="41" spans="2:49" ht="5.0999999999999996" customHeight="1">
      <c r="B41" s="1442"/>
      <c r="F41" s="1441"/>
      <c r="G41" s="1440"/>
      <c r="H41" s="1440"/>
      <c r="I41" s="1414"/>
      <c r="J41" s="1440"/>
      <c r="K41" s="1421"/>
      <c r="L41" s="1421"/>
      <c r="M41" s="1421"/>
      <c r="N41" s="1421"/>
      <c r="O41" s="1441"/>
      <c r="P41" s="1440"/>
      <c r="Q41" s="1440"/>
      <c r="R41" s="1443"/>
      <c r="S41" s="1440"/>
      <c r="T41" s="1440"/>
      <c r="U41" s="1421"/>
      <c r="V41" s="1421"/>
      <c r="W41" s="1421"/>
      <c r="X41" s="1441"/>
      <c r="Y41" s="1440"/>
      <c r="Z41" s="1440"/>
      <c r="AA41" s="1443"/>
      <c r="AB41" s="1440"/>
      <c r="AC41" s="1421"/>
      <c r="AD41" s="1421"/>
      <c r="AE41" s="1421"/>
      <c r="AF41" s="1421"/>
      <c r="AG41" s="1441"/>
      <c r="AH41" s="1460"/>
      <c r="AI41" s="1465"/>
      <c r="AJ41" s="1470"/>
      <c r="AK41" s="1421"/>
      <c r="AL41" s="1458"/>
      <c r="AM41" s="1421"/>
      <c r="AN41" s="1421"/>
      <c r="AO41" s="1421"/>
      <c r="AP41" s="1441"/>
      <c r="AQ41" s="1460"/>
      <c r="AR41" s="1465"/>
      <c r="AS41" s="1470"/>
      <c r="AT41" s="1421"/>
      <c r="AU41" s="1458"/>
      <c r="AV41" s="1421"/>
    </row>
    <row r="42" spans="2:49" ht="5.0999999999999996" customHeight="1">
      <c r="B42" s="1442"/>
      <c r="F42" s="1441"/>
      <c r="G42" s="1440"/>
      <c r="H42" s="1440"/>
      <c r="I42" s="1414"/>
      <c r="J42" s="1440"/>
      <c r="K42" s="1421"/>
      <c r="L42" s="1421"/>
      <c r="M42" s="1421"/>
      <c r="N42" s="1421"/>
      <c r="O42" s="1441"/>
      <c r="P42" s="1440"/>
      <c r="Q42" s="1440"/>
      <c r="R42" s="1440"/>
      <c r="S42" s="1440"/>
      <c r="T42" s="1440"/>
      <c r="U42" s="1421"/>
      <c r="V42" s="1421"/>
      <c r="W42" s="1421"/>
      <c r="X42" s="1441"/>
      <c r="Y42" s="1440"/>
      <c r="Z42" s="1440"/>
      <c r="AA42" s="1440"/>
      <c r="AB42" s="1440"/>
      <c r="AC42" s="1421"/>
      <c r="AD42" s="1421"/>
      <c r="AE42" s="1421"/>
      <c r="AF42" s="1421"/>
      <c r="AG42" s="1441"/>
      <c r="AH42" s="1460"/>
      <c r="AI42" s="1465"/>
      <c r="AJ42" s="1470"/>
      <c r="AK42" s="1421"/>
      <c r="AL42" s="1458"/>
      <c r="AM42" s="1421"/>
      <c r="AN42" s="1421"/>
      <c r="AO42" s="1421"/>
      <c r="AP42" s="1441"/>
      <c r="AQ42" s="1460"/>
      <c r="AR42" s="1465"/>
      <c r="AS42" s="1465"/>
      <c r="AT42" s="1421"/>
      <c r="AU42" s="1458"/>
      <c r="AV42" s="1421"/>
    </row>
    <row r="43" spans="2:49" ht="9.9499999999999993" customHeight="1">
      <c r="B43" s="4056">
        <v>6</v>
      </c>
      <c r="F43" s="4059"/>
      <c r="G43" s="4068" t="s">
        <v>759</v>
      </c>
      <c r="H43" s="4068"/>
      <c r="I43" s="4068"/>
      <c r="J43" s="4068"/>
      <c r="K43" s="4069"/>
      <c r="L43" s="1421"/>
      <c r="M43" s="1421"/>
      <c r="N43" s="1421"/>
      <c r="O43" s="1438"/>
      <c r="P43" s="1437"/>
      <c r="Q43" s="1436"/>
      <c r="R43" s="1436"/>
      <c r="S43" s="1436"/>
      <c r="T43" s="1435"/>
      <c r="U43" s="1421"/>
      <c r="V43" s="1421"/>
      <c r="W43" s="1421"/>
      <c r="X43" s="1438"/>
      <c r="Y43" s="1437"/>
      <c r="Z43" s="1436"/>
      <c r="AA43" s="1436"/>
      <c r="AB43" s="1436"/>
      <c r="AC43" s="1435"/>
      <c r="AD43" s="1421"/>
      <c r="AE43" s="1421"/>
      <c r="AF43" s="1421"/>
      <c r="AG43" s="4059">
        <v>4</v>
      </c>
      <c r="AH43" s="4080" t="s">
        <v>758</v>
      </c>
      <c r="AI43" s="4080"/>
      <c r="AJ43" s="4080"/>
      <c r="AK43" s="4080"/>
      <c r="AL43" s="4081"/>
      <c r="AM43" s="1421"/>
      <c r="AN43" s="1421"/>
      <c r="AO43" s="1421"/>
      <c r="AP43" s="1438"/>
      <c r="AQ43" s="1437"/>
      <c r="AR43" s="1436"/>
      <c r="AS43" s="1436"/>
      <c r="AT43" s="1436"/>
      <c r="AU43" s="1435"/>
      <c r="AV43" s="1421"/>
    </row>
    <row r="44" spans="2:49" ht="5.0999999999999996" customHeight="1">
      <c r="B44" s="4057"/>
      <c r="C44" s="1427"/>
      <c r="D44" s="1427"/>
      <c r="E44" s="1427"/>
      <c r="F44" s="4060"/>
      <c r="G44" s="4070"/>
      <c r="H44" s="4070"/>
      <c r="I44" s="4070"/>
      <c r="J44" s="4070"/>
      <c r="K44" s="4071"/>
      <c r="L44" s="1432"/>
      <c r="M44" s="1432"/>
      <c r="N44" s="1432"/>
      <c r="O44" s="1457"/>
      <c r="P44" s="1456"/>
      <c r="Q44" s="1434"/>
      <c r="R44" s="1434"/>
      <c r="S44" s="1434"/>
      <c r="T44" s="1455"/>
      <c r="U44" s="1432"/>
      <c r="V44" s="1432"/>
      <c r="W44" s="1432"/>
      <c r="X44" s="1457"/>
      <c r="Y44" s="1456"/>
      <c r="Z44" s="1434"/>
      <c r="AA44" s="1434"/>
      <c r="AB44" s="1434"/>
      <c r="AC44" s="1455"/>
      <c r="AD44" s="1432"/>
      <c r="AE44" s="1432"/>
      <c r="AF44" s="1432"/>
      <c r="AG44" s="4060"/>
      <c r="AH44" s="4082"/>
      <c r="AI44" s="4082"/>
      <c r="AJ44" s="4082"/>
      <c r="AK44" s="4082"/>
      <c r="AL44" s="4083"/>
      <c r="AM44" s="1421"/>
      <c r="AN44" s="1433"/>
      <c r="AO44" s="1421"/>
      <c r="AP44" s="1431"/>
      <c r="AQ44" s="1430"/>
      <c r="AR44" s="1429"/>
      <c r="AS44" s="1429"/>
      <c r="AT44" s="1429"/>
      <c r="AU44" s="1428"/>
      <c r="AV44" s="1421"/>
      <c r="AW44" s="1427"/>
    </row>
    <row r="45" spans="2:49" ht="9.9499999999999993" customHeight="1" thickBot="1">
      <c r="B45" s="4058"/>
      <c r="F45" s="4061"/>
      <c r="G45" s="4072"/>
      <c r="H45" s="4072"/>
      <c r="I45" s="4072"/>
      <c r="J45" s="4072"/>
      <c r="K45" s="4073"/>
      <c r="L45" s="1421"/>
      <c r="M45" s="1421"/>
      <c r="N45" s="1421"/>
      <c r="O45" s="1425"/>
      <c r="P45" s="1424"/>
      <c r="Q45" s="1423"/>
      <c r="R45" s="1423"/>
      <c r="S45" s="1423"/>
      <c r="T45" s="1422"/>
      <c r="U45" s="1421"/>
      <c r="V45" s="1421"/>
      <c r="W45" s="1421"/>
      <c r="X45" s="1425"/>
      <c r="Y45" s="1424"/>
      <c r="Z45" s="1423"/>
      <c r="AA45" s="1426"/>
      <c r="AB45" s="1423"/>
      <c r="AC45" s="1422"/>
      <c r="AD45" s="1421"/>
      <c r="AE45" s="1421"/>
      <c r="AF45" s="1421"/>
      <c r="AG45" s="4061"/>
      <c r="AH45" s="4084"/>
      <c r="AI45" s="4084"/>
      <c r="AJ45" s="4084"/>
      <c r="AK45" s="4084"/>
      <c r="AL45" s="4085"/>
      <c r="AM45" s="1421"/>
      <c r="AN45" s="1421"/>
      <c r="AO45" s="1421"/>
      <c r="AP45" s="1425"/>
      <c r="AQ45" s="1424"/>
      <c r="AR45" s="1423"/>
      <c r="AS45" s="1423"/>
      <c r="AT45" s="1423"/>
      <c r="AU45" s="1422"/>
      <c r="AV45" s="1421"/>
    </row>
    <row r="46" spans="2:49" ht="5.0999999999999996" customHeight="1">
      <c r="B46" s="1446"/>
      <c r="F46" s="1444"/>
      <c r="G46" s="1447"/>
      <c r="H46" s="1440"/>
      <c r="I46" s="1414"/>
      <c r="J46" s="1440"/>
      <c r="K46" s="1447"/>
      <c r="L46" s="1421"/>
      <c r="M46" s="1421"/>
      <c r="N46" s="1421"/>
      <c r="O46" s="1444"/>
      <c r="P46" s="1421"/>
      <c r="Q46" s="1441"/>
      <c r="R46" s="1441"/>
      <c r="S46" s="1441"/>
      <c r="T46" s="1421"/>
      <c r="U46" s="1421"/>
      <c r="V46" s="1421"/>
      <c r="W46" s="1421"/>
      <c r="X46" s="1444"/>
      <c r="Y46" s="1421"/>
      <c r="Z46" s="1441"/>
      <c r="AA46" s="1445"/>
      <c r="AB46" s="1441"/>
      <c r="AC46" s="1421"/>
      <c r="AD46" s="1421"/>
      <c r="AE46" s="1421"/>
      <c r="AF46" s="1421"/>
      <c r="AG46" s="1444"/>
      <c r="AH46" s="1421"/>
      <c r="AI46" s="1468"/>
      <c r="AJ46" s="1474"/>
      <c r="AK46" s="1441"/>
      <c r="AL46" s="1421"/>
      <c r="AM46" s="1421"/>
      <c r="AN46" s="1421"/>
      <c r="AO46" s="1421"/>
      <c r="AP46" s="1444"/>
      <c r="AQ46" s="1421"/>
      <c r="AR46" s="1468"/>
      <c r="AS46" s="1468"/>
      <c r="AT46" s="1441"/>
      <c r="AU46" s="1421"/>
      <c r="AV46" s="1421"/>
    </row>
    <row r="47" spans="2:49" ht="5.0999999999999996" customHeight="1">
      <c r="B47" s="1442"/>
      <c r="F47" s="1441"/>
      <c r="G47" s="1440"/>
      <c r="H47" s="1440"/>
      <c r="I47" s="1414"/>
      <c r="J47" s="1440"/>
      <c r="K47" s="1421"/>
      <c r="L47" s="1421"/>
      <c r="M47" s="1421"/>
      <c r="N47" s="1421"/>
      <c r="O47" s="1441"/>
      <c r="P47" s="1440"/>
      <c r="Q47" s="1440"/>
      <c r="R47" s="1443"/>
      <c r="S47" s="1440"/>
      <c r="T47" s="1440"/>
      <c r="U47" s="1421"/>
      <c r="V47" s="1421"/>
      <c r="W47" s="1421"/>
      <c r="X47" s="1441"/>
      <c r="Y47" s="1421"/>
      <c r="Z47" s="1421"/>
      <c r="AA47" s="1448"/>
      <c r="AB47" s="1421"/>
      <c r="AC47" s="1458"/>
      <c r="AD47" s="1421"/>
      <c r="AE47" s="1421"/>
      <c r="AF47" s="1421"/>
      <c r="AG47" s="1441"/>
      <c r="AH47" s="1460"/>
      <c r="AI47" s="1465"/>
      <c r="AJ47" s="1470"/>
      <c r="AK47" s="1421"/>
      <c r="AL47" s="1458"/>
      <c r="AM47" s="1421"/>
      <c r="AN47" s="1421"/>
      <c r="AO47" s="1421"/>
      <c r="AP47" s="1441"/>
      <c r="AQ47" s="1460"/>
      <c r="AR47" s="1465"/>
      <c r="AS47" s="1470"/>
      <c r="AT47" s="1421"/>
      <c r="AU47" s="1458"/>
      <c r="AV47" s="1421"/>
    </row>
    <row r="48" spans="2:49" ht="5.0999999999999996" customHeight="1">
      <c r="B48" s="1442"/>
      <c r="F48" s="1441"/>
      <c r="G48" s="1440"/>
      <c r="H48" s="1440"/>
      <c r="I48" s="1414"/>
      <c r="J48" s="1440"/>
      <c r="K48" s="1421"/>
      <c r="L48" s="1421"/>
      <c r="M48" s="1421"/>
      <c r="N48" s="1421"/>
      <c r="O48" s="1441"/>
      <c r="P48" s="1440"/>
      <c r="Q48" s="1440"/>
      <c r="R48" s="1440"/>
      <c r="S48" s="1440"/>
      <c r="T48" s="1440"/>
      <c r="U48" s="1421"/>
      <c r="V48" s="1421"/>
      <c r="W48" s="1421"/>
      <c r="X48" s="1441"/>
      <c r="Y48" s="1421"/>
      <c r="Z48" s="1421"/>
      <c r="AA48" s="1448"/>
      <c r="AB48" s="1421"/>
      <c r="AC48" s="1458"/>
      <c r="AD48" s="1421"/>
      <c r="AE48" s="1421"/>
      <c r="AF48" s="1421"/>
      <c r="AG48" s="1441"/>
      <c r="AH48" s="1460"/>
      <c r="AI48" s="1465"/>
      <c r="AJ48" s="1470"/>
      <c r="AK48" s="1421"/>
      <c r="AL48" s="1458"/>
      <c r="AM48" s="1421"/>
      <c r="AN48" s="1421"/>
      <c r="AO48" s="1421"/>
      <c r="AP48" s="1441"/>
      <c r="AQ48" s="1460"/>
      <c r="AR48" s="1465"/>
      <c r="AS48" s="1465"/>
      <c r="AT48" s="1421"/>
      <c r="AU48" s="1458"/>
      <c r="AV48" s="1421"/>
    </row>
    <row r="49" spans="2:49" ht="9.9499999999999993" customHeight="1">
      <c r="B49" s="4056">
        <v>7</v>
      </c>
      <c r="F49" s="1438"/>
      <c r="G49" s="1437"/>
      <c r="H49" s="1436"/>
      <c r="I49" s="1414"/>
      <c r="J49" s="1436"/>
      <c r="K49" s="1435"/>
      <c r="L49" s="1421"/>
      <c r="M49" s="1421"/>
      <c r="N49" s="1421"/>
      <c r="O49" s="1438"/>
      <c r="P49" s="1437"/>
      <c r="Q49" s="1436"/>
      <c r="R49" s="1436"/>
      <c r="S49" s="1436"/>
      <c r="T49" s="1435"/>
      <c r="U49" s="1421"/>
      <c r="V49" s="1421"/>
      <c r="W49" s="1421"/>
      <c r="X49" s="4059">
        <v>2</v>
      </c>
      <c r="Y49" s="4074" t="s">
        <v>757</v>
      </c>
      <c r="Z49" s="4074"/>
      <c r="AA49" s="4074"/>
      <c r="AB49" s="4074"/>
      <c r="AC49" s="4075"/>
      <c r="AD49" s="1421"/>
      <c r="AE49" s="1421"/>
      <c r="AF49" s="1421"/>
      <c r="AG49" s="4059">
        <v>5</v>
      </c>
      <c r="AH49" s="4086" t="s">
        <v>756</v>
      </c>
      <c r="AI49" s="4086"/>
      <c r="AJ49" s="4086"/>
      <c r="AK49" s="4086"/>
      <c r="AL49" s="4087"/>
      <c r="AM49" s="1421"/>
      <c r="AN49" s="1421"/>
      <c r="AO49" s="1421"/>
      <c r="AP49" s="1438"/>
      <c r="AQ49" s="1437"/>
      <c r="AR49" s="1436"/>
      <c r="AS49" s="1436"/>
      <c r="AT49" s="1436"/>
      <c r="AU49" s="1435"/>
      <c r="AV49" s="1421"/>
    </row>
    <row r="50" spans="2:49" ht="5.0999999999999996" customHeight="1">
      <c r="B50" s="4057"/>
      <c r="C50" s="1427"/>
      <c r="D50" s="1427"/>
      <c r="E50" s="1427"/>
      <c r="F50" s="1431"/>
      <c r="G50" s="1430"/>
      <c r="H50" s="1429"/>
      <c r="I50" s="1414"/>
      <c r="J50" s="1429"/>
      <c r="K50" s="1428"/>
      <c r="L50" s="1421"/>
      <c r="M50" s="1433"/>
      <c r="N50" s="1421"/>
      <c r="O50" s="1431"/>
      <c r="P50" s="1430"/>
      <c r="Q50" s="1429"/>
      <c r="R50" s="1429"/>
      <c r="S50" s="1429"/>
      <c r="T50" s="1428"/>
      <c r="U50" s="1421"/>
      <c r="V50" s="1433"/>
      <c r="W50" s="1421"/>
      <c r="X50" s="4060"/>
      <c r="Y50" s="4076"/>
      <c r="Z50" s="4076"/>
      <c r="AA50" s="4076"/>
      <c r="AB50" s="4076"/>
      <c r="AC50" s="4077"/>
      <c r="AD50" s="1432"/>
      <c r="AE50" s="1432"/>
      <c r="AF50" s="1432"/>
      <c r="AG50" s="4060"/>
      <c r="AH50" s="4088"/>
      <c r="AI50" s="4088"/>
      <c r="AJ50" s="4088"/>
      <c r="AK50" s="4088"/>
      <c r="AL50" s="4089"/>
      <c r="AM50" s="1421"/>
      <c r="AN50" s="1433"/>
      <c r="AO50" s="1421"/>
      <c r="AP50" s="1431"/>
      <c r="AQ50" s="1430"/>
      <c r="AR50" s="1429"/>
      <c r="AS50" s="1429"/>
      <c r="AT50" s="1429"/>
      <c r="AU50" s="1428"/>
      <c r="AV50" s="1421"/>
      <c r="AW50" s="1427"/>
    </row>
    <row r="51" spans="2:49" ht="9.9499999999999993" customHeight="1" thickBot="1">
      <c r="B51" s="4058"/>
      <c r="F51" s="1425"/>
      <c r="G51" s="1424"/>
      <c r="H51" s="1423"/>
      <c r="I51" s="1414"/>
      <c r="J51" s="1423"/>
      <c r="K51" s="1422"/>
      <c r="L51" s="1421"/>
      <c r="M51" s="1421"/>
      <c r="N51" s="1421"/>
      <c r="O51" s="1425"/>
      <c r="P51" s="1424"/>
      <c r="Q51" s="1423"/>
      <c r="R51" s="1423"/>
      <c r="S51" s="1423"/>
      <c r="T51" s="1422"/>
      <c r="U51" s="1421"/>
      <c r="V51" s="1421"/>
      <c r="W51" s="1421"/>
      <c r="X51" s="4061"/>
      <c r="Y51" s="4078"/>
      <c r="Z51" s="4078"/>
      <c r="AA51" s="4078"/>
      <c r="AB51" s="4078"/>
      <c r="AC51" s="4079"/>
      <c r="AD51" s="1421"/>
      <c r="AE51" s="1421"/>
      <c r="AF51" s="1421"/>
      <c r="AG51" s="4061"/>
      <c r="AH51" s="4090"/>
      <c r="AI51" s="4090"/>
      <c r="AJ51" s="4090"/>
      <c r="AK51" s="4090"/>
      <c r="AL51" s="4091"/>
      <c r="AM51" s="1421"/>
      <c r="AN51" s="1421"/>
      <c r="AO51" s="1421"/>
      <c r="AP51" s="1425"/>
      <c r="AQ51" s="1424"/>
      <c r="AR51" s="1423"/>
      <c r="AS51" s="1423"/>
      <c r="AT51" s="1423"/>
      <c r="AU51" s="1422"/>
      <c r="AV51" s="1421"/>
    </row>
    <row r="52" spans="2:49" ht="5.0999999999999996" customHeight="1">
      <c r="B52" s="1446"/>
      <c r="F52" s="1444"/>
      <c r="G52" s="1447"/>
      <c r="H52" s="1440"/>
      <c r="I52" s="1414"/>
      <c r="J52" s="1440"/>
      <c r="K52" s="1447"/>
      <c r="L52" s="1421"/>
      <c r="M52" s="1421"/>
      <c r="N52" s="1421"/>
      <c r="O52" s="1444"/>
      <c r="P52" s="1421"/>
      <c r="Q52" s="1441"/>
      <c r="R52" s="1441"/>
      <c r="S52" s="1441"/>
      <c r="T52" s="1421"/>
      <c r="U52" s="1421"/>
      <c r="V52" s="1421"/>
      <c r="W52" s="1421"/>
      <c r="X52" s="1444"/>
      <c r="Y52" s="1469"/>
      <c r="Z52" s="1449"/>
      <c r="AA52" s="1445"/>
      <c r="AB52" s="1449"/>
      <c r="AC52" s="1469"/>
      <c r="AD52" s="1421"/>
      <c r="AE52" s="1421"/>
      <c r="AF52" s="1421"/>
      <c r="AG52" s="1444"/>
      <c r="AH52" s="1421"/>
      <c r="AI52" s="1468"/>
      <c r="AJ52" s="1474"/>
      <c r="AK52" s="1441"/>
      <c r="AL52" s="1421"/>
      <c r="AM52" s="1421"/>
      <c r="AN52" s="1421"/>
      <c r="AO52" s="1421"/>
      <c r="AP52" s="1444"/>
      <c r="AQ52" s="1421"/>
      <c r="AR52" s="1468"/>
      <c r="AS52" s="1468"/>
      <c r="AT52" s="1441"/>
      <c r="AU52" s="1421"/>
      <c r="AV52" s="1421"/>
    </row>
    <row r="53" spans="2:49" ht="5.0999999999999996" customHeight="1">
      <c r="B53" s="1442"/>
      <c r="F53" s="1441"/>
      <c r="G53" s="1440"/>
      <c r="H53" s="1440"/>
      <c r="I53" s="1414"/>
      <c r="J53" s="1440"/>
      <c r="K53" s="1421"/>
      <c r="L53" s="1421"/>
      <c r="M53" s="1421"/>
      <c r="N53" s="1421"/>
      <c r="O53" s="1441"/>
      <c r="P53" s="1440"/>
      <c r="Q53" s="1440"/>
      <c r="R53" s="1443"/>
      <c r="S53" s="1440"/>
      <c r="T53" s="1440"/>
      <c r="U53" s="1421"/>
      <c r="V53" s="1421"/>
      <c r="W53" s="1421"/>
      <c r="X53" s="1441"/>
      <c r="Y53" s="1449"/>
      <c r="Z53" s="1449"/>
      <c r="AA53" s="1448"/>
      <c r="AB53" s="1449"/>
      <c r="AC53" s="1450"/>
      <c r="AD53" s="1421"/>
      <c r="AE53" s="1421"/>
      <c r="AF53" s="1421"/>
      <c r="AG53" s="1441"/>
      <c r="AH53" s="1460"/>
      <c r="AI53" s="1465"/>
      <c r="AJ53" s="1470"/>
      <c r="AK53" s="1421"/>
      <c r="AL53" s="1458"/>
      <c r="AM53" s="1421"/>
      <c r="AN53" s="1421"/>
      <c r="AO53" s="1421"/>
      <c r="AP53" s="1441"/>
      <c r="AQ53" s="1460"/>
      <c r="AR53" s="1465"/>
      <c r="AS53" s="1470"/>
      <c r="AT53" s="1421"/>
      <c r="AU53" s="1458"/>
      <c r="AV53" s="1421"/>
    </row>
    <row r="54" spans="2:49" ht="5.0999999999999996" customHeight="1">
      <c r="B54" s="1442"/>
      <c r="F54" s="1441"/>
      <c r="G54" s="1440"/>
      <c r="H54" s="1440"/>
      <c r="I54" s="1414"/>
      <c r="J54" s="1440"/>
      <c r="K54" s="1421"/>
      <c r="L54" s="1421"/>
      <c r="M54" s="1421"/>
      <c r="N54" s="1421"/>
      <c r="O54" s="1441"/>
      <c r="P54" s="1440"/>
      <c r="Q54" s="1440"/>
      <c r="R54" s="1440"/>
      <c r="S54" s="1440"/>
      <c r="T54" s="1440"/>
      <c r="U54" s="1421"/>
      <c r="V54" s="1421"/>
      <c r="W54" s="1421"/>
      <c r="X54" s="1441"/>
      <c r="Y54" s="1449"/>
      <c r="Z54" s="1449"/>
      <c r="AA54" s="1448"/>
      <c r="AB54" s="1449"/>
      <c r="AC54" s="1450"/>
      <c r="AD54" s="1421"/>
      <c r="AE54" s="1421"/>
      <c r="AF54" s="1421"/>
      <c r="AG54" s="1441"/>
      <c r="AH54" s="1460"/>
      <c r="AI54" s="1465"/>
      <c r="AJ54" s="1470"/>
      <c r="AK54" s="1421"/>
      <c r="AL54" s="1458"/>
      <c r="AM54" s="1421"/>
      <c r="AN54" s="1421"/>
      <c r="AO54" s="1421"/>
      <c r="AP54" s="1441"/>
      <c r="AQ54" s="1460"/>
      <c r="AR54" s="1465"/>
      <c r="AS54" s="1465"/>
      <c r="AT54" s="1421"/>
      <c r="AU54" s="1458"/>
      <c r="AV54" s="1421"/>
    </row>
    <row r="55" spans="2:49" ht="9.9499999999999993" customHeight="1">
      <c r="B55" s="4056">
        <v>8</v>
      </c>
      <c r="F55" s="1438"/>
      <c r="G55" s="1437"/>
      <c r="H55" s="1436"/>
      <c r="I55" s="1414"/>
      <c r="J55" s="1436"/>
      <c r="K55" s="1435"/>
      <c r="L55" s="1421"/>
      <c r="M55" s="1421"/>
      <c r="N55" s="1421"/>
      <c r="O55" s="1438"/>
      <c r="P55" s="1437"/>
      <c r="Q55" s="1436"/>
      <c r="R55" s="1436"/>
      <c r="S55" s="1436"/>
      <c r="T55" s="1435"/>
      <c r="U55" s="1421"/>
      <c r="V55" s="1421"/>
      <c r="W55" s="1421"/>
      <c r="X55" s="4059">
        <v>3</v>
      </c>
      <c r="Y55" s="4074" t="s">
        <v>755</v>
      </c>
      <c r="Z55" s="4074"/>
      <c r="AA55" s="4074"/>
      <c r="AB55" s="4074"/>
      <c r="AC55" s="4075"/>
      <c r="AD55" s="1421"/>
      <c r="AE55" s="1421"/>
      <c r="AF55" s="1421"/>
      <c r="AG55" s="4059">
        <v>6</v>
      </c>
      <c r="AH55" s="4080" t="s">
        <v>754</v>
      </c>
      <c r="AI55" s="4080"/>
      <c r="AJ55" s="4080"/>
      <c r="AK55" s="4080"/>
      <c r="AL55" s="4081"/>
      <c r="AM55" s="1421"/>
      <c r="AN55" s="1421"/>
      <c r="AO55" s="1421"/>
      <c r="AP55" s="1438"/>
      <c r="AQ55" s="1437"/>
      <c r="AR55" s="1436"/>
      <c r="AS55" s="1436"/>
      <c r="AT55" s="1436"/>
      <c r="AU55" s="1435"/>
      <c r="AV55" s="1421"/>
    </row>
    <row r="56" spans="2:49" ht="5.0999999999999996" customHeight="1">
      <c r="B56" s="4057"/>
      <c r="C56" s="1427"/>
      <c r="D56" s="1427"/>
      <c r="E56" s="1427"/>
      <c r="F56" s="1431"/>
      <c r="G56" s="1430"/>
      <c r="H56" s="1429"/>
      <c r="I56" s="1414"/>
      <c r="J56" s="1452"/>
      <c r="K56" s="1471"/>
      <c r="L56" s="1450"/>
      <c r="M56" s="1432"/>
      <c r="N56" s="1450"/>
      <c r="O56" s="1473"/>
      <c r="P56" s="1472"/>
      <c r="Q56" s="1452"/>
      <c r="R56" s="1452"/>
      <c r="S56" s="1452"/>
      <c r="T56" s="1471"/>
      <c r="U56" s="1450"/>
      <c r="V56" s="1432"/>
      <c r="W56" s="1450"/>
      <c r="X56" s="4060"/>
      <c r="Y56" s="4076"/>
      <c r="Z56" s="4076"/>
      <c r="AA56" s="4076"/>
      <c r="AB56" s="4076"/>
      <c r="AC56" s="4077"/>
      <c r="AD56" s="1432"/>
      <c r="AE56" s="1432"/>
      <c r="AF56" s="1432"/>
      <c r="AG56" s="4060"/>
      <c r="AH56" s="4082"/>
      <c r="AI56" s="4082"/>
      <c r="AJ56" s="4082"/>
      <c r="AK56" s="4082"/>
      <c r="AL56" s="4083"/>
      <c r="AM56" s="1421"/>
      <c r="AN56" s="1433"/>
      <c r="AO56" s="1421"/>
      <c r="AP56" s="1431"/>
      <c r="AQ56" s="1430"/>
      <c r="AR56" s="1429"/>
      <c r="AS56" s="1429"/>
      <c r="AT56" s="1429"/>
      <c r="AU56" s="1428"/>
      <c r="AV56" s="1421"/>
      <c r="AW56" s="1427"/>
    </row>
    <row r="57" spans="2:49" ht="9.9499999999999993" customHeight="1" thickBot="1">
      <c r="B57" s="4058"/>
      <c r="F57" s="1425"/>
      <c r="G57" s="1424"/>
      <c r="H57" s="1423"/>
      <c r="I57" s="1414"/>
      <c r="J57" s="1423"/>
      <c r="K57" s="1422"/>
      <c r="L57" s="1421"/>
      <c r="M57" s="1421"/>
      <c r="N57" s="1421"/>
      <c r="O57" s="1425"/>
      <c r="P57" s="1424"/>
      <c r="Q57" s="1423"/>
      <c r="R57" s="1423"/>
      <c r="S57" s="1423"/>
      <c r="T57" s="1422"/>
      <c r="U57" s="1421"/>
      <c r="V57" s="1421"/>
      <c r="W57" s="1421"/>
      <c r="X57" s="4061"/>
      <c r="Y57" s="4078"/>
      <c r="Z57" s="4078"/>
      <c r="AA57" s="4078"/>
      <c r="AB57" s="4078"/>
      <c r="AC57" s="4079"/>
      <c r="AD57" s="1421"/>
      <c r="AE57" s="1421"/>
      <c r="AF57" s="1421"/>
      <c r="AG57" s="4061"/>
      <c r="AH57" s="4084"/>
      <c r="AI57" s="4084"/>
      <c r="AJ57" s="4084"/>
      <c r="AK57" s="4084"/>
      <c r="AL57" s="4085"/>
      <c r="AM57" s="1421"/>
      <c r="AN57" s="1421"/>
      <c r="AO57" s="1421"/>
      <c r="AP57" s="1425"/>
      <c r="AQ57" s="1424"/>
      <c r="AR57" s="1423"/>
      <c r="AS57" s="1423"/>
      <c r="AT57" s="1423"/>
      <c r="AU57" s="1422"/>
      <c r="AV57" s="1421"/>
    </row>
    <row r="58" spans="2:49" ht="5.0999999999999996" customHeight="1">
      <c r="B58" s="1446"/>
      <c r="F58" s="1444"/>
      <c r="G58" s="1447"/>
      <c r="H58" s="1440"/>
      <c r="I58" s="1414"/>
      <c r="J58" s="1440"/>
      <c r="K58" s="1447"/>
      <c r="L58" s="1421"/>
      <c r="M58" s="1421"/>
      <c r="N58" s="1421"/>
      <c r="O58" s="1444"/>
      <c r="P58" s="1421"/>
      <c r="Q58" s="1441"/>
      <c r="R58" s="1441"/>
      <c r="S58" s="1441"/>
      <c r="T58" s="1421"/>
      <c r="U58" s="1421"/>
      <c r="V58" s="1421"/>
      <c r="W58" s="1421"/>
      <c r="X58" s="1444"/>
      <c r="Y58" s="1447"/>
      <c r="Z58" s="1440"/>
      <c r="AA58" s="1440"/>
      <c r="AB58" s="1440"/>
      <c r="AC58" s="1447"/>
      <c r="AD58" s="1421"/>
      <c r="AE58" s="1421"/>
      <c r="AF58" s="1421"/>
      <c r="AG58" s="1444"/>
      <c r="AH58" s="1421"/>
      <c r="AI58" s="1441"/>
      <c r="AJ58" s="1451"/>
      <c r="AK58" s="1441"/>
      <c r="AL58" s="1421"/>
      <c r="AM58" s="1421"/>
      <c r="AN58" s="1421"/>
      <c r="AO58" s="1421"/>
      <c r="AP58" s="1444"/>
      <c r="AQ58" s="1421"/>
      <c r="AR58" s="1468"/>
      <c r="AS58" s="1468"/>
      <c r="AT58" s="1441"/>
      <c r="AU58" s="1421"/>
      <c r="AV58" s="1421"/>
    </row>
    <row r="59" spans="2:49" ht="5.0999999999999996" customHeight="1">
      <c r="B59" s="1442"/>
      <c r="F59" s="1441"/>
      <c r="G59" s="1440"/>
      <c r="H59" s="1440"/>
      <c r="I59" s="1414"/>
      <c r="J59" s="1440"/>
      <c r="K59" s="1421"/>
      <c r="L59" s="1421"/>
      <c r="M59" s="1421"/>
      <c r="N59" s="1421"/>
      <c r="O59" s="1441"/>
      <c r="P59" s="1440"/>
      <c r="Q59" s="1440"/>
      <c r="R59" s="1443"/>
      <c r="S59" s="1440"/>
      <c r="T59" s="1440"/>
      <c r="U59" s="1421"/>
      <c r="V59" s="1421"/>
      <c r="W59" s="1421"/>
      <c r="X59" s="1441"/>
      <c r="Y59" s="1440"/>
      <c r="Z59" s="1440"/>
      <c r="AA59" s="1443"/>
      <c r="AB59" s="1440"/>
      <c r="AC59" s="1421"/>
      <c r="AD59" s="1421"/>
      <c r="AE59" s="1421"/>
      <c r="AF59" s="1421"/>
      <c r="AG59" s="1441"/>
      <c r="AH59" s="1421"/>
      <c r="AI59" s="1421"/>
      <c r="AJ59" s="1433"/>
      <c r="AK59" s="1421"/>
      <c r="AL59" s="1458"/>
      <c r="AM59" s="1421"/>
      <c r="AN59" s="1421"/>
      <c r="AO59" s="1421"/>
      <c r="AP59" s="1441"/>
      <c r="AQ59" s="1460"/>
      <c r="AR59" s="1465"/>
      <c r="AS59" s="1470"/>
      <c r="AT59" s="1421"/>
      <c r="AU59" s="1458"/>
      <c r="AV59" s="1421"/>
    </row>
    <row r="60" spans="2:49" ht="5.0999999999999996" customHeight="1">
      <c r="B60" s="1442"/>
      <c r="F60" s="1441"/>
      <c r="G60" s="1440"/>
      <c r="H60" s="1440"/>
      <c r="I60" s="1414"/>
      <c r="J60" s="1440"/>
      <c r="K60" s="1421"/>
      <c r="L60" s="1421"/>
      <c r="M60" s="1421"/>
      <c r="N60" s="1421"/>
      <c r="O60" s="1441"/>
      <c r="P60" s="1440"/>
      <c r="Q60" s="1440"/>
      <c r="R60" s="1440"/>
      <c r="S60" s="1440"/>
      <c r="T60" s="1440"/>
      <c r="U60" s="1421"/>
      <c r="V60" s="1421"/>
      <c r="W60" s="1421"/>
      <c r="X60" s="1441"/>
      <c r="Y60" s="1440"/>
      <c r="Z60" s="1440"/>
      <c r="AA60" s="1440"/>
      <c r="AB60" s="1440"/>
      <c r="AC60" s="1421"/>
      <c r="AD60" s="1421"/>
      <c r="AE60" s="1421"/>
      <c r="AF60" s="1421"/>
      <c r="AG60" s="1441"/>
      <c r="AH60" s="1421"/>
      <c r="AI60" s="1421"/>
      <c r="AJ60" s="1450"/>
      <c r="AK60" s="1421"/>
      <c r="AL60" s="1458"/>
      <c r="AM60" s="1421"/>
      <c r="AN60" s="1421"/>
      <c r="AO60" s="1421"/>
      <c r="AP60" s="1441"/>
      <c r="AQ60" s="1460"/>
      <c r="AR60" s="1465"/>
      <c r="AS60" s="1465"/>
      <c r="AT60" s="1421"/>
      <c r="AU60" s="1458"/>
      <c r="AV60" s="1421"/>
    </row>
    <row r="61" spans="2:49" ht="9.9499999999999993" customHeight="1">
      <c r="B61" s="4056">
        <v>9</v>
      </c>
      <c r="F61" s="4059"/>
      <c r="G61" s="4068" t="s">
        <v>753</v>
      </c>
      <c r="H61" s="4068"/>
      <c r="I61" s="4068"/>
      <c r="J61" s="4068"/>
      <c r="K61" s="4069"/>
      <c r="L61" s="1421"/>
      <c r="M61" s="1421"/>
      <c r="N61" s="1421"/>
      <c r="O61" s="1438"/>
      <c r="P61" s="1437"/>
      <c r="Q61" s="1436"/>
      <c r="R61" s="1436"/>
      <c r="S61" s="1436"/>
      <c r="T61" s="1435"/>
      <c r="U61" s="1421"/>
      <c r="V61" s="1421"/>
      <c r="W61" s="1421"/>
      <c r="X61" s="1438"/>
      <c r="Y61" s="1437"/>
      <c r="Z61" s="1436"/>
      <c r="AA61" s="1436"/>
      <c r="AB61" s="1436"/>
      <c r="AC61" s="1435"/>
      <c r="AD61" s="1421"/>
      <c r="AE61" s="1421"/>
      <c r="AF61" s="1421"/>
      <c r="AG61" s="1438"/>
      <c r="AH61" s="1437"/>
      <c r="AI61" s="1436"/>
      <c r="AJ61" s="1453"/>
      <c r="AK61" s="1436"/>
      <c r="AL61" s="1435"/>
      <c r="AM61" s="1421"/>
      <c r="AN61" s="1421"/>
      <c r="AO61" s="1421"/>
      <c r="AP61" s="4059">
        <v>1</v>
      </c>
      <c r="AQ61" s="4062" t="s">
        <v>752</v>
      </c>
      <c r="AR61" s="4062"/>
      <c r="AS61" s="4062"/>
      <c r="AT61" s="4062"/>
      <c r="AU61" s="4063"/>
      <c r="AV61" s="1421"/>
    </row>
    <row r="62" spans="2:49" ht="5.0999999999999996" customHeight="1">
      <c r="B62" s="4057"/>
      <c r="C62" s="1427"/>
      <c r="D62" s="1427"/>
      <c r="E62" s="1427"/>
      <c r="F62" s="4060"/>
      <c r="G62" s="4070"/>
      <c r="H62" s="4070"/>
      <c r="I62" s="4070"/>
      <c r="J62" s="4070"/>
      <c r="K62" s="4071"/>
      <c r="L62" s="1432"/>
      <c r="M62" s="1432"/>
      <c r="N62" s="1432"/>
      <c r="O62" s="1457"/>
      <c r="P62" s="1456"/>
      <c r="Q62" s="1434"/>
      <c r="R62" s="1434"/>
      <c r="S62" s="1434"/>
      <c r="T62" s="1455"/>
      <c r="U62" s="1432"/>
      <c r="V62" s="1432"/>
      <c r="W62" s="1432"/>
      <c r="X62" s="1457"/>
      <c r="Y62" s="1456"/>
      <c r="Z62" s="1434"/>
      <c r="AA62" s="1434"/>
      <c r="AB62" s="1434"/>
      <c r="AC62" s="1455"/>
      <c r="AD62" s="1432"/>
      <c r="AE62" s="1432"/>
      <c r="AF62" s="1432"/>
      <c r="AG62" s="1457"/>
      <c r="AH62" s="1456"/>
      <c r="AI62" s="1434"/>
      <c r="AJ62" s="1434"/>
      <c r="AK62" s="1434"/>
      <c r="AL62" s="1455"/>
      <c r="AM62" s="1432"/>
      <c r="AN62" s="1432"/>
      <c r="AO62" s="1433"/>
      <c r="AP62" s="4060"/>
      <c r="AQ62" s="4064"/>
      <c r="AR62" s="4064"/>
      <c r="AS62" s="4064"/>
      <c r="AT62" s="4064"/>
      <c r="AU62" s="4065"/>
      <c r="AV62" s="1421"/>
      <c r="AW62" s="1427"/>
    </row>
    <row r="63" spans="2:49" ht="9.9499999999999993" customHeight="1" thickBot="1">
      <c r="B63" s="4058"/>
      <c r="F63" s="4061"/>
      <c r="G63" s="4072"/>
      <c r="H63" s="4072"/>
      <c r="I63" s="4072"/>
      <c r="J63" s="4072"/>
      <c r="K63" s="4073"/>
      <c r="L63" s="1421"/>
      <c r="M63" s="1421"/>
      <c r="N63" s="1421"/>
      <c r="O63" s="1425"/>
      <c r="P63" s="1424"/>
      <c r="Q63" s="1423"/>
      <c r="R63" s="1423"/>
      <c r="S63" s="1423"/>
      <c r="T63" s="1422"/>
      <c r="U63" s="1421"/>
      <c r="V63" s="1421"/>
      <c r="W63" s="1421"/>
      <c r="X63" s="1425"/>
      <c r="Y63" s="1424"/>
      <c r="Z63" s="1423"/>
      <c r="AA63" s="1423"/>
      <c r="AB63" s="1423"/>
      <c r="AC63" s="1422"/>
      <c r="AD63" s="1421"/>
      <c r="AE63" s="1421"/>
      <c r="AF63" s="1421"/>
      <c r="AG63" s="1425"/>
      <c r="AH63" s="1424"/>
      <c r="AI63" s="1423"/>
      <c r="AJ63" s="1423"/>
      <c r="AK63" s="1423"/>
      <c r="AL63" s="1422"/>
      <c r="AM63" s="1421"/>
      <c r="AN63" s="1421"/>
      <c r="AO63" s="1421"/>
      <c r="AP63" s="4061"/>
      <c r="AQ63" s="4066"/>
      <c r="AR63" s="4066"/>
      <c r="AS63" s="4066"/>
      <c r="AT63" s="4066"/>
      <c r="AU63" s="4067"/>
      <c r="AV63" s="1421"/>
    </row>
    <row r="64" spans="2:49" ht="5.0999999999999996" customHeight="1">
      <c r="B64" s="1446"/>
      <c r="F64" s="1444"/>
      <c r="G64" s="1447"/>
      <c r="H64" s="1440"/>
      <c r="I64" s="1414"/>
      <c r="J64" s="1440"/>
      <c r="K64" s="1447"/>
      <c r="L64" s="1421"/>
      <c r="M64" s="1421"/>
      <c r="N64" s="1421"/>
      <c r="O64" s="1444"/>
      <c r="P64" s="1421"/>
      <c r="Q64" s="1441"/>
      <c r="R64" s="1441"/>
      <c r="S64" s="1441"/>
      <c r="T64" s="1421"/>
      <c r="U64" s="1421"/>
      <c r="V64" s="1421"/>
      <c r="W64" s="1421"/>
      <c r="X64" s="1444"/>
      <c r="Y64" s="1421"/>
      <c r="Z64" s="1441"/>
      <c r="AA64" s="1441"/>
      <c r="AB64" s="1441"/>
      <c r="AC64" s="1421"/>
      <c r="AD64" s="1421"/>
      <c r="AE64" s="1421"/>
      <c r="AF64" s="1421"/>
      <c r="AG64" s="1444"/>
      <c r="AH64" s="1447"/>
      <c r="AI64" s="1440"/>
      <c r="AJ64" s="1441"/>
      <c r="AK64" s="1440"/>
      <c r="AL64" s="1447"/>
      <c r="AM64" s="1421"/>
      <c r="AN64" s="1421"/>
      <c r="AO64" s="1421"/>
      <c r="AP64" s="1464"/>
      <c r="AQ64" s="1469"/>
      <c r="AR64" s="1449"/>
      <c r="AS64" s="1443"/>
      <c r="AT64" s="1449"/>
      <c r="AU64" s="1469"/>
      <c r="AV64" s="1421"/>
    </row>
    <row r="65" spans="2:49" ht="5.0999999999999996" customHeight="1">
      <c r="B65" s="1442"/>
      <c r="F65" s="1441"/>
      <c r="G65" s="1440"/>
      <c r="H65" s="1440"/>
      <c r="I65" s="1414"/>
      <c r="J65" s="1440"/>
      <c r="K65" s="1421"/>
      <c r="L65" s="1421"/>
      <c r="M65" s="1421"/>
      <c r="N65" s="1421"/>
      <c r="O65" s="1441"/>
      <c r="P65" s="1440"/>
      <c r="Q65" s="1440"/>
      <c r="R65" s="1443"/>
      <c r="S65" s="1440"/>
      <c r="T65" s="1440"/>
      <c r="U65" s="1421"/>
      <c r="V65" s="1421"/>
      <c r="W65" s="1421"/>
      <c r="X65" s="1441"/>
      <c r="Y65" s="1440"/>
      <c r="Z65" s="1440"/>
      <c r="AA65" s="1443"/>
      <c r="AB65" s="1440"/>
      <c r="AC65" s="1440"/>
      <c r="AD65" s="1421"/>
      <c r="AE65" s="1421"/>
      <c r="AF65" s="1421"/>
      <c r="AG65" s="1441"/>
      <c r="AH65" s="1440"/>
      <c r="AI65" s="1440"/>
      <c r="AJ65" s="1443"/>
      <c r="AK65" s="1440"/>
      <c r="AL65" s="1421"/>
      <c r="AM65" s="1421"/>
      <c r="AN65" s="1421"/>
      <c r="AO65" s="1421"/>
      <c r="AP65" s="1440"/>
      <c r="AQ65" s="1449"/>
      <c r="AR65" s="1449"/>
      <c r="AS65" s="1443"/>
      <c r="AT65" s="1449"/>
      <c r="AU65" s="1450"/>
      <c r="AV65" s="1421"/>
    </row>
    <row r="66" spans="2:49" ht="5.0999999999999996" customHeight="1">
      <c r="B66" s="1442"/>
      <c r="F66" s="1441"/>
      <c r="G66" s="1440"/>
      <c r="H66" s="1440"/>
      <c r="I66" s="1414"/>
      <c r="J66" s="1440"/>
      <c r="K66" s="1421"/>
      <c r="L66" s="1421"/>
      <c r="M66" s="1421"/>
      <c r="N66" s="1421"/>
      <c r="O66" s="1441"/>
      <c r="P66" s="1440"/>
      <c r="Q66" s="1440"/>
      <c r="R66" s="1440"/>
      <c r="S66" s="1440"/>
      <c r="T66" s="1440"/>
      <c r="U66" s="1421"/>
      <c r="V66" s="1421"/>
      <c r="W66" s="1421"/>
      <c r="X66" s="1441"/>
      <c r="Y66" s="1440"/>
      <c r="Z66" s="1440"/>
      <c r="AA66" s="1440"/>
      <c r="AB66" s="1440"/>
      <c r="AC66" s="1440"/>
      <c r="AD66" s="1421"/>
      <c r="AE66" s="1421"/>
      <c r="AF66" s="1421"/>
      <c r="AG66" s="1441"/>
      <c r="AH66" s="1440"/>
      <c r="AI66" s="1440"/>
      <c r="AJ66" s="1440"/>
      <c r="AK66" s="1440"/>
      <c r="AL66" s="1421"/>
      <c r="AM66" s="1421"/>
      <c r="AN66" s="1421"/>
      <c r="AO66" s="1421"/>
      <c r="AP66" s="1440"/>
      <c r="AQ66" s="1449"/>
      <c r="AR66" s="1449"/>
      <c r="AS66" s="1443"/>
      <c r="AT66" s="1449"/>
      <c r="AU66" s="1450"/>
      <c r="AV66" s="1421"/>
    </row>
    <row r="67" spans="2:49" ht="9.9499999999999993" customHeight="1">
      <c r="B67" s="4056">
        <v>10</v>
      </c>
      <c r="F67" s="4059"/>
      <c r="G67" s="4068" t="s">
        <v>751</v>
      </c>
      <c r="H67" s="4068"/>
      <c r="I67" s="4068"/>
      <c r="J67" s="4068"/>
      <c r="K67" s="4069"/>
      <c r="L67" s="1421"/>
      <c r="M67" s="1421"/>
      <c r="N67" s="1421"/>
      <c r="O67" s="1438"/>
      <c r="P67" s="1437"/>
      <c r="Q67" s="1436"/>
      <c r="R67" s="1436"/>
      <c r="S67" s="1436"/>
      <c r="T67" s="1435"/>
      <c r="U67" s="1421"/>
      <c r="V67" s="1421"/>
      <c r="W67" s="1421"/>
      <c r="X67" s="1438"/>
      <c r="Y67" s="1437"/>
      <c r="Z67" s="1436"/>
      <c r="AA67" s="1436"/>
      <c r="AB67" s="1436"/>
      <c r="AC67" s="1435"/>
      <c r="AD67" s="1421"/>
      <c r="AE67" s="1421"/>
      <c r="AF67" s="1421"/>
      <c r="AG67" s="1438"/>
      <c r="AH67" s="1437"/>
      <c r="AI67" s="1436"/>
      <c r="AJ67" s="1436"/>
      <c r="AK67" s="1436"/>
      <c r="AL67" s="1435"/>
      <c r="AM67" s="1421"/>
      <c r="AN67" s="1421"/>
      <c r="AO67" s="1421"/>
      <c r="AP67" s="4059">
        <v>2</v>
      </c>
      <c r="AQ67" s="4062" t="s">
        <v>750</v>
      </c>
      <c r="AR67" s="4062"/>
      <c r="AS67" s="4062"/>
      <c r="AT67" s="4062"/>
      <c r="AU67" s="4063"/>
      <c r="AV67" s="1421"/>
    </row>
    <row r="68" spans="2:49" ht="5.0999999999999996" customHeight="1">
      <c r="B68" s="4057"/>
      <c r="C68" s="1427"/>
      <c r="D68" s="1427"/>
      <c r="E68" s="1427"/>
      <c r="F68" s="4060"/>
      <c r="G68" s="4070"/>
      <c r="H68" s="4070"/>
      <c r="I68" s="4070"/>
      <c r="J68" s="4070"/>
      <c r="K68" s="4071"/>
      <c r="L68" s="1421"/>
      <c r="M68" s="1433"/>
      <c r="N68" s="1421"/>
      <c r="O68" s="1431"/>
      <c r="P68" s="1430"/>
      <c r="Q68" s="1429"/>
      <c r="R68" s="1429"/>
      <c r="S68" s="1429"/>
      <c r="T68" s="1428"/>
      <c r="U68" s="1421"/>
      <c r="V68" s="1433"/>
      <c r="W68" s="1421"/>
      <c r="X68" s="1431"/>
      <c r="Y68" s="1430"/>
      <c r="Z68" s="1429"/>
      <c r="AA68" s="1429"/>
      <c r="AB68" s="1429"/>
      <c r="AC68" s="1428"/>
      <c r="AD68" s="1421"/>
      <c r="AE68" s="1433"/>
      <c r="AF68" s="1421"/>
      <c r="AG68" s="1431"/>
      <c r="AH68" s="1430"/>
      <c r="AI68" s="1429"/>
      <c r="AJ68" s="1429"/>
      <c r="AK68" s="1429"/>
      <c r="AL68" s="1428"/>
      <c r="AM68" s="1421"/>
      <c r="AN68" s="1433"/>
      <c r="AO68" s="1421"/>
      <c r="AP68" s="4060"/>
      <c r="AQ68" s="4064"/>
      <c r="AR68" s="4064"/>
      <c r="AS68" s="4064"/>
      <c r="AT68" s="4064"/>
      <c r="AU68" s="4065"/>
      <c r="AV68" s="1421"/>
      <c r="AW68" s="1427"/>
    </row>
    <row r="69" spans="2:49" ht="9.9499999999999993" customHeight="1" thickBot="1">
      <c r="B69" s="4058"/>
      <c r="F69" s="4061"/>
      <c r="G69" s="4072"/>
      <c r="H69" s="4072"/>
      <c r="I69" s="4072"/>
      <c r="J69" s="4072"/>
      <c r="K69" s="4073"/>
      <c r="L69" s="1421"/>
      <c r="M69" s="1421"/>
      <c r="N69" s="1421"/>
      <c r="O69" s="1425"/>
      <c r="P69" s="1424"/>
      <c r="Q69" s="1423"/>
      <c r="R69" s="1423"/>
      <c r="S69" s="1423"/>
      <c r="T69" s="1422"/>
      <c r="U69" s="1421"/>
      <c r="V69" s="1421"/>
      <c r="W69" s="1421"/>
      <c r="X69" s="1425"/>
      <c r="Y69" s="1424"/>
      <c r="Z69" s="1423"/>
      <c r="AA69" s="1423"/>
      <c r="AB69" s="1423"/>
      <c r="AC69" s="1422"/>
      <c r="AD69" s="1421"/>
      <c r="AE69" s="1421"/>
      <c r="AF69" s="1421"/>
      <c r="AG69" s="1425"/>
      <c r="AH69" s="1424"/>
      <c r="AI69" s="1423"/>
      <c r="AJ69" s="1423"/>
      <c r="AK69" s="1423"/>
      <c r="AL69" s="1422"/>
      <c r="AM69" s="1421"/>
      <c r="AN69" s="1421"/>
      <c r="AO69" s="1421"/>
      <c r="AP69" s="4061"/>
      <c r="AQ69" s="4066"/>
      <c r="AR69" s="4066"/>
      <c r="AS69" s="4066"/>
      <c r="AT69" s="4066"/>
      <c r="AU69" s="4067"/>
      <c r="AV69" s="1421"/>
    </row>
    <row r="70" spans="2:49" ht="5.0999999999999996" customHeight="1">
      <c r="B70" s="1446"/>
      <c r="F70" s="1444"/>
      <c r="G70" s="1447"/>
      <c r="H70" s="1440"/>
      <c r="I70" s="1414"/>
      <c r="J70" s="1440"/>
      <c r="K70" s="1447"/>
      <c r="L70" s="1421"/>
      <c r="M70" s="1421"/>
      <c r="N70" s="1421"/>
      <c r="O70" s="1444"/>
      <c r="P70" s="1421"/>
      <c r="Q70" s="1441"/>
      <c r="R70" s="1441"/>
      <c r="S70" s="1441"/>
      <c r="T70" s="1421"/>
      <c r="U70" s="1421"/>
      <c r="V70" s="1421"/>
      <c r="W70" s="1421"/>
      <c r="X70" s="1444"/>
      <c r="Y70" s="1421"/>
      <c r="Z70" s="1441"/>
      <c r="AA70" s="1441"/>
      <c r="AB70" s="1441"/>
      <c r="AC70" s="1421"/>
      <c r="AD70" s="1421"/>
      <c r="AE70" s="1421"/>
      <c r="AF70" s="1421"/>
      <c r="AG70" s="1444"/>
      <c r="AH70" s="1447"/>
      <c r="AI70" s="1440"/>
      <c r="AJ70" s="1441"/>
      <c r="AK70" s="1440"/>
      <c r="AL70" s="1447"/>
      <c r="AM70" s="1421"/>
      <c r="AN70" s="1421"/>
      <c r="AO70" s="1421"/>
      <c r="AP70" s="1463"/>
      <c r="AQ70" s="1447"/>
      <c r="AR70" s="1440"/>
      <c r="AS70" s="1448"/>
      <c r="AT70" s="1440"/>
      <c r="AU70" s="1447"/>
      <c r="AV70" s="1421"/>
    </row>
    <row r="71" spans="2:49" ht="5.0999999999999996" customHeight="1">
      <c r="B71" s="1442"/>
      <c r="F71" s="1441"/>
      <c r="G71" s="1440"/>
      <c r="H71" s="1440"/>
      <c r="I71" s="1414"/>
      <c r="J71" s="1440"/>
      <c r="K71" s="1421"/>
      <c r="L71" s="1421"/>
      <c r="M71" s="1421"/>
      <c r="N71" s="1421"/>
      <c r="O71" s="1441"/>
      <c r="P71" s="1440"/>
      <c r="Q71" s="1440"/>
      <c r="R71" s="1443"/>
      <c r="S71" s="1440"/>
      <c r="T71" s="1440"/>
      <c r="U71" s="1421"/>
      <c r="V71" s="1421"/>
      <c r="W71" s="1421"/>
      <c r="X71" s="1441"/>
      <c r="Y71" s="1440"/>
      <c r="Z71" s="1440"/>
      <c r="AA71" s="1443"/>
      <c r="AB71" s="1440"/>
      <c r="AC71" s="1440"/>
      <c r="AD71" s="1421"/>
      <c r="AE71" s="1421"/>
      <c r="AF71" s="1421"/>
      <c r="AG71" s="1441"/>
      <c r="AH71" s="1440"/>
      <c r="AI71" s="1440"/>
      <c r="AJ71" s="1443"/>
      <c r="AK71" s="1440"/>
      <c r="AL71" s="1421"/>
      <c r="AM71" s="1421"/>
      <c r="AN71" s="1421"/>
      <c r="AO71" s="1421"/>
      <c r="AP71" s="1440"/>
      <c r="AQ71" s="1440"/>
      <c r="AR71" s="1440"/>
      <c r="AS71" s="1448"/>
      <c r="AT71" s="1440"/>
      <c r="AU71" s="1421"/>
      <c r="AV71" s="1421"/>
    </row>
    <row r="72" spans="2:49" ht="5.0999999999999996" customHeight="1">
      <c r="B72" s="1442"/>
      <c r="F72" s="1441"/>
      <c r="G72" s="1440"/>
      <c r="H72" s="1440"/>
      <c r="I72" s="1414"/>
      <c r="J72" s="1440"/>
      <c r="K72" s="1421"/>
      <c r="L72" s="1421"/>
      <c r="M72" s="1421"/>
      <c r="N72" s="1421"/>
      <c r="O72" s="1441"/>
      <c r="P72" s="1440"/>
      <c r="Q72" s="1440"/>
      <c r="R72" s="1440"/>
      <c r="S72" s="1440"/>
      <c r="T72" s="1440"/>
      <c r="U72" s="1421"/>
      <c r="V72" s="1421"/>
      <c r="W72" s="1421"/>
      <c r="X72" s="1441"/>
      <c r="Y72" s="1440"/>
      <c r="Z72" s="1440"/>
      <c r="AA72" s="1440"/>
      <c r="AB72" s="1440"/>
      <c r="AC72" s="1440"/>
      <c r="AD72" s="1421"/>
      <c r="AE72" s="1421"/>
      <c r="AF72" s="1421"/>
      <c r="AG72" s="1441"/>
      <c r="AH72" s="1440"/>
      <c r="AI72" s="1440"/>
      <c r="AJ72" s="1440"/>
      <c r="AK72" s="1440"/>
      <c r="AL72" s="1421"/>
      <c r="AM72" s="1421"/>
      <c r="AN72" s="1421"/>
      <c r="AO72" s="1421"/>
      <c r="AP72" s="1440"/>
      <c r="AQ72" s="1440"/>
      <c r="AR72" s="1440"/>
      <c r="AS72" s="1448"/>
      <c r="AT72" s="1440"/>
      <c r="AU72" s="1421"/>
      <c r="AV72" s="1421"/>
    </row>
    <row r="73" spans="2:49" ht="9.9499999999999993" customHeight="1">
      <c r="B73" s="4056">
        <v>11</v>
      </c>
      <c r="F73" s="4059"/>
      <c r="G73" s="4068" t="s">
        <v>749</v>
      </c>
      <c r="H73" s="4068"/>
      <c r="I73" s="4068"/>
      <c r="J73" s="4068"/>
      <c r="K73" s="4069"/>
      <c r="L73" s="1421"/>
      <c r="M73" s="1421"/>
      <c r="N73" s="1421"/>
      <c r="O73" s="1438"/>
      <c r="P73" s="1437"/>
      <c r="Q73" s="1436"/>
      <c r="R73" s="1436"/>
      <c r="S73" s="1436"/>
      <c r="T73" s="1435"/>
      <c r="U73" s="1421"/>
      <c r="V73" s="1421"/>
      <c r="W73" s="1421"/>
      <c r="X73" s="1438"/>
      <c r="Y73" s="1437"/>
      <c r="Z73" s="1436"/>
      <c r="AA73" s="1436"/>
      <c r="AB73" s="1436"/>
      <c r="AC73" s="1435"/>
      <c r="AD73" s="1421"/>
      <c r="AE73" s="1421"/>
      <c r="AF73" s="1421"/>
      <c r="AG73" s="1438"/>
      <c r="AH73" s="1437"/>
      <c r="AI73" s="1436"/>
      <c r="AJ73" s="1436"/>
      <c r="AK73" s="1436"/>
      <c r="AL73" s="1435"/>
      <c r="AM73" s="1421"/>
      <c r="AN73" s="1421"/>
      <c r="AO73" s="1421"/>
      <c r="AP73" s="4059">
        <v>3</v>
      </c>
      <c r="AQ73" s="4062" t="s">
        <v>748</v>
      </c>
      <c r="AR73" s="4062"/>
      <c r="AS73" s="4062"/>
      <c r="AT73" s="4062"/>
      <c r="AU73" s="4063"/>
      <c r="AV73" s="1421"/>
    </row>
    <row r="74" spans="2:49" ht="5.0999999999999996" customHeight="1">
      <c r="B74" s="4057"/>
      <c r="C74" s="1427"/>
      <c r="D74" s="1427"/>
      <c r="E74" s="1427"/>
      <c r="F74" s="4060"/>
      <c r="G74" s="4070"/>
      <c r="H74" s="4070"/>
      <c r="I74" s="4070"/>
      <c r="J74" s="4070"/>
      <c r="K74" s="4071"/>
      <c r="L74" s="1421"/>
      <c r="M74" s="1433"/>
      <c r="N74" s="1421"/>
      <c r="O74" s="1431"/>
      <c r="P74" s="1430"/>
      <c r="Q74" s="1429"/>
      <c r="R74" s="1429"/>
      <c r="S74" s="1429"/>
      <c r="T74" s="1428"/>
      <c r="U74" s="1421"/>
      <c r="V74" s="1433"/>
      <c r="W74" s="1421"/>
      <c r="X74" s="1431"/>
      <c r="Y74" s="1430"/>
      <c r="Z74" s="1429"/>
      <c r="AA74" s="1429"/>
      <c r="AB74" s="1429"/>
      <c r="AC74" s="1428"/>
      <c r="AD74" s="1421"/>
      <c r="AE74" s="1433"/>
      <c r="AF74" s="1421"/>
      <c r="AG74" s="1431"/>
      <c r="AH74" s="1430"/>
      <c r="AI74" s="1429"/>
      <c r="AJ74" s="1429"/>
      <c r="AK74" s="1429"/>
      <c r="AL74" s="1428"/>
      <c r="AM74" s="1421"/>
      <c r="AN74" s="1433"/>
      <c r="AO74" s="1421"/>
      <c r="AP74" s="4060"/>
      <c r="AQ74" s="4064"/>
      <c r="AR74" s="4064"/>
      <c r="AS74" s="4064"/>
      <c r="AT74" s="4064"/>
      <c r="AU74" s="4065"/>
      <c r="AV74" s="1421"/>
      <c r="AW74" s="1427"/>
    </row>
    <row r="75" spans="2:49" ht="9.9499999999999993" customHeight="1" thickBot="1">
      <c r="B75" s="4058"/>
      <c r="F75" s="4061"/>
      <c r="G75" s="4072"/>
      <c r="H75" s="4072"/>
      <c r="I75" s="4072"/>
      <c r="J75" s="4072"/>
      <c r="K75" s="4073"/>
      <c r="L75" s="1421"/>
      <c r="M75" s="1421"/>
      <c r="N75" s="1421"/>
      <c r="O75" s="1425"/>
      <c r="P75" s="1424"/>
      <c r="Q75" s="1423"/>
      <c r="R75" s="1423"/>
      <c r="S75" s="1423"/>
      <c r="T75" s="1422"/>
      <c r="U75" s="1421"/>
      <c r="V75" s="1421"/>
      <c r="W75" s="1421"/>
      <c r="X75" s="1425"/>
      <c r="Y75" s="1424"/>
      <c r="Z75" s="1423"/>
      <c r="AA75" s="1423"/>
      <c r="AB75" s="1423"/>
      <c r="AC75" s="1422"/>
      <c r="AD75" s="1421"/>
      <c r="AE75" s="1421"/>
      <c r="AF75" s="1421"/>
      <c r="AG75" s="1425"/>
      <c r="AH75" s="1424"/>
      <c r="AI75" s="1423"/>
      <c r="AJ75" s="1423"/>
      <c r="AK75" s="1423"/>
      <c r="AL75" s="1422"/>
      <c r="AM75" s="1421"/>
      <c r="AN75" s="1421"/>
      <c r="AO75" s="1421"/>
      <c r="AP75" s="4061"/>
      <c r="AQ75" s="4066"/>
      <c r="AR75" s="4066"/>
      <c r="AS75" s="4066"/>
      <c r="AT75" s="4066"/>
      <c r="AU75" s="4067"/>
      <c r="AV75" s="1421"/>
    </row>
    <row r="76" spans="2:49" ht="5.0999999999999996" customHeight="1">
      <c r="B76" s="1446"/>
      <c r="F76" s="1444"/>
      <c r="G76" s="1447"/>
      <c r="H76" s="1440"/>
      <c r="I76" s="1414"/>
      <c r="J76" s="1440"/>
      <c r="K76" s="1447"/>
      <c r="L76" s="1421"/>
      <c r="M76" s="1421"/>
      <c r="N76" s="1421"/>
      <c r="O76" s="1444"/>
      <c r="P76" s="1421"/>
      <c r="Q76" s="1441"/>
      <c r="R76" s="1441"/>
      <c r="S76" s="1441"/>
      <c r="T76" s="1421"/>
      <c r="U76" s="1421"/>
      <c r="V76" s="1421"/>
      <c r="W76" s="1421"/>
      <c r="X76" s="1444"/>
      <c r="Y76" s="1421"/>
      <c r="Z76" s="1441"/>
      <c r="AA76" s="1441"/>
      <c r="AB76" s="1441"/>
      <c r="AC76" s="1421"/>
      <c r="AD76" s="1421"/>
      <c r="AE76" s="1421"/>
      <c r="AF76" s="1421"/>
      <c r="AG76" s="1444"/>
      <c r="AH76" s="1421"/>
      <c r="AI76" s="1441"/>
      <c r="AJ76" s="1441"/>
      <c r="AK76" s="1441"/>
      <c r="AL76" s="1421"/>
      <c r="AM76" s="1421"/>
      <c r="AN76" s="1421"/>
      <c r="AO76" s="1421"/>
      <c r="AP76" s="1444"/>
      <c r="AQ76" s="1421"/>
      <c r="AR76" s="1468"/>
      <c r="AS76" s="1467"/>
      <c r="AT76" s="1441"/>
      <c r="AU76" s="1421"/>
      <c r="AV76" s="1421"/>
    </row>
    <row r="77" spans="2:49" ht="5.0999999999999996" customHeight="1">
      <c r="B77" s="1442"/>
      <c r="F77" s="1441"/>
      <c r="G77" s="1440"/>
      <c r="H77" s="1440"/>
      <c r="I77" s="1414"/>
      <c r="J77" s="1440"/>
      <c r="K77" s="1421"/>
      <c r="L77" s="1421"/>
      <c r="M77" s="1421"/>
      <c r="N77" s="1421"/>
      <c r="O77" s="1441"/>
      <c r="P77" s="1440"/>
      <c r="Q77" s="1440"/>
      <c r="R77" s="1443"/>
      <c r="S77" s="1440"/>
      <c r="T77" s="1440"/>
      <c r="U77" s="1421"/>
      <c r="V77" s="1421"/>
      <c r="W77" s="1421"/>
      <c r="X77" s="1441"/>
      <c r="Y77" s="1440"/>
      <c r="Z77" s="1440"/>
      <c r="AA77" s="1443"/>
      <c r="AB77" s="1440"/>
      <c r="AC77" s="1440"/>
      <c r="AD77" s="1421"/>
      <c r="AE77" s="1421"/>
      <c r="AF77" s="1421"/>
      <c r="AG77" s="1441"/>
      <c r="AH77" s="1421"/>
      <c r="AI77" s="1421"/>
      <c r="AJ77" s="1443"/>
      <c r="AK77" s="1421"/>
      <c r="AL77" s="1458"/>
      <c r="AM77" s="1421"/>
      <c r="AN77" s="1421"/>
      <c r="AO77" s="1421"/>
      <c r="AP77" s="1441"/>
      <c r="AQ77" s="1460"/>
      <c r="AR77" s="1465"/>
      <c r="AS77" s="1461"/>
      <c r="AT77" s="1421"/>
      <c r="AU77" s="1458"/>
      <c r="AV77" s="1421"/>
    </row>
    <row r="78" spans="2:49" ht="5.0999999999999996" customHeight="1">
      <c r="B78" s="1442"/>
      <c r="F78" s="1441"/>
      <c r="G78" s="1440"/>
      <c r="H78" s="1440"/>
      <c r="I78" s="1414"/>
      <c r="J78" s="1440"/>
      <c r="K78" s="1421"/>
      <c r="L78" s="1421"/>
      <c r="M78" s="1421"/>
      <c r="N78" s="1421"/>
      <c r="O78" s="1441"/>
      <c r="P78" s="1440"/>
      <c r="Q78" s="1440"/>
      <c r="R78" s="1440"/>
      <c r="S78" s="1440"/>
      <c r="T78" s="1440"/>
      <c r="U78" s="1421"/>
      <c r="V78" s="1421"/>
      <c r="W78" s="1421"/>
      <c r="X78" s="1441"/>
      <c r="Y78" s="1440"/>
      <c r="Z78" s="1440"/>
      <c r="AA78" s="1440"/>
      <c r="AB78" s="1440"/>
      <c r="AC78" s="1440"/>
      <c r="AD78" s="1421"/>
      <c r="AE78" s="1421"/>
      <c r="AF78" s="1421"/>
      <c r="AG78" s="1441"/>
      <c r="AH78" s="1421"/>
      <c r="AI78" s="1421"/>
      <c r="AJ78" s="1440"/>
      <c r="AK78" s="1421"/>
      <c r="AL78" s="1458"/>
      <c r="AM78" s="1421"/>
      <c r="AN78" s="1421"/>
      <c r="AO78" s="1421"/>
      <c r="AP78" s="1441"/>
      <c r="AQ78" s="1460"/>
      <c r="AR78" s="1465"/>
      <c r="AS78" s="1461"/>
      <c r="AT78" s="1421"/>
      <c r="AU78" s="1458"/>
      <c r="AV78" s="1421"/>
    </row>
    <row r="79" spans="2:49" ht="9.9499999999999993" customHeight="1">
      <c r="B79" s="4056">
        <v>12</v>
      </c>
      <c r="F79" s="4059"/>
      <c r="G79" s="4068" t="s">
        <v>747</v>
      </c>
      <c r="H79" s="4068"/>
      <c r="I79" s="4068"/>
      <c r="J79" s="4068"/>
      <c r="K79" s="4069"/>
      <c r="L79" s="1421"/>
      <c r="M79" s="1421"/>
      <c r="N79" s="1421"/>
      <c r="O79" s="1438"/>
      <c r="P79" s="1437"/>
      <c r="Q79" s="1436"/>
      <c r="R79" s="1436"/>
      <c r="S79" s="1436"/>
      <c r="T79" s="1435"/>
      <c r="U79" s="1421"/>
      <c r="V79" s="1421"/>
      <c r="W79" s="1421"/>
      <c r="X79" s="1438"/>
      <c r="Y79" s="1437"/>
      <c r="Z79" s="1436"/>
      <c r="AA79" s="1436"/>
      <c r="AB79" s="1436"/>
      <c r="AC79" s="1435"/>
      <c r="AD79" s="1421"/>
      <c r="AE79" s="1421"/>
      <c r="AF79" s="1421"/>
      <c r="AG79" s="1438"/>
      <c r="AH79" s="1437"/>
      <c r="AI79" s="1436"/>
      <c r="AJ79" s="1436"/>
      <c r="AK79" s="1436"/>
      <c r="AL79" s="1435"/>
      <c r="AM79" s="1421"/>
      <c r="AN79" s="1421"/>
      <c r="AO79" s="1421"/>
      <c r="AP79" s="1438"/>
      <c r="AQ79" s="1437"/>
      <c r="AR79" s="1436"/>
      <c r="AS79" s="1439"/>
      <c r="AT79" s="1436"/>
      <c r="AU79" s="1435"/>
      <c r="AV79" s="1421"/>
    </row>
    <row r="80" spans="2:49" ht="5.0999999999999996" customHeight="1">
      <c r="B80" s="4057"/>
      <c r="C80" s="1427"/>
      <c r="D80" s="1427"/>
      <c r="E80" s="1427"/>
      <c r="F80" s="4060"/>
      <c r="G80" s="4070"/>
      <c r="H80" s="4070"/>
      <c r="I80" s="4070"/>
      <c r="J80" s="4070"/>
      <c r="K80" s="4071"/>
      <c r="L80" s="1421"/>
      <c r="M80" s="1433"/>
      <c r="N80" s="1421"/>
      <c r="O80" s="1431"/>
      <c r="P80" s="1430"/>
      <c r="Q80" s="1429"/>
      <c r="R80" s="1429"/>
      <c r="S80" s="1429"/>
      <c r="T80" s="1428"/>
      <c r="U80" s="1421"/>
      <c r="V80" s="1433"/>
      <c r="W80" s="1421"/>
      <c r="X80" s="1431"/>
      <c r="Y80" s="1430"/>
      <c r="Z80" s="1429"/>
      <c r="AA80" s="1429"/>
      <c r="AB80" s="1429"/>
      <c r="AC80" s="1428"/>
      <c r="AD80" s="1421"/>
      <c r="AE80" s="1433"/>
      <c r="AF80" s="1421"/>
      <c r="AG80" s="1431"/>
      <c r="AH80" s="1430"/>
      <c r="AI80" s="1429"/>
      <c r="AJ80" s="1429"/>
      <c r="AK80" s="1429"/>
      <c r="AL80" s="1428"/>
      <c r="AM80" s="1450"/>
      <c r="AN80" s="1433"/>
      <c r="AO80" s="1450"/>
      <c r="AP80" s="1431"/>
      <c r="AQ80" s="1430"/>
      <c r="AR80" s="1429"/>
      <c r="AS80" s="1434"/>
      <c r="AT80" s="1429"/>
      <c r="AU80" s="1428"/>
      <c r="AV80" s="1421"/>
      <c r="AW80" s="1427"/>
    </row>
    <row r="81" spans="2:49" ht="9.9499999999999993" customHeight="1" thickBot="1">
      <c r="B81" s="4058"/>
      <c r="F81" s="4061"/>
      <c r="G81" s="4072"/>
      <c r="H81" s="4072"/>
      <c r="I81" s="4072"/>
      <c r="J81" s="4072"/>
      <c r="K81" s="4073"/>
      <c r="L81" s="1421"/>
      <c r="M81" s="1421"/>
      <c r="N81" s="1421"/>
      <c r="O81" s="1425"/>
      <c r="P81" s="1424"/>
      <c r="Q81" s="1423"/>
      <c r="R81" s="1423"/>
      <c r="S81" s="1423"/>
      <c r="T81" s="1422"/>
      <c r="U81" s="1421"/>
      <c r="V81" s="1421"/>
      <c r="W81" s="1421"/>
      <c r="X81" s="1425"/>
      <c r="Y81" s="1424"/>
      <c r="Z81" s="1423"/>
      <c r="AA81" s="1423"/>
      <c r="AB81" s="1423"/>
      <c r="AC81" s="1422"/>
      <c r="AD81" s="1421"/>
      <c r="AE81" s="1421"/>
      <c r="AF81" s="1421"/>
      <c r="AG81" s="1425"/>
      <c r="AH81" s="1424"/>
      <c r="AI81" s="1423"/>
      <c r="AJ81" s="1423"/>
      <c r="AK81" s="1423"/>
      <c r="AL81" s="1422"/>
      <c r="AM81" s="1421"/>
      <c r="AN81" s="1421"/>
      <c r="AO81" s="1421"/>
      <c r="AP81" s="1425"/>
      <c r="AQ81" s="1424"/>
      <c r="AR81" s="1423"/>
      <c r="AS81" s="1426"/>
      <c r="AT81" s="1423"/>
      <c r="AU81" s="1422"/>
      <c r="AV81" s="1421"/>
    </row>
    <row r="82" spans="2:49" ht="5.0999999999999996" customHeight="1">
      <c r="B82" s="1446"/>
      <c r="F82" s="1444"/>
      <c r="G82" s="1447"/>
      <c r="H82" s="1440"/>
      <c r="I82" s="1448"/>
      <c r="J82" s="1440"/>
      <c r="K82" s="1447"/>
      <c r="L82" s="1421"/>
      <c r="M82" s="1421"/>
      <c r="N82" s="1421"/>
      <c r="O82" s="1444"/>
      <c r="P82" s="1421"/>
      <c r="Q82" s="1441"/>
      <c r="R82" s="1441"/>
      <c r="S82" s="1441"/>
      <c r="T82" s="1421"/>
      <c r="U82" s="1421"/>
      <c r="V82" s="1421"/>
      <c r="W82" s="1421"/>
      <c r="X82" s="1444"/>
      <c r="Y82" s="1447"/>
      <c r="Z82" s="1440"/>
      <c r="AA82" s="1440"/>
      <c r="AB82" s="1440"/>
      <c r="AC82" s="1447"/>
      <c r="AD82" s="1421"/>
      <c r="AE82" s="1421"/>
      <c r="AF82" s="1421"/>
      <c r="AG82" s="1444"/>
      <c r="AH82" s="1421"/>
      <c r="AI82" s="1441"/>
      <c r="AJ82" s="1440"/>
      <c r="AK82" s="1441"/>
      <c r="AL82" s="1421"/>
      <c r="AM82" s="1421"/>
      <c r="AN82" s="1421"/>
      <c r="AO82" s="1421"/>
      <c r="AP82" s="1444"/>
      <c r="AQ82" s="1421"/>
      <c r="AR82" s="1468"/>
      <c r="AS82" s="1467"/>
      <c r="AT82" s="1441"/>
      <c r="AU82" s="1421"/>
      <c r="AV82" s="1421"/>
    </row>
    <row r="83" spans="2:49" ht="5.0999999999999996" customHeight="1">
      <c r="B83" s="1442"/>
      <c r="F83" s="1441"/>
      <c r="G83" s="1440"/>
      <c r="H83" s="1440"/>
      <c r="I83" s="1448"/>
      <c r="J83" s="1440"/>
      <c r="K83" s="1421"/>
      <c r="L83" s="1421"/>
      <c r="M83" s="1421"/>
      <c r="N83" s="1421"/>
      <c r="O83" s="1441"/>
      <c r="P83" s="1440"/>
      <c r="Q83" s="1440"/>
      <c r="R83" s="1443"/>
      <c r="S83" s="1440"/>
      <c r="T83" s="1440"/>
      <c r="U83" s="1421"/>
      <c r="V83" s="1421"/>
      <c r="W83" s="1421"/>
      <c r="X83" s="1441"/>
      <c r="Y83" s="1440"/>
      <c r="Z83" s="1440"/>
      <c r="AA83" s="1466"/>
      <c r="AB83" s="1440"/>
      <c r="AC83" s="1421"/>
      <c r="AD83" s="1421"/>
      <c r="AE83" s="1421"/>
      <c r="AF83" s="1421"/>
      <c r="AG83" s="1441"/>
      <c r="AH83" s="1421"/>
      <c r="AI83" s="1421"/>
      <c r="AJ83" s="1466"/>
      <c r="AK83" s="1421"/>
      <c r="AL83" s="1458"/>
      <c r="AM83" s="1421"/>
      <c r="AN83" s="1421"/>
      <c r="AO83" s="1421"/>
      <c r="AP83" s="1441"/>
      <c r="AQ83" s="1460"/>
      <c r="AR83" s="1465"/>
      <c r="AS83" s="1461"/>
      <c r="AT83" s="1421"/>
      <c r="AU83" s="1458"/>
      <c r="AV83" s="1421"/>
    </row>
    <row r="84" spans="2:49" ht="5.0999999999999996" customHeight="1">
      <c r="B84" s="1442"/>
      <c r="F84" s="1441"/>
      <c r="G84" s="1440"/>
      <c r="H84" s="1440"/>
      <c r="I84" s="1448"/>
      <c r="J84" s="1440"/>
      <c r="K84" s="1421"/>
      <c r="L84" s="1421"/>
      <c r="M84" s="1421"/>
      <c r="N84" s="1421"/>
      <c r="O84" s="1441"/>
      <c r="P84" s="1440"/>
      <c r="Q84" s="1440"/>
      <c r="R84" s="1440"/>
      <c r="S84" s="1440"/>
      <c r="T84" s="1440"/>
      <c r="U84" s="1421"/>
      <c r="V84" s="1421"/>
      <c r="W84" s="1421"/>
      <c r="X84" s="1441"/>
      <c r="Y84" s="1440"/>
      <c r="Z84" s="1440"/>
      <c r="AA84" s="1440"/>
      <c r="AB84" s="1440"/>
      <c r="AC84" s="1421"/>
      <c r="AD84" s="1421"/>
      <c r="AE84" s="1421"/>
      <c r="AF84" s="1421"/>
      <c r="AG84" s="1441"/>
      <c r="AH84" s="1421"/>
      <c r="AI84" s="1421"/>
      <c r="AJ84" s="1440"/>
      <c r="AK84" s="1421"/>
      <c r="AL84" s="1458"/>
      <c r="AM84" s="1421"/>
      <c r="AN84" s="1421"/>
      <c r="AO84" s="1421"/>
      <c r="AP84" s="1441"/>
      <c r="AQ84" s="1460"/>
      <c r="AR84" s="1465"/>
      <c r="AS84" s="1461"/>
      <c r="AT84" s="1421"/>
      <c r="AU84" s="1458"/>
      <c r="AV84" s="1421"/>
    </row>
    <row r="85" spans="2:49" ht="9.9499999999999993" customHeight="1">
      <c r="B85" s="4056">
        <v>14</v>
      </c>
      <c r="F85" s="4059"/>
      <c r="G85" s="4068" t="s">
        <v>746</v>
      </c>
      <c r="H85" s="4068"/>
      <c r="I85" s="4068"/>
      <c r="J85" s="4068"/>
      <c r="K85" s="4069"/>
      <c r="L85" s="1421"/>
      <c r="M85" s="1421"/>
      <c r="N85" s="1421"/>
      <c r="O85" s="1438"/>
      <c r="P85" s="1437"/>
      <c r="Q85" s="1436"/>
      <c r="R85" s="1436"/>
      <c r="S85" s="1436"/>
      <c r="T85" s="1435"/>
      <c r="U85" s="1421"/>
      <c r="V85" s="1421"/>
      <c r="W85" s="1421"/>
      <c r="X85" s="1438"/>
      <c r="Y85" s="1437"/>
      <c r="Z85" s="1436"/>
      <c r="AA85" s="1436"/>
      <c r="AB85" s="1436"/>
      <c r="AC85" s="1435"/>
      <c r="AD85" s="1421"/>
      <c r="AE85" s="1421"/>
      <c r="AF85" s="1421"/>
      <c r="AG85" s="1438"/>
      <c r="AH85" s="1437"/>
      <c r="AI85" s="1436"/>
      <c r="AJ85" s="1436"/>
      <c r="AK85" s="1436"/>
      <c r="AL85" s="1435"/>
      <c r="AM85" s="1421"/>
      <c r="AN85" s="1421"/>
      <c r="AO85" s="1421"/>
      <c r="AP85" s="1438"/>
      <c r="AQ85" s="1437"/>
      <c r="AR85" s="1436"/>
      <c r="AS85" s="1439"/>
      <c r="AT85" s="1436"/>
      <c r="AU85" s="1435"/>
      <c r="AV85" s="1421"/>
    </row>
    <row r="86" spans="2:49" ht="5.0999999999999996" customHeight="1">
      <c r="B86" s="4057"/>
      <c r="C86" s="1427"/>
      <c r="D86" s="1427"/>
      <c r="E86" s="1427"/>
      <c r="F86" s="4060"/>
      <c r="G86" s="4070"/>
      <c r="H86" s="4070"/>
      <c r="I86" s="4070"/>
      <c r="J86" s="4070"/>
      <c r="K86" s="4071"/>
      <c r="L86" s="1432"/>
      <c r="M86" s="1432"/>
      <c r="N86" s="1432"/>
      <c r="O86" s="1457"/>
      <c r="P86" s="1456"/>
      <c r="Q86" s="1434"/>
      <c r="R86" s="1434"/>
      <c r="S86" s="1434"/>
      <c r="T86" s="1455"/>
      <c r="U86" s="1432"/>
      <c r="V86" s="1432"/>
      <c r="W86" s="1432"/>
      <c r="X86" s="1457"/>
      <c r="Y86" s="1456"/>
      <c r="Z86" s="1434"/>
      <c r="AA86" s="1434"/>
      <c r="AB86" s="1434"/>
      <c r="AC86" s="1455"/>
      <c r="AD86" s="1432"/>
      <c r="AE86" s="1432"/>
      <c r="AF86" s="1432"/>
      <c r="AG86" s="1457"/>
      <c r="AH86" s="1456"/>
      <c r="AI86" s="1434"/>
      <c r="AJ86" s="1434"/>
      <c r="AK86" s="1434"/>
      <c r="AL86" s="1455"/>
      <c r="AM86" s="1432"/>
      <c r="AN86" s="1432"/>
      <c r="AO86" s="1432"/>
      <c r="AP86" s="1457"/>
      <c r="AQ86" s="1456"/>
      <c r="AR86" s="1434"/>
      <c r="AS86" s="1434"/>
      <c r="AT86" s="1429"/>
      <c r="AU86" s="1428"/>
      <c r="AV86" s="1421"/>
      <c r="AW86" s="1427"/>
    </row>
    <row r="87" spans="2:49" ht="9.9499999999999993" customHeight="1" thickBot="1">
      <c r="B87" s="4058"/>
      <c r="F87" s="4061"/>
      <c r="G87" s="4072"/>
      <c r="H87" s="4072"/>
      <c r="I87" s="4072"/>
      <c r="J87" s="4072"/>
      <c r="K87" s="4073"/>
      <c r="L87" s="1421"/>
      <c r="M87" s="1421"/>
      <c r="N87" s="1421"/>
      <c r="O87" s="1425"/>
      <c r="P87" s="1424"/>
      <c r="Q87" s="1423"/>
      <c r="R87" s="1423"/>
      <c r="S87" s="1423"/>
      <c r="T87" s="1422"/>
      <c r="U87" s="1421"/>
      <c r="V87" s="1421"/>
      <c r="W87" s="1421"/>
      <c r="X87" s="1425"/>
      <c r="Y87" s="1424"/>
      <c r="Z87" s="1423"/>
      <c r="AA87" s="1423"/>
      <c r="AB87" s="1423"/>
      <c r="AC87" s="1422"/>
      <c r="AD87" s="1421"/>
      <c r="AE87" s="1421"/>
      <c r="AF87" s="1421"/>
      <c r="AG87" s="1425"/>
      <c r="AH87" s="1424"/>
      <c r="AI87" s="1423"/>
      <c r="AJ87" s="1423"/>
      <c r="AK87" s="1423"/>
      <c r="AL87" s="1422"/>
      <c r="AM87" s="1421"/>
      <c r="AN87" s="1421"/>
      <c r="AO87" s="1421"/>
      <c r="AP87" s="1425"/>
      <c r="AQ87" s="1424"/>
      <c r="AR87" s="1454"/>
      <c r="AS87" s="1454"/>
      <c r="AT87" s="1423"/>
      <c r="AU87" s="1422"/>
      <c r="AV87" s="1421"/>
    </row>
    <row r="88" spans="2:49" ht="5.0999999999999996" customHeight="1">
      <c r="B88" s="1446"/>
      <c r="F88" s="1444"/>
      <c r="G88" s="1447"/>
      <c r="H88" s="1440"/>
      <c r="I88" s="1448"/>
      <c r="J88" s="1440"/>
      <c r="K88" s="1447"/>
      <c r="L88" s="1421"/>
      <c r="M88" s="1421"/>
      <c r="N88" s="1421"/>
      <c r="O88" s="1444"/>
      <c r="P88" s="1421"/>
      <c r="Q88" s="1441"/>
      <c r="R88" s="1441"/>
      <c r="S88" s="1441"/>
      <c r="T88" s="1421"/>
      <c r="U88" s="1421"/>
      <c r="V88" s="1421"/>
      <c r="W88" s="1421"/>
      <c r="X88" s="1464"/>
      <c r="Y88" s="1447"/>
      <c r="Z88" s="1440"/>
      <c r="AA88" s="1440"/>
      <c r="AB88" s="1440"/>
      <c r="AC88" s="1447"/>
      <c r="AD88" s="1421"/>
      <c r="AE88" s="1421"/>
      <c r="AF88" s="1421"/>
      <c r="AG88" s="1463"/>
      <c r="AH88" s="1421"/>
      <c r="AI88" s="1441"/>
      <c r="AJ88" s="1440"/>
      <c r="AK88" s="1441"/>
      <c r="AL88" s="1421"/>
      <c r="AM88" s="1421"/>
      <c r="AN88" s="1421"/>
      <c r="AO88" s="1421"/>
      <c r="AP88" s="1444"/>
      <c r="AQ88" s="1421"/>
      <c r="AR88" s="1462"/>
      <c r="AS88" s="1462"/>
      <c r="AT88" s="1441"/>
      <c r="AU88" s="1421"/>
      <c r="AV88" s="1421"/>
    </row>
    <row r="89" spans="2:49" ht="5.0999999999999996" customHeight="1">
      <c r="B89" s="1442"/>
      <c r="F89" s="1441"/>
      <c r="G89" s="1440"/>
      <c r="H89" s="1440"/>
      <c r="I89" s="1448"/>
      <c r="J89" s="1440"/>
      <c r="K89" s="1421"/>
      <c r="L89" s="1421"/>
      <c r="M89" s="1421"/>
      <c r="N89" s="1421"/>
      <c r="O89" s="1441"/>
      <c r="P89" s="1440"/>
      <c r="Q89" s="1440"/>
      <c r="R89" s="1443"/>
      <c r="S89" s="1440"/>
      <c r="T89" s="1440"/>
      <c r="U89" s="1421"/>
      <c r="V89" s="1421"/>
      <c r="W89" s="1421"/>
      <c r="X89" s="1440"/>
      <c r="Y89" s="1440"/>
      <c r="Z89" s="1440"/>
      <c r="AA89" s="1443"/>
      <c r="AB89" s="1440"/>
      <c r="AC89" s="1421"/>
      <c r="AD89" s="1421"/>
      <c r="AE89" s="1421"/>
      <c r="AF89" s="1421"/>
      <c r="AG89" s="1440"/>
      <c r="AH89" s="1421"/>
      <c r="AI89" s="1421"/>
      <c r="AJ89" s="1443"/>
      <c r="AK89" s="1421"/>
      <c r="AL89" s="1458"/>
      <c r="AM89" s="1421"/>
      <c r="AN89" s="1421"/>
      <c r="AO89" s="1421"/>
      <c r="AP89" s="1441"/>
      <c r="AQ89" s="1460"/>
      <c r="AR89" s="1459"/>
      <c r="AS89" s="1461"/>
      <c r="AT89" s="1421"/>
      <c r="AU89" s="1458"/>
      <c r="AV89" s="1421"/>
    </row>
    <row r="90" spans="2:49" ht="5.0999999999999996" customHeight="1">
      <c r="B90" s="1442"/>
      <c r="F90" s="1441"/>
      <c r="G90" s="1440"/>
      <c r="H90" s="1440"/>
      <c r="I90" s="1448"/>
      <c r="J90" s="1440"/>
      <c r="K90" s="1421"/>
      <c r="L90" s="1421"/>
      <c r="M90" s="1421"/>
      <c r="N90" s="1421"/>
      <c r="O90" s="1441"/>
      <c r="P90" s="1440"/>
      <c r="Q90" s="1440"/>
      <c r="R90" s="1440"/>
      <c r="S90" s="1440"/>
      <c r="T90" s="1440"/>
      <c r="U90" s="1421"/>
      <c r="V90" s="1421"/>
      <c r="W90" s="1421"/>
      <c r="X90" s="1440"/>
      <c r="Y90" s="1440"/>
      <c r="Z90" s="1440"/>
      <c r="AA90" s="1440"/>
      <c r="AB90" s="1440"/>
      <c r="AC90" s="1421"/>
      <c r="AD90" s="1421"/>
      <c r="AE90" s="1421"/>
      <c r="AF90" s="1421"/>
      <c r="AG90" s="1440"/>
      <c r="AH90" s="1421"/>
      <c r="AI90" s="1421"/>
      <c r="AJ90" s="1440"/>
      <c r="AK90" s="1421"/>
      <c r="AL90" s="1458"/>
      <c r="AM90" s="1421"/>
      <c r="AN90" s="1421"/>
      <c r="AO90" s="1421"/>
      <c r="AP90" s="1441"/>
      <c r="AQ90" s="1460"/>
      <c r="AR90" s="1459"/>
      <c r="AS90" s="1459"/>
      <c r="AT90" s="1421"/>
      <c r="AU90" s="1458"/>
      <c r="AV90" s="1421"/>
    </row>
    <row r="91" spans="2:49" ht="9.9499999999999993" customHeight="1">
      <c r="B91" s="4056">
        <v>15</v>
      </c>
      <c r="F91" s="4059"/>
      <c r="G91" s="4068" t="s">
        <v>745</v>
      </c>
      <c r="H91" s="4068"/>
      <c r="I91" s="4068"/>
      <c r="J91" s="4068"/>
      <c r="K91" s="4069"/>
      <c r="L91" s="1421"/>
      <c r="M91" s="1421"/>
      <c r="N91" s="1421"/>
      <c r="O91" s="1438"/>
      <c r="P91" s="1437"/>
      <c r="Q91" s="1436"/>
      <c r="R91" s="1436"/>
      <c r="S91" s="1436"/>
      <c r="T91" s="1435"/>
      <c r="U91" s="1421"/>
      <c r="V91" s="1421"/>
      <c r="W91" s="1421"/>
      <c r="X91" s="4059">
        <v>4</v>
      </c>
      <c r="Y91" s="4074" t="s">
        <v>744</v>
      </c>
      <c r="Z91" s="4074"/>
      <c r="AA91" s="4074"/>
      <c r="AB91" s="4074"/>
      <c r="AC91" s="4075"/>
      <c r="AD91" s="1421"/>
      <c r="AE91" s="1421"/>
      <c r="AF91" s="1421"/>
      <c r="AG91" s="1438"/>
      <c r="AH91" s="1437"/>
      <c r="AI91" s="1436"/>
      <c r="AJ91" s="1436"/>
      <c r="AK91" s="1436"/>
      <c r="AL91" s="1435"/>
      <c r="AM91" s="1421"/>
      <c r="AN91" s="1421"/>
      <c r="AO91" s="1421"/>
      <c r="AP91" s="1438"/>
      <c r="AQ91" s="1437"/>
      <c r="AR91" s="1453"/>
      <c r="AS91" s="1453"/>
      <c r="AT91" s="1436"/>
      <c r="AU91" s="1435"/>
      <c r="AV91" s="1421"/>
    </row>
    <row r="92" spans="2:49" ht="5.0999999999999996" customHeight="1">
      <c r="B92" s="4057"/>
      <c r="C92" s="1427"/>
      <c r="D92" s="1427"/>
      <c r="E92" s="1427"/>
      <c r="F92" s="4060"/>
      <c r="G92" s="4070"/>
      <c r="H92" s="4070"/>
      <c r="I92" s="4070"/>
      <c r="J92" s="4070"/>
      <c r="K92" s="4071"/>
      <c r="L92" s="1432"/>
      <c r="M92" s="1432"/>
      <c r="N92" s="1432"/>
      <c r="O92" s="1457"/>
      <c r="P92" s="1456"/>
      <c r="Q92" s="1434"/>
      <c r="R92" s="1434"/>
      <c r="S92" s="1434"/>
      <c r="T92" s="1455"/>
      <c r="U92" s="1432"/>
      <c r="V92" s="1432"/>
      <c r="W92" s="1432"/>
      <c r="X92" s="4060"/>
      <c r="Y92" s="4076"/>
      <c r="Z92" s="4076"/>
      <c r="AA92" s="4076"/>
      <c r="AB92" s="4076"/>
      <c r="AC92" s="4077"/>
      <c r="AD92" s="1421"/>
      <c r="AE92" s="1433"/>
      <c r="AF92" s="1421"/>
      <c r="AG92" s="1431"/>
      <c r="AH92" s="1430"/>
      <c r="AI92" s="1429"/>
      <c r="AJ92" s="1429"/>
      <c r="AK92" s="1429"/>
      <c r="AL92" s="1428"/>
      <c r="AM92" s="1421"/>
      <c r="AN92" s="1433"/>
      <c r="AO92" s="1421"/>
      <c r="AP92" s="1431"/>
      <c r="AQ92" s="1430"/>
      <c r="AR92" s="1452"/>
      <c r="AS92" s="1452"/>
      <c r="AT92" s="1429"/>
      <c r="AU92" s="1428"/>
      <c r="AV92" s="1421"/>
      <c r="AW92" s="1427"/>
    </row>
    <row r="93" spans="2:49" ht="9.9499999999999993" customHeight="1" thickBot="1">
      <c r="B93" s="4058"/>
      <c r="F93" s="4061"/>
      <c r="G93" s="4072"/>
      <c r="H93" s="4072"/>
      <c r="I93" s="4072"/>
      <c r="J93" s="4072"/>
      <c r="K93" s="4073"/>
      <c r="L93" s="1421"/>
      <c r="M93" s="1421"/>
      <c r="N93" s="1421"/>
      <c r="O93" s="1425"/>
      <c r="P93" s="1424"/>
      <c r="Q93" s="1423"/>
      <c r="R93" s="1423"/>
      <c r="S93" s="1423"/>
      <c r="T93" s="1422"/>
      <c r="U93" s="1421"/>
      <c r="V93" s="1421"/>
      <c r="W93" s="1421"/>
      <c r="X93" s="4061"/>
      <c r="Y93" s="4078"/>
      <c r="Z93" s="4078"/>
      <c r="AA93" s="4078"/>
      <c r="AB93" s="4078"/>
      <c r="AC93" s="4079"/>
      <c r="AD93" s="1421"/>
      <c r="AE93" s="1421"/>
      <c r="AF93" s="1421"/>
      <c r="AG93" s="1425"/>
      <c r="AH93" s="1424"/>
      <c r="AI93" s="1423"/>
      <c r="AJ93" s="1423"/>
      <c r="AK93" s="1423"/>
      <c r="AL93" s="1422"/>
      <c r="AM93" s="1421"/>
      <c r="AN93" s="1421"/>
      <c r="AO93" s="1421"/>
      <c r="AP93" s="1425"/>
      <c r="AQ93" s="1424"/>
      <c r="AR93" s="1454"/>
      <c r="AS93" s="1454"/>
      <c r="AT93" s="1423"/>
      <c r="AU93" s="1422"/>
      <c r="AV93" s="1421"/>
    </row>
    <row r="94" spans="2:49" ht="5.0999999999999996" customHeight="1">
      <c r="B94" s="1446"/>
      <c r="F94" s="1444"/>
      <c r="G94" s="1447"/>
      <c r="H94" s="1440"/>
      <c r="I94" s="1448"/>
      <c r="J94" s="1440"/>
      <c r="K94" s="1447"/>
      <c r="L94" s="1421"/>
      <c r="M94" s="1421"/>
      <c r="N94" s="1421"/>
      <c r="O94" s="1444"/>
      <c r="P94" s="1421"/>
      <c r="Q94" s="1441"/>
      <c r="R94" s="1441"/>
      <c r="S94" s="1441"/>
      <c r="T94" s="1421"/>
      <c r="U94" s="1421"/>
      <c r="V94" s="1421"/>
      <c r="W94" s="1421"/>
      <c r="X94" s="1444"/>
      <c r="Y94" s="1421"/>
      <c r="Z94" s="1441"/>
      <c r="AA94" s="1441"/>
      <c r="AB94" s="1441"/>
      <c r="AC94" s="1421"/>
      <c r="AD94" s="1421"/>
      <c r="AE94" s="1421"/>
      <c r="AF94" s="1421"/>
      <c r="AG94" s="1444"/>
      <c r="AH94" s="1421"/>
      <c r="AI94" s="1441"/>
      <c r="AJ94" s="1441"/>
      <c r="AK94" s="1441"/>
      <c r="AL94" s="1421"/>
      <c r="AM94" s="1421"/>
      <c r="AN94" s="1421"/>
      <c r="AO94" s="1421"/>
      <c r="AP94" s="1444"/>
      <c r="AQ94" s="1421"/>
      <c r="AR94" s="1451"/>
      <c r="AS94" s="1451"/>
      <c r="AT94" s="1441"/>
      <c r="AU94" s="1421"/>
      <c r="AV94" s="1421"/>
    </row>
    <row r="95" spans="2:49" ht="5.0999999999999996" customHeight="1">
      <c r="B95" s="1442"/>
      <c r="F95" s="1441"/>
      <c r="G95" s="1440"/>
      <c r="H95" s="1440"/>
      <c r="I95" s="1448"/>
      <c r="J95" s="1440"/>
      <c r="K95" s="1421"/>
      <c r="L95" s="1421"/>
      <c r="M95" s="1421"/>
      <c r="N95" s="1421"/>
      <c r="O95" s="1441"/>
      <c r="P95" s="1440"/>
      <c r="Q95" s="1440"/>
      <c r="R95" s="1443"/>
      <c r="S95" s="1440"/>
      <c r="T95" s="1440"/>
      <c r="U95" s="1421"/>
      <c r="V95" s="1421"/>
      <c r="W95" s="1421"/>
      <c r="X95" s="1441"/>
      <c r="Y95" s="1440"/>
      <c r="Z95" s="1440"/>
      <c r="AA95" s="1443"/>
      <c r="AB95" s="1440"/>
      <c r="AC95" s="1440"/>
      <c r="AD95" s="1421"/>
      <c r="AE95" s="1421"/>
      <c r="AF95" s="1421"/>
      <c r="AG95" s="1441"/>
      <c r="AH95" s="1440"/>
      <c r="AI95" s="1440"/>
      <c r="AJ95" s="1443"/>
      <c r="AK95" s="1440"/>
      <c r="AL95" s="1440"/>
      <c r="AM95" s="1421"/>
      <c r="AN95" s="1421"/>
      <c r="AO95" s="1421"/>
      <c r="AP95" s="1441"/>
      <c r="AQ95" s="1440"/>
      <c r="AR95" s="1449"/>
      <c r="AS95" s="1448"/>
      <c r="AT95" s="1440"/>
      <c r="AU95" s="1440"/>
      <c r="AV95" s="1421"/>
    </row>
    <row r="96" spans="2:49" ht="5.0999999999999996" customHeight="1">
      <c r="B96" s="1442"/>
      <c r="F96" s="1441"/>
      <c r="G96" s="1440"/>
      <c r="H96" s="1440"/>
      <c r="I96" s="1448"/>
      <c r="J96" s="1440"/>
      <c r="K96" s="1421"/>
      <c r="L96" s="1421"/>
      <c r="M96" s="1421"/>
      <c r="N96" s="1421"/>
      <c r="O96" s="1441"/>
      <c r="P96" s="1440"/>
      <c r="Q96" s="1440"/>
      <c r="R96" s="1440"/>
      <c r="S96" s="1440"/>
      <c r="T96" s="1440"/>
      <c r="U96" s="1421"/>
      <c r="V96" s="1421"/>
      <c r="W96" s="1421"/>
      <c r="X96" s="1441"/>
      <c r="Y96" s="1440"/>
      <c r="Z96" s="1440"/>
      <c r="AA96" s="1440"/>
      <c r="AB96" s="1440"/>
      <c r="AC96" s="1440"/>
      <c r="AD96" s="1421"/>
      <c r="AE96" s="1421"/>
      <c r="AF96" s="1421"/>
      <c r="AG96" s="1441"/>
      <c r="AH96" s="1440"/>
      <c r="AI96" s="1440"/>
      <c r="AJ96" s="1440"/>
      <c r="AK96" s="1440"/>
      <c r="AL96" s="1440"/>
      <c r="AM96" s="1421"/>
      <c r="AN96" s="1421"/>
      <c r="AO96" s="1421"/>
      <c r="AP96" s="1441"/>
      <c r="AQ96" s="1440"/>
      <c r="AR96" s="1449"/>
      <c r="AS96" s="1449"/>
      <c r="AT96" s="1440"/>
      <c r="AU96" s="1440"/>
      <c r="AV96" s="1421"/>
    </row>
    <row r="97" spans="2:49" ht="9.9499999999999993" customHeight="1">
      <c r="B97" s="4056">
        <v>16</v>
      </c>
      <c r="F97" s="1438"/>
      <c r="G97" s="1437"/>
      <c r="H97" s="1436"/>
      <c r="I97" s="1439"/>
      <c r="J97" s="1436"/>
      <c r="K97" s="1435"/>
      <c r="L97" s="1421"/>
      <c r="M97" s="1421"/>
      <c r="N97" s="1421"/>
      <c r="O97" s="1438"/>
      <c r="P97" s="1437"/>
      <c r="Q97" s="1436"/>
      <c r="R97" s="1436"/>
      <c r="S97" s="1436"/>
      <c r="T97" s="1435"/>
      <c r="U97" s="1421"/>
      <c r="V97" s="1421"/>
      <c r="W97" s="1421"/>
      <c r="X97" s="1438"/>
      <c r="Y97" s="1437"/>
      <c r="Z97" s="1436"/>
      <c r="AA97" s="1436"/>
      <c r="AB97" s="1436"/>
      <c r="AC97" s="1435"/>
      <c r="AD97" s="1421"/>
      <c r="AE97" s="1421"/>
      <c r="AF97" s="1421"/>
      <c r="AG97" s="1438"/>
      <c r="AH97" s="1437"/>
      <c r="AI97" s="1436"/>
      <c r="AJ97" s="1436"/>
      <c r="AK97" s="1436"/>
      <c r="AL97" s="1435"/>
      <c r="AM97" s="1421"/>
      <c r="AN97" s="1421"/>
      <c r="AO97" s="1421"/>
      <c r="AP97" s="1438"/>
      <c r="AQ97" s="1437"/>
      <c r="AR97" s="1453"/>
      <c r="AS97" s="1453"/>
      <c r="AT97" s="1436"/>
      <c r="AU97" s="1435"/>
      <c r="AV97" s="1421"/>
    </row>
    <row r="98" spans="2:49" ht="5.0999999999999996" customHeight="1">
      <c r="B98" s="4057"/>
      <c r="C98" s="1427"/>
      <c r="D98" s="1427"/>
      <c r="E98" s="1427"/>
      <c r="F98" s="1431"/>
      <c r="G98" s="1430"/>
      <c r="H98" s="1429"/>
      <c r="I98" s="1434"/>
      <c r="J98" s="1429"/>
      <c r="K98" s="1428"/>
      <c r="L98" s="1421"/>
      <c r="M98" s="1433"/>
      <c r="N98" s="1421"/>
      <c r="O98" s="1431"/>
      <c r="P98" s="1430"/>
      <c r="Q98" s="1429"/>
      <c r="R98" s="1429"/>
      <c r="S98" s="1429"/>
      <c r="T98" s="1428"/>
      <c r="U98" s="1421"/>
      <c r="V98" s="1433"/>
      <c r="W98" s="1421"/>
      <c r="X98" s="1431"/>
      <c r="Y98" s="1430"/>
      <c r="Z98" s="1429"/>
      <c r="AA98" s="1429"/>
      <c r="AB98" s="1429"/>
      <c r="AC98" s="1428"/>
      <c r="AD98" s="1421"/>
      <c r="AE98" s="1433"/>
      <c r="AF98" s="1421"/>
      <c r="AG98" s="1431"/>
      <c r="AH98" s="1430"/>
      <c r="AI98" s="1429"/>
      <c r="AJ98" s="1429"/>
      <c r="AK98" s="1429"/>
      <c r="AL98" s="1428"/>
      <c r="AM98" s="1421"/>
      <c r="AN98" s="1433"/>
      <c r="AO98" s="1421"/>
      <c r="AP98" s="1431"/>
      <c r="AQ98" s="1430"/>
      <c r="AR98" s="1452"/>
      <c r="AS98" s="1452"/>
      <c r="AT98" s="1429"/>
      <c r="AU98" s="1428"/>
      <c r="AV98" s="1421"/>
      <c r="AW98" s="1427"/>
    </row>
    <row r="99" spans="2:49" ht="9.9499999999999993" customHeight="1">
      <c r="B99" s="4058"/>
      <c r="F99" s="1425"/>
      <c r="G99" s="1424"/>
      <c r="H99" s="1423"/>
      <c r="I99" s="1426"/>
      <c r="J99" s="1423"/>
      <c r="K99" s="1422"/>
      <c r="L99" s="1421"/>
      <c r="M99" s="1421"/>
      <c r="N99" s="1421"/>
      <c r="O99" s="1425"/>
      <c r="P99" s="1424"/>
      <c r="Q99" s="1423"/>
      <c r="R99" s="1423"/>
      <c r="S99" s="1423"/>
      <c r="T99" s="1422"/>
      <c r="U99" s="1421"/>
      <c r="V99" s="1421"/>
      <c r="W99" s="1421"/>
      <c r="X99" s="1425"/>
      <c r="Y99" s="1424"/>
      <c r="Z99" s="1423"/>
      <c r="AA99" s="1423"/>
      <c r="AB99" s="1423"/>
      <c r="AC99" s="1422"/>
      <c r="AD99" s="1421"/>
      <c r="AE99" s="1421"/>
      <c r="AF99" s="1421"/>
      <c r="AG99" s="1425"/>
      <c r="AH99" s="1424"/>
      <c r="AI99" s="1423"/>
      <c r="AJ99" s="1423"/>
      <c r="AK99" s="1423"/>
      <c r="AL99" s="1422"/>
      <c r="AM99" s="1421"/>
      <c r="AN99" s="1421"/>
      <c r="AO99" s="1421"/>
      <c r="AP99" s="1425"/>
      <c r="AQ99" s="1424"/>
      <c r="AR99" s="1423"/>
      <c r="AS99" s="1423"/>
      <c r="AT99" s="1423"/>
      <c r="AU99" s="1422"/>
      <c r="AV99" s="1421"/>
    </row>
    <row r="100" spans="2:49" ht="5.0999999999999996" customHeight="1">
      <c r="B100" s="1446"/>
      <c r="F100" s="1444"/>
      <c r="G100" s="1447"/>
      <c r="H100" s="1440"/>
      <c r="I100" s="1448"/>
      <c r="J100" s="1440"/>
      <c r="K100" s="1447"/>
      <c r="L100" s="1421"/>
      <c r="M100" s="1421"/>
      <c r="N100" s="1421"/>
      <c r="O100" s="1444"/>
      <c r="P100" s="1421"/>
      <c r="Q100" s="1441"/>
      <c r="R100" s="1441"/>
      <c r="S100" s="1441"/>
      <c r="T100" s="1421"/>
      <c r="U100" s="1421"/>
      <c r="V100" s="1421"/>
      <c r="W100" s="1421"/>
      <c r="X100" s="1444"/>
      <c r="Y100" s="1421"/>
      <c r="Z100" s="1441"/>
      <c r="AA100" s="1441"/>
      <c r="AB100" s="1441"/>
      <c r="AC100" s="1421"/>
      <c r="AD100" s="1421"/>
      <c r="AE100" s="1421"/>
      <c r="AF100" s="1421"/>
      <c r="AG100" s="1444"/>
      <c r="AH100" s="1421"/>
      <c r="AI100" s="1441"/>
      <c r="AJ100" s="1441"/>
      <c r="AK100" s="1441"/>
      <c r="AL100" s="1421"/>
      <c r="AM100" s="1421"/>
      <c r="AN100" s="1421"/>
      <c r="AO100" s="1421"/>
      <c r="AP100" s="1444"/>
      <c r="AQ100" s="1421"/>
      <c r="AR100" s="1441"/>
      <c r="AS100" s="1451"/>
      <c r="AT100" s="1441"/>
      <c r="AU100" s="1421"/>
      <c r="AV100" s="1421"/>
    </row>
    <row r="101" spans="2:49" ht="5.0999999999999996" customHeight="1">
      <c r="B101" s="1442"/>
      <c r="F101" s="1441"/>
      <c r="G101" s="1440"/>
      <c r="H101" s="1440"/>
      <c r="I101" s="1448"/>
      <c r="J101" s="1440"/>
      <c r="K101" s="1421"/>
      <c r="L101" s="1421"/>
      <c r="M101" s="1421"/>
      <c r="N101" s="1421"/>
      <c r="O101" s="1441"/>
      <c r="P101" s="1440"/>
      <c r="Q101" s="1440"/>
      <c r="R101" s="1443"/>
      <c r="S101" s="1440"/>
      <c r="T101" s="1440"/>
      <c r="U101" s="1421"/>
      <c r="V101" s="1421"/>
      <c r="W101" s="1421"/>
      <c r="X101" s="1441"/>
      <c r="Y101" s="1440"/>
      <c r="Z101" s="1440"/>
      <c r="AA101" s="1443"/>
      <c r="AB101" s="1440"/>
      <c r="AC101" s="1440"/>
      <c r="AD101" s="1421"/>
      <c r="AE101" s="1421"/>
      <c r="AF101" s="1421"/>
      <c r="AG101" s="1441"/>
      <c r="AH101" s="1440"/>
      <c r="AI101" s="1440"/>
      <c r="AJ101" s="1443"/>
      <c r="AK101" s="1440"/>
      <c r="AL101" s="1440"/>
      <c r="AM101" s="1421"/>
      <c r="AN101" s="1450"/>
      <c r="AO101" s="1421"/>
      <c r="AP101" s="1441"/>
      <c r="AQ101" s="1440"/>
      <c r="AR101" s="1440"/>
      <c r="AS101" s="1448"/>
      <c r="AT101" s="1440"/>
      <c r="AU101" s="1440"/>
      <c r="AV101" s="1421"/>
    </row>
    <row r="102" spans="2:49" ht="5.0999999999999996" customHeight="1">
      <c r="B102" s="1442"/>
      <c r="F102" s="1441"/>
      <c r="G102" s="1440"/>
      <c r="H102" s="1440"/>
      <c r="I102" s="1448"/>
      <c r="J102" s="1440"/>
      <c r="K102" s="1421"/>
      <c r="L102" s="1421"/>
      <c r="M102" s="1421"/>
      <c r="N102" s="1421"/>
      <c r="O102" s="1441"/>
      <c r="P102" s="1440"/>
      <c r="Q102" s="1440"/>
      <c r="R102" s="1440"/>
      <c r="S102" s="1440"/>
      <c r="T102" s="1440"/>
      <c r="U102" s="1421"/>
      <c r="V102" s="1421"/>
      <c r="W102" s="1421"/>
      <c r="X102" s="1441"/>
      <c r="Y102" s="1440"/>
      <c r="Z102" s="1440"/>
      <c r="AA102" s="1440"/>
      <c r="AB102" s="1440"/>
      <c r="AC102" s="1440"/>
      <c r="AD102" s="1421"/>
      <c r="AE102" s="1421"/>
      <c r="AF102" s="1421"/>
      <c r="AG102" s="1441"/>
      <c r="AH102" s="1440"/>
      <c r="AI102" s="1440"/>
      <c r="AJ102" s="1440"/>
      <c r="AK102" s="1440"/>
      <c r="AL102" s="1440"/>
      <c r="AM102" s="1421"/>
      <c r="AN102" s="1421"/>
      <c r="AO102" s="1421"/>
      <c r="AP102" s="1441"/>
      <c r="AQ102" s="1440"/>
      <c r="AR102" s="1440"/>
      <c r="AS102" s="1449"/>
      <c r="AT102" s="1440"/>
      <c r="AU102" s="1440"/>
      <c r="AV102" s="1421"/>
    </row>
    <row r="103" spans="2:49" ht="9.9499999999999993" customHeight="1">
      <c r="B103" s="4056">
        <v>17</v>
      </c>
      <c r="F103" s="1438"/>
      <c r="G103" s="1437"/>
      <c r="H103" s="1436"/>
      <c r="I103" s="1439"/>
      <c r="J103" s="1436"/>
      <c r="K103" s="1435"/>
      <c r="L103" s="1421"/>
      <c r="M103" s="1421"/>
      <c r="N103" s="1421"/>
      <c r="O103" s="1438"/>
      <c r="P103" s="1437"/>
      <c r="Q103" s="1436"/>
      <c r="R103" s="1436"/>
      <c r="S103" s="1436"/>
      <c r="T103" s="1435"/>
      <c r="U103" s="1421"/>
      <c r="V103" s="1421"/>
      <c r="W103" s="1421"/>
      <c r="X103" s="1438"/>
      <c r="Y103" s="1437"/>
      <c r="Z103" s="1436"/>
      <c r="AA103" s="1436"/>
      <c r="AB103" s="1436"/>
      <c r="AC103" s="1435"/>
      <c r="AD103" s="1421"/>
      <c r="AE103" s="1421"/>
      <c r="AF103" s="1421"/>
      <c r="AG103" s="1438"/>
      <c r="AH103" s="1437"/>
      <c r="AI103" s="1436"/>
      <c r="AJ103" s="1436"/>
      <c r="AK103" s="1436"/>
      <c r="AL103" s="1435"/>
      <c r="AM103" s="1421"/>
      <c r="AN103" s="1421"/>
      <c r="AO103" s="1421"/>
      <c r="AP103" s="1438"/>
      <c r="AQ103" s="1437"/>
      <c r="AR103" s="1436"/>
      <c r="AS103" s="1436"/>
      <c r="AT103" s="1436"/>
      <c r="AU103" s="1435"/>
      <c r="AV103" s="1421"/>
    </row>
    <row r="104" spans="2:49" ht="5.0999999999999996" customHeight="1">
      <c r="B104" s="4057"/>
      <c r="C104" s="1427"/>
      <c r="D104" s="1427"/>
      <c r="E104" s="1427"/>
      <c r="F104" s="1431"/>
      <c r="G104" s="1430"/>
      <c r="H104" s="1429"/>
      <c r="I104" s="1434"/>
      <c r="J104" s="1429"/>
      <c r="K104" s="1428"/>
      <c r="L104" s="1421"/>
      <c r="M104" s="1433"/>
      <c r="N104" s="1421"/>
      <c r="O104" s="1431"/>
      <c r="P104" s="1430"/>
      <c r="Q104" s="1429"/>
      <c r="R104" s="1429"/>
      <c r="S104" s="1429"/>
      <c r="T104" s="1428"/>
      <c r="U104" s="1421"/>
      <c r="V104" s="1433"/>
      <c r="W104" s="1421"/>
      <c r="X104" s="1431"/>
      <c r="Y104" s="1430"/>
      <c r="Z104" s="1429"/>
      <c r="AA104" s="1429"/>
      <c r="AB104" s="1429"/>
      <c r="AC104" s="1428"/>
      <c r="AD104" s="1421"/>
      <c r="AE104" s="1433"/>
      <c r="AF104" s="1421"/>
      <c r="AG104" s="1431"/>
      <c r="AH104" s="1430"/>
      <c r="AI104" s="1429"/>
      <c r="AJ104" s="1429"/>
      <c r="AK104" s="1429"/>
      <c r="AL104" s="1428"/>
      <c r="AM104" s="1421"/>
      <c r="AN104" s="1433"/>
      <c r="AO104" s="1421"/>
      <c r="AP104" s="1431"/>
      <c r="AQ104" s="1430"/>
      <c r="AR104" s="1429"/>
      <c r="AS104" s="1429"/>
      <c r="AT104" s="1429"/>
      <c r="AU104" s="1428"/>
      <c r="AV104" s="1421"/>
      <c r="AW104" s="1427"/>
    </row>
    <row r="105" spans="2:49" ht="9.9499999999999993" customHeight="1">
      <c r="B105" s="4058"/>
      <c r="F105" s="1425"/>
      <c r="G105" s="1424"/>
      <c r="H105" s="1423"/>
      <c r="I105" s="1426"/>
      <c r="J105" s="1423"/>
      <c r="K105" s="1422"/>
      <c r="L105" s="1421"/>
      <c r="M105" s="1421"/>
      <c r="N105" s="1421"/>
      <c r="O105" s="1425"/>
      <c r="P105" s="1424"/>
      <c r="Q105" s="1423"/>
      <c r="R105" s="1423"/>
      <c r="S105" s="1423"/>
      <c r="T105" s="1422"/>
      <c r="U105" s="1421"/>
      <c r="V105" s="1421"/>
      <c r="W105" s="1421"/>
      <c r="X105" s="1425"/>
      <c r="Y105" s="1424"/>
      <c r="Z105" s="1423"/>
      <c r="AA105" s="1423"/>
      <c r="AB105" s="1423"/>
      <c r="AC105" s="1422"/>
      <c r="AD105" s="1421"/>
      <c r="AE105" s="1421"/>
      <c r="AF105" s="1421"/>
      <c r="AG105" s="1425"/>
      <c r="AH105" s="1424"/>
      <c r="AI105" s="1423"/>
      <c r="AJ105" s="1423"/>
      <c r="AK105" s="1423"/>
      <c r="AL105" s="1422"/>
      <c r="AM105" s="1421"/>
      <c r="AN105" s="1421"/>
      <c r="AO105" s="1421"/>
      <c r="AP105" s="1425"/>
      <c r="AQ105" s="1424"/>
      <c r="AR105" s="1423"/>
      <c r="AS105" s="1423"/>
      <c r="AT105" s="1423"/>
      <c r="AU105" s="1422"/>
      <c r="AV105" s="1421"/>
    </row>
    <row r="106" spans="2:49" ht="5.0999999999999996" customHeight="1">
      <c r="B106" s="1446"/>
      <c r="F106" s="1444"/>
      <c r="G106" s="1421"/>
      <c r="H106" s="1441"/>
      <c r="I106" s="1445"/>
      <c r="J106" s="1441"/>
      <c r="K106" s="1421"/>
      <c r="L106" s="1421"/>
      <c r="M106" s="1421"/>
      <c r="N106" s="1421"/>
      <c r="O106" s="1444"/>
      <c r="P106" s="1421"/>
      <c r="Q106" s="1441"/>
      <c r="R106" s="1441"/>
      <c r="S106" s="1441"/>
      <c r="T106" s="1421"/>
      <c r="U106" s="1421"/>
      <c r="V106" s="1421"/>
      <c r="W106" s="1421"/>
      <c r="X106" s="1444"/>
      <c r="Y106" s="1421"/>
      <c r="Z106" s="1441"/>
      <c r="AA106" s="1441"/>
      <c r="AB106" s="1441"/>
      <c r="AC106" s="1421"/>
      <c r="AD106" s="1421"/>
      <c r="AE106" s="1421"/>
      <c r="AF106" s="1421"/>
      <c r="AG106" s="1444"/>
      <c r="AH106" s="1421"/>
      <c r="AI106" s="1441"/>
      <c r="AJ106" s="1441"/>
      <c r="AK106" s="1441"/>
      <c r="AL106" s="1421"/>
      <c r="AM106" s="1421"/>
      <c r="AN106" s="1421"/>
      <c r="AO106" s="1421"/>
      <c r="AP106" s="1444"/>
      <c r="AQ106" s="1421"/>
      <c r="AR106" s="1441"/>
      <c r="AS106" s="1441"/>
      <c r="AT106" s="1441"/>
      <c r="AU106" s="1421"/>
      <c r="AV106" s="1421"/>
    </row>
    <row r="107" spans="2:49" ht="5.0999999999999996" customHeight="1">
      <c r="B107" s="1442"/>
      <c r="F107" s="1441"/>
      <c r="G107" s="1421"/>
      <c r="H107" s="1421"/>
      <c r="I107" s="1432"/>
      <c r="J107" s="1421"/>
      <c r="K107" s="1421"/>
      <c r="L107" s="1421"/>
      <c r="M107" s="1421"/>
      <c r="N107" s="1421"/>
      <c r="O107" s="1441"/>
      <c r="P107" s="1440"/>
      <c r="Q107" s="1440"/>
      <c r="R107" s="1443"/>
      <c r="S107" s="1440"/>
      <c r="T107" s="1440"/>
      <c r="U107" s="1421"/>
      <c r="V107" s="1421"/>
      <c r="W107" s="1421"/>
      <c r="X107" s="1441"/>
      <c r="Y107" s="1440"/>
      <c r="Z107" s="1440"/>
      <c r="AA107" s="1443"/>
      <c r="AB107" s="1440"/>
      <c r="AC107" s="1440"/>
      <c r="AD107" s="1421"/>
      <c r="AE107" s="1421"/>
      <c r="AF107" s="1421"/>
      <c r="AG107" s="1441"/>
      <c r="AH107" s="1440"/>
      <c r="AI107" s="1440"/>
      <c r="AJ107" s="1443"/>
      <c r="AK107" s="1440"/>
      <c r="AL107" s="1440"/>
      <c r="AM107" s="1421"/>
      <c r="AN107" s="1421"/>
      <c r="AO107" s="1421"/>
      <c r="AP107" s="1441"/>
      <c r="AQ107" s="1440"/>
      <c r="AR107" s="1440"/>
      <c r="AS107" s="1448"/>
      <c r="AT107" s="1440"/>
      <c r="AU107" s="1440"/>
      <c r="AV107" s="1421"/>
    </row>
    <row r="108" spans="2:49" ht="5.0999999999999996" customHeight="1">
      <c r="B108" s="1442"/>
      <c r="F108" s="1441"/>
      <c r="G108" s="1421"/>
      <c r="H108" s="1421"/>
      <c r="I108" s="1432"/>
      <c r="J108" s="1421"/>
      <c r="K108" s="1421"/>
      <c r="L108" s="1421"/>
      <c r="M108" s="1421"/>
      <c r="N108" s="1421"/>
      <c r="O108" s="1441"/>
      <c r="P108" s="1440"/>
      <c r="Q108" s="1440"/>
      <c r="R108" s="1440"/>
      <c r="S108" s="1440"/>
      <c r="T108" s="1440"/>
      <c r="U108" s="1421"/>
      <c r="V108" s="1421"/>
      <c r="W108" s="1421"/>
      <c r="X108" s="1441"/>
      <c r="Y108" s="1440"/>
      <c r="Z108" s="1440"/>
      <c r="AA108" s="1440"/>
      <c r="AB108" s="1440"/>
      <c r="AC108" s="1440"/>
      <c r="AD108" s="1421"/>
      <c r="AE108" s="1421"/>
      <c r="AF108" s="1421"/>
      <c r="AG108" s="1441"/>
      <c r="AH108" s="1440"/>
      <c r="AI108" s="1440"/>
      <c r="AJ108" s="1440"/>
      <c r="AK108" s="1440"/>
      <c r="AL108" s="1440"/>
      <c r="AM108" s="1421"/>
      <c r="AN108" s="1421"/>
      <c r="AO108" s="1421"/>
      <c r="AP108" s="1441"/>
      <c r="AQ108" s="1440"/>
      <c r="AR108" s="1440"/>
      <c r="AS108" s="1440"/>
      <c r="AT108" s="1440"/>
      <c r="AU108" s="1440"/>
      <c r="AV108" s="1421"/>
    </row>
    <row r="109" spans="2:49" ht="9.9499999999999993" customHeight="1">
      <c r="B109" s="4056">
        <v>18</v>
      </c>
      <c r="F109" s="1438"/>
      <c r="G109" s="1437"/>
      <c r="H109" s="1436"/>
      <c r="I109" s="1439"/>
      <c r="J109" s="1436"/>
      <c r="K109" s="1435"/>
      <c r="L109" s="1421"/>
      <c r="M109" s="1421"/>
      <c r="N109" s="1421"/>
      <c r="O109" s="1438"/>
      <c r="P109" s="1437"/>
      <c r="Q109" s="1436"/>
      <c r="R109" s="1436"/>
      <c r="S109" s="1436"/>
      <c r="T109" s="1435"/>
      <c r="U109" s="1421"/>
      <c r="V109" s="1421"/>
      <c r="W109" s="1421"/>
      <c r="X109" s="1438"/>
      <c r="Y109" s="1437"/>
      <c r="Z109" s="1436"/>
      <c r="AA109" s="1436"/>
      <c r="AB109" s="1436"/>
      <c r="AC109" s="1435"/>
      <c r="AD109" s="1421"/>
      <c r="AE109" s="1421"/>
      <c r="AF109" s="1421"/>
      <c r="AG109" s="1438"/>
      <c r="AH109" s="1437"/>
      <c r="AI109" s="1436"/>
      <c r="AJ109" s="1436"/>
      <c r="AK109" s="1436"/>
      <c r="AL109" s="1435"/>
      <c r="AM109" s="1421"/>
      <c r="AN109" s="1421"/>
      <c r="AO109" s="1421"/>
      <c r="AP109" s="1438"/>
      <c r="AQ109" s="1437"/>
      <c r="AR109" s="1436"/>
      <c r="AS109" s="1436"/>
      <c r="AT109" s="1436"/>
      <c r="AU109" s="1435"/>
      <c r="AV109" s="1421"/>
    </row>
    <row r="110" spans="2:49" ht="5.0999999999999996" customHeight="1">
      <c r="B110" s="4057"/>
      <c r="C110" s="1427"/>
      <c r="D110" s="1427"/>
      <c r="E110" s="1427"/>
      <c r="F110" s="1431"/>
      <c r="G110" s="1430"/>
      <c r="H110" s="1429"/>
      <c r="I110" s="1434"/>
      <c r="J110" s="1429"/>
      <c r="K110" s="1428"/>
      <c r="L110" s="1421"/>
      <c r="M110" s="1433"/>
      <c r="N110" s="1421"/>
      <c r="O110" s="1431"/>
      <c r="P110" s="1430"/>
      <c r="Q110" s="1429"/>
      <c r="R110" s="1429"/>
      <c r="S110" s="1429"/>
      <c r="T110" s="1428"/>
      <c r="U110" s="1421"/>
      <c r="V110" s="1433"/>
      <c r="W110" s="1421"/>
      <c r="X110" s="1431"/>
      <c r="Y110" s="1430"/>
      <c r="Z110" s="1429"/>
      <c r="AA110" s="1429"/>
      <c r="AB110" s="1429"/>
      <c r="AC110" s="1428"/>
      <c r="AD110" s="1421"/>
      <c r="AE110" s="1433"/>
      <c r="AF110" s="1421"/>
      <c r="AG110" s="1431"/>
      <c r="AH110" s="1430"/>
      <c r="AI110" s="1429"/>
      <c r="AJ110" s="1429"/>
      <c r="AK110" s="1429"/>
      <c r="AL110" s="1428"/>
      <c r="AM110" s="1421"/>
      <c r="AN110" s="1432"/>
      <c r="AO110" s="1421"/>
      <c r="AP110" s="1431"/>
      <c r="AQ110" s="1430"/>
      <c r="AR110" s="1429"/>
      <c r="AS110" s="1429"/>
      <c r="AT110" s="1429"/>
      <c r="AU110" s="1428"/>
      <c r="AV110" s="1421"/>
      <c r="AW110" s="1427"/>
    </row>
    <row r="111" spans="2:49" ht="9.9499999999999993" customHeight="1">
      <c r="B111" s="4058"/>
      <c r="F111" s="1425"/>
      <c r="G111" s="1424"/>
      <c r="H111" s="1423"/>
      <c r="I111" s="1426"/>
      <c r="J111" s="1423"/>
      <c r="K111" s="1422"/>
      <c r="L111" s="1421"/>
      <c r="M111" s="1421"/>
      <c r="N111" s="1421"/>
      <c r="O111" s="1425"/>
      <c r="P111" s="1424"/>
      <c r="Q111" s="1423"/>
      <c r="R111" s="1423"/>
      <c r="S111" s="1423"/>
      <c r="T111" s="1422"/>
      <c r="U111" s="1421"/>
      <c r="V111" s="1421"/>
      <c r="W111" s="1421"/>
      <c r="X111" s="1425"/>
      <c r="Y111" s="1424"/>
      <c r="Z111" s="1423"/>
      <c r="AA111" s="1423"/>
      <c r="AB111" s="1423"/>
      <c r="AC111" s="1422"/>
      <c r="AD111" s="1421"/>
      <c r="AE111" s="1421"/>
      <c r="AF111" s="1421"/>
      <c r="AG111" s="1425"/>
      <c r="AH111" s="1424"/>
      <c r="AI111" s="1423"/>
      <c r="AJ111" s="1423"/>
      <c r="AK111" s="1423"/>
      <c r="AL111" s="1422"/>
      <c r="AM111" s="1421"/>
      <c r="AN111" s="1421"/>
      <c r="AO111" s="1421"/>
      <c r="AP111" s="1425"/>
      <c r="AQ111" s="1424"/>
      <c r="AR111" s="1423"/>
      <c r="AS111" s="1423"/>
      <c r="AT111" s="1423"/>
      <c r="AU111" s="1422"/>
      <c r="AV111" s="1421"/>
    </row>
    <row r="112" spans="2:49" ht="5.0999999999999996" customHeight="1">
      <c r="B112" s="1446"/>
      <c r="F112" s="1444"/>
      <c r="G112" s="1421"/>
      <c r="H112" s="1441"/>
      <c r="I112" s="1445"/>
      <c r="J112" s="1441"/>
      <c r="K112" s="1421"/>
      <c r="L112" s="1421"/>
      <c r="M112" s="1421"/>
      <c r="N112" s="1421"/>
      <c r="O112" s="1444"/>
      <c r="P112" s="1421"/>
      <c r="Q112" s="1441"/>
      <c r="R112" s="1441"/>
      <c r="S112" s="1441"/>
      <c r="T112" s="1421"/>
      <c r="U112" s="1421"/>
      <c r="V112" s="1421"/>
      <c r="W112" s="1421"/>
      <c r="X112" s="1444"/>
      <c r="Y112" s="1421"/>
      <c r="Z112" s="1441"/>
      <c r="AA112" s="1441"/>
      <c r="AB112" s="1441"/>
      <c r="AC112" s="1421"/>
      <c r="AD112" s="1421"/>
      <c r="AE112" s="1421"/>
      <c r="AF112" s="1421"/>
      <c r="AG112" s="1444"/>
      <c r="AH112" s="1421"/>
      <c r="AI112" s="1441"/>
      <c r="AJ112" s="1441"/>
      <c r="AK112" s="1441"/>
      <c r="AL112" s="1421"/>
      <c r="AM112" s="1421"/>
      <c r="AN112" s="1421"/>
      <c r="AO112" s="1421"/>
      <c r="AP112" s="1444"/>
      <c r="AQ112" s="1421"/>
      <c r="AR112" s="1441"/>
      <c r="AS112" s="1441"/>
      <c r="AT112" s="1441"/>
      <c r="AU112" s="1421"/>
      <c r="AV112" s="1421"/>
    </row>
    <row r="113" spans="2:49" ht="5.0999999999999996" customHeight="1">
      <c r="B113" s="1442"/>
      <c r="F113" s="1441"/>
      <c r="G113" s="1421"/>
      <c r="H113" s="1421"/>
      <c r="I113" s="1432"/>
      <c r="J113" s="1421"/>
      <c r="K113" s="1421"/>
      <c r="L113" s="1421"/>
      <c r="M113" s="1421"/>
      <c r="N113" s="1421"/>
      <c r="O113" s="1441"/>
      <c r="P113" s="1440"/>
      <c r="Q113" s="1440"/>
      <c r="R113" s="1443"/>
      <c r="S113" s="1440"/>
      <c r="T113" s="1440"/>
      <c r="U113" s="1421"/>
      <c r="V113" s="1421"/>
      <c r="W113" s="1421"/>
      <c r="X113" s="1441"/>
      <c r="Y113" s="1440"/>
      <c r="Z113" s="1440"/>
      <c r="AA113" s="1443"/>
      <c r="AB113" s="1440"/>
      <c r="AC113" s="1440"/>
      <c r="AD113" s="1421"/>
      <c r="AE113" s="1421"/>
      <c r="AF113" s="1421"/>
      <c r="AG113" s="1441"/>
      <c r="AH113" s="1440"/>
      <c r="AI113" s="1440"/>
      <c r="AJ113" s="1443"/>
      <c r="AK113" s="1440"/>
      <c r="AL113" s="1440"/>
      <c r="AM113" s="1421"/>
      <c r="AN113" s="1421"/>
      <c r="AO113" s="1421"/>
      <c r="AP113" s="1441"/>
      <c r="AQ113" s="1440"/>
      <c r="AR113" s="1440"/>
      <c r="AS113" s="1443"/>
      <c r="AT113" s="1440"/>
      <c r="AU113" s="1440"/>
      <c r="AV113" s="1421"/>
    </row>
    <row r="114" spans="2:49" ht="5.0999999999999996" customHeight="1">
      <c r="B114" s="1442"/>
      <c r="F114" s="1441"/>
      <c r="G114" s="1421"/>
      <c r="H114" s="1421"/>
      <c r="I114" s="1432"/>
      <c r="J114" s="1421"/>
      <c r="K114" s="1421"/>
      <c r="L114" s="1421"/>
      <c r="M114" s="1421"/>
      <c r="N114" s="1421"/>
      <c r="O114" s="1441"/>
      <c r="P114" s="1440"/>
      <c r="Q114" s="1440"/>
      <c r="R114" s="1440"/>
      <c r="S114" s="1440"/>
      <c r="T114" s="1440"/>
      <c r="U114" s="1421"/>
      <c r="V114" s="1421"/>
      <c r="W114" s="1421"/>
      <c r="X114" s="1441"/>
      <c r="Y114" s="1440"/>
      <c r="Z114" s="1440"/>
      <c r="AA114" s="1440"/>
      <c r="AB114" s="1440"/>
      <c r="AC114" s="1440"/>
      <c r="AD114" s="1421"/>
      <c r="AE114" s="1421"/>
      <c r="AF114" s="1421"/>
      <c r="AG114" s="1441"/>
      <c r="AH114" s="1440"/>
      <c r="AI114" s="1440"/>
      <c r="AJ114" s="1440"/>
      <c r="AK114" s="1440"/>
      <c r="AL114" s="1440"/>
      <c r="AM114" s="1421"/>
      <c r="AN114" s="1421"/>
      <c r="AO114" s="1421"/>
      <c r="AP114" s="1441"/>
      <c r="AQ114" s="1440"/>
      <c r="AR114" s="1440"/>
      <c r="AS114" s="1440"/>
      <c r="AT114" s="1440"/>
      <c r="AU114" s="1440"/>
      <c r="AV114" s="1421"/>
    </row>
    <row r="115" spans="2:49" ht="9.9499999999999993" customHeight="1">
      <c r="B115" s="4056">
        <v>19</v>
      </c>
      <c r="F115" s="1438"/>
      <c r="G115" s="1437"/>
      <c r="H115" s="1436"/>
      <c r="I115" s="1439"/>
      <c r="J115" s="1436"/>
      <c r="K115" s="1435"/>
      <c r="L115" s="1421"/>
      <c r="M115" s="1421"/>
      <c r="N115" s="1421"/>
      <c r="O115" s="1438"/>
      <c r="P115" s="1437"/>
      <c r="Q115" s="1436"/>
      <c r="R115" s="1436"/>
      <c r="S115" s="1436"/>
      <c r="T115" s="1435"/>
      <c r="U115" s="1421"/>
      <c r="V115" s="1421"/>
      <c r="W115" s="1421"/>
      <c r="X115" s="1438"/>
      <c r="Y115" s="1437"/>
      <c r="Z115" s="1436"/>
      <c r="AA115" s="1436"/>
      <c r="AB115" s="1436"/>
      <c r="AC115" s="1435"/>
      <c r="AD115" s="1421"/>
      <c r="AE115" s="1421"/>
      <c r="AF115" s="1421"/>
      <c r="AG115" s="1438"/>
      <c r="AH115" s="1437"/>
      <c r="AI115" s="1436"/>
      <c r="AJ115" s="1436"/>
      <c r="AK115" s="1436"/>
      <c r="AL115" s="1435"/>
      <c r="AM115" s="1421"/>
      <c r="AN115" s="1421"/>
      <c r="AO115" s="1421"/>
      <c r="AP115" s="1438"/>
      <c r="AQ115" s="1437"/>
      <c r="AR115" s="1436"/>
      <c r="AS115" s="1436"/>
      <c r="AT115" s="1436"/>
      <c r="AU115" s="1435"/>
      <c r="AV115" s="1421"/>
    </row>
    <row r="116" spans="2:49" ht="5.0999999999999996" customHeight="1">
      <c r="B116" s="4057"/>
      <c r="C116" s="1427"/>
      <c r="D116" s="1427"/>
      <c r="E116" s="1427"/>
      <c r="F116" s="1431"/>
      <c r="G116" s="1430"/>
      <c r="H116" s="1429"/>
      <c r="I116" s="1434"/>
      <c r="J116" s="1429"/>
      <c r="K116" s="1428"/>
      <c r="L116" s="1421"/>
      <c r="M116" s="1433"/>
      <c r="N116" s="1421"/>
      <c r="O116" s="1431"/>
      <c r="P116" s="1430"/>
      <c r="Q116" s="1429"/>
      <c r="R116" s="1429"/>
      <c r="S116" s="1429"/>
      <c r="T116" s="1428"/>
      <c r="U116" s="1421"/>
      <c r="V116" s="1433"/>
      <c r="W116" s="1421"/>
      <c r="X116" s="1431"/>
      <c r="Y116" s="1430"/>
      <c r="Z116" s="1429"/>
      <c r="AA116" s="1429"/>
      <c r="AB116" s="1429"/>
      <c r="AC116" s="1428"/>
      <c r="AD116" s="1421"/>
      <c r="AE116" s="1433"/>
      <c r="AF116" s="1421"/>
      <c r="AG116" s="1431"/>
      <c r="AH116" s="1430"/>
      <c r="AI116" s="1429"/>
      <c r="AJ116" s="1429"/>
      <c r="AK116" s="1429"/>
      <c r="AL116" s="1428"/>
      <c r="AM116" s="1421"/>
      <c r="AN116" s="1432"/>
      <c r="AO116" s="1421"/>
      <c r="AP116" s="1431"/>
      <c r="AQ116" s="1430"/>
      <c r="AR116" s="1429"/>
      <c r="AS116" s="1429"/>
      <c r="AT116" s="1429"/>
      <c r="AU116" s="1428"/>
      <c r="AV116" s="1421"/>
      <c r="AW116" s="1427"/>
    </row>
    <row r="117" spans="2:49" ht="9.9499999999999993" customHeight="1">
      <c r="B117" s="4058"/>
      <c r="F117" s="1425"/>
      <c r="G117" s="1424"/>
      <c r="H117" s="1423"/>
      <c r="I117" s="1426"/>
      <c r="J117" s="1423"/>
      <c r="K117" s="1422"/>
      <c r="L117" s="1421"/>
      <c r="M117" s="1421"/>
      <c r="N117" s="1421"/>
      <c r="O117" s="1425"/>
      <c r="P117" s="1424"/>
      <c r="Q117" s="1423"/>
      <c r="R117" s="1423"/>
      <c r="S117" s="1423"/>
      <c r="T117" s="1422"/>
      <c r="U117" s="1421"/>
      <c r="V117" s="1421"/>
      <c r="W117" s="1421"/>
      <c r="X117" s="1425"/>
      <c r="Y117" s="1424"/>
      <c r="Z117" s="1423"/>
      <c r="AA117" s="1423"/>
      <c r="AB117" s="1423"/>
      <c r="AC117" s="1422"/>
      <c r="AD117" s="1421"/>
      <c r="AE117" s="1421"/>
      <c r="AF117" s="1421"/>
      <c r="AG117" s="1425"/>
      <c r="AH117" s="1424"/>
      <c r="AI117" s="1423"/>
      <c r="AJ117" s="1423"/>
      <c r="AK117" s="1423"/>
      <c r="AL117" s="1422"/>
      <c r="AM117" s="1421"/>
      <c r="AN117" s="1421"/>
      <c r="AO117" s="1421"/>
      <c r="AP117" s="1425"/>
      <c r="AQ117" s="1424"/>
      <c r="AR117" s="1423"/>
      <c r="AS117" s="1423"/>
      <c r="AT117" s="1423"/>
      <c r="AU117" s="1422"/>
      <c r="AV117" s="1421"/>
    </row>
    <row r="118" spans="2:49" ht="5.0999999999999996" customHeight="1">
      <c r="B118" s="1446"/>
      <c r="F118" s="1444"/>
      <c r="G118" s="1421"/>
      <c r="H118" s="1441"/>
      <c r="I118" s="1445"/>
      <c r="J118" s="1441"/>
      <c r="K118" s="1421"/>
      <c r="L118" s="1421"/>
      <c r="M118" s="1421"/>
      <c r="N118" s="1421"/>
      <c r="O118" s="1444"/>
      <c r="P118" s="1421"/>
      <c r="Q118" s="1441"/>
      <c r="R118" s="1441"/>
      <c r="S118" s="1441"/>
      <c r="T118" s="1421"/>
      <c r="U118" s="1421"/>
      <c r="V118" s="1421"/>
      <c r="W118" s="1421"/>
      <c r="X118" s="1444"/>
      <c r="Y118" s="1421"/>
      <c r="Z118" s="1441"/>
      <c r="AA118" s="1441"/>
      <c r="AB118" s="1441"/>
      <c r="AC118" s="1421"/>
      <c r="AD118" s="1421"/>
      <c r="AE118" s="1421"/>
      <c r="AF118" s="1421"/>
      <c r="AG118" s="1444"/>
      <c r="AH118" s="1421"/>
      <c r="AI118" s="1441"/>
      <c r="AJ118" s="1441"/>
      <c r="AK118" s="1441"/>
      <c r="AL118" s="1421"/>
      <c r="AM118" s="1421"/>
      <c r="AN118" s="1421"/>
      <c r="AO118" s="1421"/>
      <c r="AP118" s="1444"/>
      <c r="AQ118" s="1421"/>
      <c r="AR118" s="1441"/>
      <c r="AS118" s="1441"/>
      <c r="AT118" s="1441"/>
      <c r="AU118" s="1421"/>
      <c r="AV118" s="1421"/>
    </row>
    <row r="119" spans="2:49" ht="5.0999999999999996" customHeight="1">
      <c r="B119" s="1442"/>
      <c r="F119" s="1441"/>
      <c r="G119" s="1421"/>
      <c r="H119" s="1421"/>
      <c r="I119" s="1432"/>
      <c r="J119" s="1421"/>
      <c r="K119" s="1421"/>
      <c r="L119" s="1421"/>
      <c r="M119" s="1421"/>
      <c r="N119" s="1421"/>
      <c r="O119" s="1441"/>
      <c r="P119" s="1440"/>
      <c r="Q119" s="1440"/>
      <c r="R119" s="1443"/>
      <c r="S119" s="1440"/>
      <c r="T119" s="1440"/>
      <c r="U119" s="1421"/>
      <c r="V119" s="1421"/>
      <c r="W119" s="1421"/>
      <c r="X119" s="1441"/>
      <c r="Y119" s="1440"/>
      <c r="Z119" s="1440"/>
      <c r="AA119" s="1443"/>
      <c r="AB119" s="1440"/>
      <c r="AC119" s="1440"/>
      <c r="AD119" s="1421"/>
      <c r="AE119" s="1421"/>
      <c r="AF119" s="1421"/>
      <c r="AG119" s="1441"/>
      <c r="AH119" s="1440"/>
      <c r="AI119" s="1440"/>
      <c r="AJ119" s="1443"/>
      <c r="AK119" s="1440"/>
      <c r="AL119" s="1440"/>
      <c r="AM119" s="1421"/>
      <c r="AN119" s="1421"/>
      <c r="AO119" s="1421"/>
      <c r="AP119" s="1441"/>
      <c r="AQ119" s="1440"/>
      <c r="AR119" s="1440"/>
      <c r="AS119" s="1443"/>
      <c r="AT119" s="1440"/>
      <c r="AU119" s="1440"/>
      <c r="AV119" s="1421"/>
    </row>
    <row r="120" spans="2:49" ht="5.0999999999999996" customHeight="1">
      <c r="B120" s="1442"/>
      <c r="F120" s="1441"/>
      <c r="G120" s="1421"/>
      <c r="H120" s="1421"/>
      <c r="I120" s="1432"/>
      <c r="J120" s="1421"/>
      <c r="K120" s="1421"/>
      <c r="L120" s="1421"/>
      <c r="M120" s="1421"/>
      <c r="N120" s="1421"/>
      <c r="O120" s="1441"/>
      <c r="P120" s="1440"/>
      <c r="Q120" s="1440"/>
      <c r="R120" s="1440"/>
      <c r="S120" s="1440"/>
      <c r="T120" s="1440"/>
      <c r="U120" s="1421"/>
      <c r="V120" s="1421"/>
      <c r="W120" s="1421"/>
      <c r="X120" s="1441"/>
      <c r="Y120" s="1440"/>
      <c r="Z120" s="1440"/>
      <c r="AA120" s="1440"/>
      <c r="AB120" s="1440"/>
      <c r="AC120" s="1440"/>
      <c r="AD120" s="1421"/>
      <c r="AE120" s="1421"/>
      <c r="AF120" s="1421"/>
      <c r="AG120" s="1441"/>
      <c r="AH120" s="1440"/>
      <c r="AI120" s="1440"/>
      <c r="AJ120" s="1440"/>
      <c r="AK120" s="1440"/>
      <c r="AL120" s="1440"/>
      <c r="AM120" s="1421"/>
      <c r="AN120" s="1421"/>
      <c r="AO120" s="1421"/>
      <c r="AP120" s="1441"/>
      <c r="AQ120" s="1440"/>
      <c r="AR120" s="1440"/>
      <c r="AS120" s="1440"/>
      <c r="AT120" s="1440"/>
      <c r="AU120" s="1440"/>
      <c r="AV120" s="1421"/>
    </row>
    <row r="121" spans="2:49" ht="9.9499999999999993" customHeight="1">
      <c r="B121" s="4056">
        <v>20</v>
      </c>
      <c r="F121" s="1438"/>
      <c r="G121" s="1437"/>
      <c r="H121" s="1436"/>
      <c r="I121" s="1439"/>
      <c r="J121" s="1436"/>
      <c r="K121" s="1435"/>
      <c r="L121" s="1421"/>
      <c r="M121" s="1421"/>
      <c r="N121" s="1421"/>
      <c r="O121" s="1438"/>
      <c r="P121" s="1437"/>
      <c r="Q121" s="1436"/>
      <c r="R121" s="1436"/>
      <c r="S121" s="1436"/>
      <c r="T121" s="1435"/>
      <c r="U121" s="1421"/>
      <c r="V121" s="1421"/>
      <c r="W121" s="1421"/>
      <c r="X121" s="1438"/>
      <c r="Y121" s="1437"/>
      <c r="Z121" s="1436"/>
      <c r="AA121" s="1436"/>
      <c r="AB121" s="1436"/>
      <c r="AC121" s="1435"/>
      <c r="AD121" s="1421"/>
      <c r="AE121" s="1421"/>
      <c r="AF121" s="1421"/>
      <c r="AG121" s="1438"/>
      <c r="AH121" s="1437"/>
      <c r="AI121" s="1436"/>
      <c r="AJ121" s="1436"/>
      <c r="AK121" s="1436"/>
      <c r="AL121" s="1435"/>
      <c r="AM121" s="1421"/>
      <c r="AN121" s="1421"/>
      <c r="AO121" s="1421"/>
      <c r="AP121" s="1438"/>
      <c r="AQ121" s="1437"/>
      <c r="AR121" s="1436"/>
      <c r="AS121" s="1436"/>
      <c r="AT121" s="1436"/>
      <c r="AU121" s="1435"/>
      <c r="AV121" s="1421"/>
    </row>
    <row r="122" spans="2:49" ht="5.0999999999999996" customHeight="1">
      <c r="B122" s="4057"/>
      <c r="C122" s="1427"/>
      <c r="D122" s="1427"/>
      <c r="E122" s="1427"/>
      <c r="F122" s="1431"/>
      <c r="G122" s="1430"/>
      <c r="H122" s="1429"/>
      <c r="I122" s="1434"/>
      <c r="J122" s="1429"/>
      <c r="K122" s="1428"/>
      <c r="L122" s="1421"/>
      <c r="M122" s="1433"/>
      <c r="N122" s="1421"/>
      <c r="O122" s="1431"/>
      <c r="P122" s="1430"/>
      <c r="Q122" s="1429"/>
      <c r="R122" s="1429"/>
      <c r="S122" s="1429"/>
      <c r="T122" s="1428"/>
      <c r="U122" s="1421"/>
      <c r="V122" s="1433"/>
      <c r="W122" s="1421"/>
      <c r="X122" s="1431"/>
      <c r="Y122" s="1430"/>
      <c r="Z122" s="1429"/>
      <c r="AA122" s="1429"/>
      <c r="AB122" s="1429"/>
      <c r="AC122" s="1428"/>
      <c r="AD122" s="1421"/>
      <c r="AE122" s="1433"/>
      <c r="AF122" s="1421"/>
      <c r="AG122" s="1431"/>
      <c r="AH122" s="1430"/>
      <c r="AI122" s="1429"/>
      <c r="AJ122" s="1429"/>
      <c r="AK122" s="1429"/>
      <c r="AL122" s="1428"/>
      <c r="AM122" s="1421"/>
      <c r="AN122" s="1432"/>
      <c r="AO122" s="1421"/>
      <c r="AP122" s="1431"/>
      <c r="AQ122" s="1430"/>
      <c r="AR122" s="1429"/>
      <c r="AS122" s="1429"/>
      <c r="AT122" s="1429"/>
      <c r="AU122" s="1428"/>
      <c r="AV122" s="1421"/>
      <c r="AW122" s="1427"/>
    </row>
    <row r="123" spans="2:49" ht="9.9499999999999993" customHeight="1">
      <c r="B123" s="4058"/>
      <c r="F123" s="1425"/>
      <c r="G123" s="1424"/>
      <c r="H123" s="1423"/>
      <c r="I123" s="1426"/>
      <c r="J123" s="1423"/>
      <c r="K123" s="1422"/>
      <c r="L123" s="1421"/>
      <c r="M123" s="1421"/>
      <c r="N123" s="1421"/>
      <c r="O123" s="1425"/>
      <c r="P123" s="1424"/>
      <c r="Q123" s="1423"/>
      <c r="R123" s="1423"/>
      <c r="S123" s="1423"/>
      <c r="T123" s="1422"/>
      <c r="U123" s="1421"/>
      <c r="V123" s="1421"/>
      <c r="W123" s="1421"/>
      <c r="X123" s="1425"/>
      <c r="Y123" s="1424"/>
      <c r="Z123" s="1423"/>
      <c r="AA123" s="1423"/>
      <c r="AB123" s="1423"/>
      <c r="AC123" s="1422"/>
      <c r="AD123" s="1421"/>
      <c r="AE123" s="1421"/>
      <c r="AF123" s="1421"/>
      <c r="AG123" s="1425"/>
      <c r="AH123" s="1424"/>
      <c r="AI123" s="1423"/>
      <c r="AJ123" s="1423"/>
      <c r="AK123" s="1423"/>
      <c r="AL123" s="1422"/>
      <c r="AM123" s="1421"/>
      <c r="AN123" s="1421"/>
      <c r="AO123" s="1421"/>
      <c r="AP123" s="1425"/>
      <c r="AQ123" s="1424"/>
      <c r="AR123" s="1423"/>
      <c r="AS123" s="1423"/>
      <c r="AT123" s="1423"/>
      <c r="AU123" s="1422"/>
      <c r="AV123" s="1421"/>
    </row>
    <row r="124" spans="2:49" ht="5.0999999999999996" customHeight="1">
      <c r="B124" s="1446"/>
      <c r="F124" s="1444"/>
      <c r="G124" s="1421"/>
      <c r="H124" s="1441"/>
      <c r="I124" s="1445"/>
      <c r="J124" s="1441"/>
      <c r="K124" s="1421"/>
      <c r="L124" s="1421"/>
      <c r="M124" s="1421"/>
      <c r="N124" s="1421"/>
      <c r="O124" s="1444"/>
      <c r="P124" s="1421"/>
      <c r="Q124" s="1441"/>
      <c r="R124" s="1441"/>
      <c r="S124" s="1441"/>
      <c r="T124" s="1421"/>
      <c r="U124" s="1421"/>
      <c r="V124" s="1421"/>
      <c r="W124" s="1421"/>
      <c r="X124" s="1444"/>
      <c r="Y124" s="1421"/>
      <c r="Z124" s="1441"/>
      <c r="AA124" s="1441"/>
      <c r="AB124" s="1441"/>
      <c r="AC124" s="1421"/>
      <c r="AD124" s="1421"/>
      <c r="AE124" s="1421"/>
      <c r="AF124" s="1421"/>
      <c r="AG124" s="1444"/>
      <c r="AH124" s="1421"/>
      <c r="AI124" s="1441"/>
      <c r="AJ124" s="1441"/>
      <c r="AK124" s="1441"/>
      <c r="AL124" s="1421"/>
      <c r="AM124" s="1421"/>
      <c r="AN124" s="1421"/>
      <c r="AO124" s="1421"/>
      <c r="AP124" s="1444"/>
      <c r="AQ124" s="1421"/>
      <c r="AR124" s="1441"/>
      <c r="AS124" s="1441"/>
      <c r="AT124" s="1441"/>
      <c r="AU124" s="1421"/>
      <c r="AV124" s="1421"/>
    </row>
    <row r="125" spans="2:49" ht="5.0999999999999996" customHeight="1">
      <c r="B125" s="1442"/>
      <c r="F125" s="1441"/>
      <c r="G125" s="1421"/>
      <c r="H125" s="1421"/>
      <c r="I125" s="1432"/>
      <c r="J125" s="1421"/>
      <c r="K125" s="1421"/>
      <c r="L125" s="1421"/>
      <c r="M125" s="1421"/>
      <c r="N125" s="1421"/>
      <c r="O125" s="1441"/>
      <c r="P125" s="1440"/>
      <c r="Q125" s="1440"/>
      <c r="R125" s="1443"/>
      <c r="S125" s="1440"/>
      <c r="T125" s="1440"/>
      <c r="U125" s="1421"/>
      <c r="V125" s="1421"/>
      <c r="W125" s="1421"/>
      <c r="X125" s="1441"/>
      <c r="Y125" s="1440"/>
      <c r="Z125" s="1440"/>
      <c r="AA125" s="1443"/>
      <c r="AB125" s="1440"/>
      <c r="AC125" s="1440"/>
      <c r="AD125" s="1421"/>
      <c r="AE125" s="1421"/>
      <c r="AF125" s="1421"/>
      <c r="AG125" s="1441"/>
      <c r="AH125" s="1440"/>
      <c r="AI125" s="1440"/>
      <c r="AJ125" s="1443"/>
      <c r="AK125" s="1440"/>
      <c r="AL125" s="1440"/>
      <c r="AM125" s="1421"/>
      <c r="AN125" s="1421"/>
      <c r="AO125" s="1421"/>
      <c r="AP125" s="1441"/>
      <c r="AQ125" s="1440"/>
      <c r="AR125" s="1440"/>
      <c r="AS125" s="1443"/>
      <c r="AT125" s="1440"/>
      <c r="AU125" s="1440"/>
      <c r="AV125" s="1421"/>
    </row>
    <row r="126" spans="2:49" ht="5.0999999999999996" customHeight="1">
      <c r="B126" s="1442"/>
      <c r="F126" s="1441"/>
      <c r="G126" s="1421"/>
      <c r="H126" s="1421"/>
      <c r="I126" s="1432"/>
      <c r="J126" s="1421"/>
      <c r="K126" s="1421"/>
      <c r="L126" s="1421"/>
      <c r="M126" s="1421"/>
      <c r="N126" s="1421"/>
      <c r="O126" s="1441"/>
      <c r="P126" s="1440"/>
      <c r="Q126" s="1440"/>
      <c r="R126" s="1440"/>
      <c r="S126" s="1440"/>
      <c r="T126" s="1440"/>
      <c r="U126" s="1421"/>
      <c r="V126" s="1421"/>
      <c r="W126" s="1421"/>
      <c r="X126" s="1441"/>
      <c r="Y126" s="1440"/>
      <c r="Z126" s="1440"/>
      <c r="AA126" s="1440"/>
      <c r="AB126" s="1440"/>
      <c r="AC126" s="1440"/>
      <c r="AD126" s="1421"/>
      <c r="AE126" s="1421"/>
      <c r="AF126" s="1421"/>
      <c r="AG126" s="1441"/>
      <c r="AH126" s="1440"/>
      <c r="AI126" s="1440"/>
      <c r="AJ126" s="1440"/>
      <c r="AK126" s="1440"/>
      <c r="AL126" s="1440"/>
      <c r="AM126" s="1421"/>
      <c r="AN126" s="1421"/>
      <c r="AO126" s="1421"/>
      <c r="AP126" s="1441"/>
      <c r="AQ126" s="1440"/>
      <c r="AR126" s="1440"/>
      <c r="AS126" s="1440"/>
      <c r="AT126" s="1440"/>
      <c r="AU126" s="1440"/>
      <c r="AV126" s="1421"/>
    </row>
    <row r="127" spans="2:49" ht="9.9499999999999993" customHeight="1">
      <c r="B127" s="4056">
        <v>21</v>
      </c>
      <c r="F127" s="1438"/>
      <c r="G127" s="1437"/>
      <c r="H127" s="1436"/>
      <c r="I127" s="1439"/>
      <c r="J127" s="1436"/>
      <c r="K127" s="1435"/>
      <c r="L127" s="1421"/>
      <c r="M127" s="1421"/>
      <c r="N127" s="1421"/>
      <c r="O127" s="1438"/>
      <c r="P127" s="1437"/>
      <c r="Q127" s="1436"/>
      <c r="R127" s="1436"/>
      <c r="S127" s="1436"/>
      <c r="T127" s="1435"/>
      <c r="U127" s="1421"/>
      <c r="V127" s="1421"/>
      <c r="W127" s="1421"/>
      <c r="X127" s="1438"/>
      <c r="Y127" s="1437"/>
      <c r="Z127" s="1436"/>
      <c r="AA127" s="1436"/>
      <c r="AB127" s="1436"/>
      <c r="AC127" s="1435"/>
      <c r="AD127" s="1421"/>
      <c r="AE127" s="1421"/>
      <c r="AF127" s="1421"/>
      <c r="AG127" s="1438"/>
      <c r="AH127" s="1437"/>
      <c r="AI127" s="1436"/>
      <c r="AJ127" s="1436"/>
      <c r="AK127" s="1436"/>
      <c r="AL127" s="1435"/>
      <c r="AM127" s="1421"/>
      <c r="AN127" s="1421"/>
      <c r="AO127" s="1421"/>
      <c r="AP127" s="1438"/>
      <c r="AQ127" s="1437"/>
      <c r="AR127" s="1436"/>
      <c r="AS127" s="1436"/>
      <c r="AT127" s="1436"/>
      <c r="AU127" s="1435"/>
      <c r="AV127" s="1421"/>
    </row>
    <row r="128" spans="2:49" ht="5.0999999999999996" customHeight="1">
      <c r="B128" s="4057"/>
      <c r="C128" s="1427"/>
      <c r="D128" s="1427"/>
      <c r="E128" s="1427"/>
      <c r="F128" s="1431"/>
      <c r="G128" s="1430"/>
      <c r="H128" s="1429"/>
      <c r="I128" s="1434"/>
      <c r="J128" s="1429"/>
      <c r="K128" s="1428"/>
      <c r="L128" s="1421"/>
      <c r="M128" s="1433"/>
      <c r="N128" s="1421"/>
      <c r="O128" s="1431"/>
      <c r="P128" s="1430"/>
      <c r="Q128" s="1429"/>
      <c r="R128" s="1429"/>
      <c r="S128" s="1429"/>
      <c r="T128" s="1428"/>
      <c r="U128" s="1421"/>
      <c r="V128" s="1433"/>
      <c r="W128" s="1421"/>
      <c r="X128" s="1431"/>
      <c r="Y128" s="1430"/>
      <c r="Z128" s="1429"/>
      <c r="AA128" s="1429"/>
      <c r="AB128" s="1429"/>
      <c r="AC128" s="1428"/>
      <c r="AD128" s="1421"/>
      <c r="AE128" s="1433"/>
      <c r="AF128" s="1421"/>
      <c r="AG128" s="1431"/>
      <c r="AH128" s="1430"/>
      <c r="AI128" s="1429"/>
      <c r="AJ128" s="1429"/>
      <c r="AK128" s="1429"/>
      <c r="AL128" s="1428"/>
      <c r="AM128" s="1421"/>
      <c r="AN128" s="1432"/>
      <c r="AO128" s="1421"/>
      <c r="AP128" s="1431"/>
      <c r="AQ128" s="1430"/>
      <c r="AR128" s="1429"/>
      <c r="AS128" s="1429"/>
      <c r="AT128" s="1429"/>
      <c r="AU128" s="1428"/>
      <c r="AV128" s="1421"/>
      <c r="AW128" s="1427"/>
    </row>
    <row r="129" spans="2:49" ht="9.9499999999999993" customHeight="1">
      <c r="B129" s="4058"/>
      <c r="F129" s="1425"/>
      <c r="G129" s="1424"/>
      <c r="H129" s="1423"/>
      <c r="I129" s="1426"/>
      <c r="J129" s="1423"/>
      <c r="K129" s="1422"/>
      <c r="L129" s="1421"/>
      <c r="M129" s="1421"/>
      <c r="N129" s="1421"/>
      <c r="O129" s="1425"/>
      <c r="P129" s="1424"/>
      <c r="Q129" s="1423"/>
      <c r="R129" s="1423"/>
      <c r="S129" s="1423"/>
      <c r="T129" s="1422"/>
      <c r="U129" s="1421"/>
      <c r="V129" s="1421"/>
      <c r="W129" s="1421"/>
      <c r="X129" s="1425"/>
      <c r="Y129" s="1424"/>
      <c r="Z129" s="1423"/>
      <c r="AA129" s="1423"/>
      <c r="AB129" s="1423"/>
      <c r="AC129" s="1422"/>
      <c r="AD129" s="1421"/>
      <c r="AE129" s="1421"/>
      <c r="AF129" s="1421"/>
      <c r="AG129" s="1425"/>
      <c r="AH129" s="1424"/>
      <c r="AI129" s="1423"/>
      <c r="AJ129" s="1423"/>
      <c r="AK129" s="1423"/>
      <c r="AL129" s="1422"/>
      <c r="AM129" s="1421"/>
      <c r="AN129" s="1421"/>
      <c r="AO129" s="1421"/>
      <c r="AP129" s="1425"/>
      <c r="AQ129" s="1424"/>
      <c r="AR129" s="1423"/>
      <c r="AS129" s="1423"/>
      <c r="AT129" s="1423"/>
      <c r="AU129" s="1422"/>
      <c r="AV129" s="1421"/>
    </row>
    <row r="130" spans="2:49" ht="5.0999999999999996" customHeight="1">
      <c r="B130" s="1446"/>
      <c r="F130" s="1444"/>
      <c r="G130" s="1447"/>
      <c r="H130" s="1440"/>
      <c r="I130" s="1414"/>
      <c r="J130" s="1440"/>
      <c r="K130" s="1447"/>
      <c r="L130" s="1421"/>
      <c r="M130" s="1421"/>
      <c r="N130" s="1421"/>
      <c r="O130" s="1444"/>
      <c r="P130" s="1421"/>
      <c r="Q130" s="1441"/>
      <c r="R130" s="1441"/>
      <c r="S130" s="1441"/>
      <c r="T130" s="1421"/>
      <c r="U130" s="1421"/>
      <c r="V130" s="1421"/>
      <c r="W130" s="1421"/>
      <c r="X130" s="1444"/>
      <c r="Y130" s="1421"/>
      <c r="Z130" s="1441"/>
      <c r="AA130" s="1441"/>
      <c r="AB130" s="1441"/>
      <c r="AC130" s="1421"/>
      <c r="AD130" s="1421"/>
      <c r="AE130" s="1421"/>
      <c r="AF130" s="1421"/>
      <c r="AG130" s="1444"/>
      <c r="AH130" s="1421"/>
      <c r="AI130" s="1441"/>
      <c r="AJ130" s="1441"/>
      <c r="AK130" s="1441"/>
      <c r="AL130" s="1421"/>
      <c r="AM130" s="1421"/>
      <c r="AN130" s="1421"/>
      <c r="AO130" s="1421"/>
      <c r="AP130" s="1444"/>
      <c r="AQ130" s="1421"/>
      <c r="AR130" s="1441"/>
      <c r="AS130" s="1441"/>
      <c r="AT130" s="1441"/>
      <c r="AU130" s="1421"/>
      <c r="AV130" s="1421"/>
    </row>
    <row r="131" spans="2:49" ht="5.0999999999999996" customHeight="1">
      <c r="B131" s="1442"/>
      <c r="F131" s="1441"/>
      <c r="G131" s="1440"/>
      <c r="H131" s="1440"/>
      <c r="I131" s="1414"/>
      <c r="J131" s="1440"/>
      <c r="K131" s="1421"/>
      <c r="L131" s="1421"/>
      <c r="M131" s="1421"/>
      <c r="N131" s="1421"/>
      <c r="O131" s="1441"/>
      <c r="P131" s="1440"/>
      <c r="Q131" s="1440"/>
      <c r="R131" s="1443"/>
      <c r="S131" s="1440"/>
      <c r="T131" s="1440"/>
      <c r="U131" s="1421"/>
      <c r="V131" s="1421"/>
      <c r="W131" s="1421"/>
      <c r="X131" s="1441"/>
      <c r="Y131" s="1440"/>
      <c r="Z131" s="1440"/>
      <c r="AA131" s="1443"/>
      <c r="AB131" s="1440"/>
      <c r="AC131" s="1440"/>
      <c r="AD131" s="1421"/>
      <c r="AE131" s="1421"/>
      <c r="AF131" s="1421"/>
      <c r="AG131" s="1441"/>
      <c r="AH131" s="1440"/>
      <c r="AI131" s="1440"/>
      <c r="AJ131" s="1443"/>
      <c r="AK131" s="1440"/>
      <c r="AL131" s="1440"/>
      <c r="AM131" s="1421"/>
      <c r="AN131" s="1421"/>
      <c r="AO131" s="1421"/>
      <c r="AP131" s="1441"/>
      <c r="AQ131" s="1440"/>
      <c r="AR131" s="1440"/>
      <c r="AS131" s="1443"/>
      <c r="AT131" s="1440"/>
      <c r="AU131" s="1440"/>
      <c r="AV131" s="1421"/>
    </row>
    <row r="132" spans="2:49" ht="5.0999999999999996" customHeight="1">
      <c r="B132" s="1442"/>
      <c r="F132" s="1441"/>
      <c r="G132" s="1440"/>
      <c r="H132" s="1440"/>
      <c r="I132" s="1414"/>
      <c r="J132" s="1440"/>
      <c r="K132" s="1421"/>
      <c r="L132" s="1421"/>
      <c r="M132" s="1421"/>
      <c r="N132" s="1421"/>
      <c r="O132" s="1441"/>
      <c r="P132" s="1440"/>
      <c r="Q132" s="1440"/>
      <c r="R132" s="1440"/>
      <c r="S132" s="1440"/>
      <c r="T132" s="1440"/>
      <c r="U132" s="1421"/>
      <c r="V132" s="1421"/>
      <c r="W132" s="1421"/>
      <c r="X132" s="1441"/>
      <c r="Y132" s="1440"/>
      <c r="Z132" s="1440"/>
      <c r="AA132" s="1440"/>
      <c r="AB132" s="1440"/>
      <c r="AC132" s="1440"/>
      <c r="AD132" s="1421"/>
      <c r="AE132" s="1421"/>
      <c r="AF132" s="1421"/>
      <c r="AG132" s="1441"/>
      <c r="AH132" s="1440"/>
      <c r="AI132" s="1440"/>
      <c r="AJ132" s="1440"/>
      <c r="AK132" s="1440"/>
      <c r="AL132" s="1440"/>
      <c r="AM132" s="1421"/>
      <c r="AN132" s="1421"/>
      <c r="AO132" s="1421"/>
      <c r="AP132" s="1441"/>
      <c r="AQ132" s="1440"/>
      <c r="AR132" s="1440"/>
      <c r="AS132" s="1440"/>
      <c r="AT132" s="1440"/>
      <c r="AU132" s="1440"/>
      <c r="AV132" s="1421"/>
    </row>
    <row r="133" spans="2:49" ht="9.9499999999999993" customHeight="1">
      <c r="B133" s="4056">
        <v>22</v>
      </c>
      <c r="F133" s="1438"/>
      <c r="G133" s="1437"/>
      <c r="H133" s="1436"/>
      <c r="I133" s="1439"/>
      <c r="J133" s="1436"/>
      <c r="K133" s="1435"/>
      <c r="L133" s="1421"/>
      <c r="M133" s="1421"/>
      <c r="N133" s="1421"/>
      <c r="O133" s="1438"/>
      <c r="P133" s="1437"/>
      <c r="Q133" s="1436"/>
      <c r="R133" s="1436"/>
      <c r="S133" s="1436"/>
      <c r="T133" s="1435"/>
      <c r="U133" s="1421"/>
      <c r="V133" s="1421"/>
      <c r="W133" s="1421"/>
      <c r="X133" s="1438"/>
      <c r="Y133" s="1437"/>
      <c r="Z133" s="1436"/>
      <c r="AA133" s="1436"/>
      <c r="AB133" s="1436"/>
      <c r="AC133" s="1435"/>
      <c r="AD133" s="1421"/>
      <c r="AE133" s="1421"/>
      <c r="AF133" s="1421"/>
      <c r="AG133" s="1438"/>
      <c r="AH133" s="1437"/>
      <c r="AI133" s="1436"/>
      <c r="AJ133" s="1436"/>
      <c r="AK133" s="1436"/>
      <c r="AL133" s="1435"/>
      <c r="AM133" s="1421"/>
      <c r="AN133" s="1421"/>
      <c r="AO133" s="1421"/>
      <c r="AP133" s="1438"/>
      <c r="AQ133" s="1437"/>
      <c r="AR133" s="1436"/>
      <c r="AS133" s="1436"/>
      <c r="AT133" s="1436"/>
      <c r="AU133" s="1435"/>
      <c r="AV133" s="1421"/>
    </row>
    <row r="134" spans="2:49" ht="5.0999999999999996" customHeight="1">
      <c r="B134" s="4057"/>
      <c r="C134" s="1427"/>
      <c r="D134" s="1427"/>
      <c r="E134" s="1427"/>
      <c r="F134" s="1431"/>
      <c r="G134" s="1430"/>
      <c r="H134" s="1429"/>
      <c r="I134" s="1434"/>
      <c r="J134" s="1429"/>
      <c r="K134" s="1428"/>
      <c r="L134" s="1421"/>
      <c r="M134" s="1433"/>
      <c r="N134" s="1421"/>
      <c r="O134" s="1431"/>
      <c r="P134" s="1430"/>
      <c r="Q134" s="1429"/>
      <c r="R134" s="1429"/>
      <c r="S134" s="1429"/>
      <c r="T134" s="1428"/>
      <c r="U134" s="1421"/>
      <c r="V134" s="1433"/>
      <c r="W134" s="1421"/>
      <c r="X134" s="1431"/>
      <c r="Y134" s="1430"/>
      <c r="Z134" s="1429"/>
      <c r="AA134" s="1429"/>
      <c r="AB134" s="1429"/>
      <c r="AC134" s="1428"/>
      <c r="AD134" s="1421"/>
      <c r="AE134" s="1433"/>
      <c r="AF134" s="1421"/>
      <c r="AG134" s="1431"/>
      <c r="AH134" s="1430"/>
      <c r="AI134" s="1429"/>
      <c r="AJ134" s="1429"/>
      <c r="AK134" s="1429"/>
      <c r="AL134" s="1428"/>
      <c r="AM134" s="1421"/>
      <c r="AN134" s="1432"/>
      <c r="AO134" s="1421"/>
      <c r="AP134" s="1431"/>
      <c r="AQ134" s="1430"/>
      <c r="AR134" s="1429"/>
      <c r="AS134" s="1429"/>
      <c r="AT134" s="1429"/>
      <c r="AU134" s="1428"/>
      <c r="AV134" s="1421"/>
      <c r="AW134" s="1427"/>
    </row>
    <row r="135" spans="2:49" ht="9.9499999999999993" customHeight="1">
      <c r="B135" s="4058"/>
      <c r="F135" s="1425"/>
      <c r="G135" s="1424"/>
      <c r="H135" s="1423"/>
      <c r="I135" s="1426"/>
      <c r="J135" s="1423"/>
      <c r="K135" s="1422"/>
      <c r="L135" s="1421"/>
      <c r="M135" s="1421"/>
      <c r="N135" s="1421"/>
      <c r="O135" s="1425"/>
      <c r="P135" s="1424"/>
      <c r="Q135" s="1423"/>
      <c r="R135" s="1423"/>
      <c r="S135" s="1423"/>
      <c r="T135" s="1422"/>
      <c r="U135" s="1421"/>
      <c r="V135" s="1421"/>
      <c r="W135" s="1421"/>
      <c r="X135" s="1425"/>
      <c r="Y135" s="1424"/>
      <c r="Z135" s="1423"/>
      <c r="AA135" s="1423"/>
      <c r="AB135" s="1423"/>
      <c r="AC135" s="1422"/>
      <c r="AD135" s="1421"/>
      <c r="AE135" s="1421"/>
      <c r="AF135" s="1421"/>
      <c r="AG135" s="1425"/>
      <c r="AH135" s="1424"/>
      <c r="AI135" s="1423"/>
      <c r="AJ135" s="1423"/>
      <c r="AK135" s="1423"/>
      <c r="AL135" s="1422"/>
      <c r="AM135" s="1421"/>
      <c r="AN135" s="1421"/>
      <c r="AO135" s="1421"/>
      <c r="AP135" s="1425"/>
      <c r="AQ135" s="1424"/>
      <c r="AR135" s="1423"/>
      <c r="AS135" s="1423"/>
      <c r="AT135" s="1423"/>
      <c r="AU135" s="1422"/>
      <c r="AV135" s="1421"/>
    </row>
    <row r="136" spans="2:49" ht="5.0999999999999996" customHeight="1">
      <c r="B136" s="1446"/>
      <c r="F136" s="1444"/>
      <c r="G136" s="1421"/>
      <c r="H136" s="1441"/>
      <c r="I136" s="1445"/>
      <c r="J136" s="1441"/>
      <c r="K136" s="1421"/>
      <c r="L136" s="1421"/>
      <c r="M136" s="1421"/>
      <c r="N136" s="1421"/>
      <c r="O136" s="1444"/>
      <c r="P136" s="1421"/>
      <c r="Q136" s="1441"/>
      <c r="R136" s="1441"/>
      <c r="S136" s="1441"/>
      <c r="T136" s="1421"/>
      <c r="U136" s="1421"/>
      <c r="V136" s="1421"/>
      <c r="W136" s="1421"/>
      <c r="X136" s="1444"/>
      <c r="Y136" s="1421"/>
      <c r="Z136" s="1441"/>
      <c r="AA136" s="1441"/>
      <c r="AB136" s="1441"/>
      <c r="AC136" s="1421"/>
      <c r="AD136" s="1421"/>
      <c r="AE136" s="1421"/>
      <c r="AF136" s="1421"/>
      <c r="AG136" s="1444"/>
      <c r="AH136" s="1421"/>
      <c r="AI136" s="1441"/>
      <c r="AJ136" s="1441"/>
      <c r="AK136" s="1441"/>
      <c r="AL136" s="1421"/>
      <c r="AM136" s="1421"/>
      <c r="AN136" s="1421"/>
      <c r="AO136" s="1421"/>
      <c r="AP136" s="1444"/>
      <c r="AQ136" s="1421"/>
      <c r="AR136" s="1441"/>
      <c r="AS136" s="1441"/>
      <c r="AT136" s="1441"/>
      <c r="AU136" s="1421"/>
      <c r="AV136" s="1421"/>
    </row>
    <row r="137" spans="2:49" ht="5.0999999999999996" customHeight="1">
      <c r="B137" s="1442"/>
      <c r="F137" s="1441"/>
      <c r="G137" s="1421"/>
      <c r="H137" s="1421"/>
      <c r="I137" s="1432"/>
      <c r="J137" s="1421"/>
      <c r="K137" s="1421"/>
      <c r="L137" s="1421"/>
      <c r="M137" s="1421"/>
      <c r="N137" s="1421"/>
      <c r="O137" s="1441"/>
      <c r="P137" s="1440"/>
      <c r="Q137" s="1440"/>
      <c r="R137" s="1443"/>
      <c r="S137" s="1440"/>
      <c r="T137" s="1440"/>
      <c r="U137" s="1421"/>
      <c r="V137" s="1421"/>
      <c r="W137" s="1421"/>
      <c r="X137" s="1441"/>
      <c r="Y137" s="1440"/>
      <c r="Z137" s="1440"/>
      <c r="AA137" s="1443"/>
      <c r="AB137" s="1440"/>
      <c r="AC137" s="1440"/>
      <c r="AD137" s="1421"/>
      <c r="AE137" s="1421"/>
      <c r="AF137" s="1421"/>
      <c r="AG137" s="1441"/>
      <c r="AH137" s="1440"/>
      <c r="AI137" s="1440"/>
      <c r="AJ137" s="1443"/>
      <c r="AK137" s="1440"/>
      <c r="AL137" s="1440"/>
      <c r="AM137" s="1421"/>
      <c r="AN137" s="1421"/>
      <c r="AO137" s="1421"/>
      <c r="AP137" s="1441"/>
      <c r="AQ137" s="1440"/>
      <c r="AR137" s="1440"/>
      <c r="AS137" s="1443"/>
      <c r="AT137" s="1440"/>
      <c r="AU137" s="1440"/>
      <c r="AV137" s="1421"/>
    </row>
    <row r="138" spans="2:49" ht="5.0999999999999996" customHeight="1">
      <c r="B138" s="1442"/>
      <c r="F138" s="1441"/>
      <c r="G138" s="1421"/>
      <c r="H138" s="1421"/>
      <c r="I138" s="1432"/>
      <c r="J138" s="1421"/>
      <c r="K138" s="1421"/>
      <c r="L138" s="1421"/>
      <c r="M138" s="1421"/>
      <c r="N138" s="1421"/>
      <c r="O138" s="1441"/>
      <c r="P138" s="1440"/>
      <c r="Q138" s="1440"/>
      <c r="R138" s="1440"/>
      <c r="S138" s="1440"/>
      <c r="T138" s="1440"/>
      <c r="U138" s="1421"/>
      <c r="V138" s="1421"/>
      <c r="W138" s="1421"/>
      <c r="X138" s="1441"/>
      <c r="Y138" s="1440"/>
      <c r="Z138" s="1440"/>
      <c r="AA138" s="1440"/>
      <c r="AB138" s="1440"/>
      <c r="AC138" s="1440"/>
      <c r="AD138" s="1421"/>
      <c r="AE138" s="1421"/>
      <c r="AF138" s="1421"/>
      <c r="AG138" s="1441"/>
      <c r="AH138" s="1440"/>
      <c r="AI138" s="1440"/>
      <c r="AJ138" s="1440"/>
      <c r="AK138" s="1440"/>
      <c r="AL138" s="1440"/>
      <c r="AM138" s="1421"/>
      <c r="AN138" s="1421"/>
      <c r="AO138" s="1421"/>
      <c r="AP138" s="1441"/>
      <c r="AQ138" s="1440"/>
      <c r="AR138" s="1440"/>
      <c r="AS138" s="1440"/>
      <c r="AT138" s="1440"/>
      <c r="AU138" s="1440"/>
      <c r="AV138" s="1421"/>
    </row>
    <row r="139" spans="2:49" ht="9.9499999999999993" customHeight="1">
      <c r="B139" s="4056">
        <v>23</v>
      </c>
      <c r="F139" s="1438"/>
      <c r="G139" s="1437"/>
      <c r="H139" s="1436"/>
      <c r="I139" s="1439"/>
      <c r="J139" s="1436"/>
      <c r="K139" s="1435"/>
      <c r="L139" s="1421"/>
      <c r="M139" s="1421"/>
      <c r="N139" s="1421"/>
      <c r="O139" s="1438"/>
      <c r="P139" s="1437"/>
      <c r="Q139" s="1436"/>
      <c r="R139" s="1436"/>
      <c r="S139" s="1436"/>
      <c r="T139" s="1435"/>
      <c r="U139" s="1421"/>
      <c r="V139" s="1421"/>
      <c r="W139" s="1421"/>
      <c r="X139" s="1438"/>
      <c r="Y139" s="1437"/>
      <c r="Z139" s="1436"/>
      <c r="AA139" s="1436"/>
      <c r="AB139" s="1436"/>
      <c r="AC139" s="1435"/>
      <c r="AD139" s="1421"/>
      <c r="AE139" s="1421"/>
      <c r="AF139" s="1421"/>
      <c r="AG139" s="1438"/>
      <c r="AH139" s="1437"/>
      <c r="AI139" s="1436"/>
      <c r="AJ139" s="1436"/>
      <c r="AK139" s="1436"/>
      <c r="AL139" s="1435"/>
      <c r="AM139" s="1421"/>
      <c r="AN139" s="1421"/>
      <c r="AO139" s="1421"/>
      <c r="AP139" s="1438"/>
      <c r="AQ139" s="1437"/>
      <c r="AR139" s="1436"/>
      <c r="AS139" s="1436"/>
      <c r="AT139" s="1436"/>
      <c r="AU139" s="1435"/>
      <c r="AV139" s="1421"/>
    </row>
    <row r="140" spans="2:49" ht="5.0999999999999996" customHeight="1">
      <c r="B140" s="4057"/>
      <c r="C140" s="1427"/>
      <c r="D140" s="1427"/>
      <c r="E140" s="1427"/>
      <c r="F140" s="1431"/>
      <c r="G140" s="1430"/>
      <c r="H140" s="1429"/>
      <c r="I140" s="1434"/>
      <c r="J140" s="1429"/>
      <c r="K140" s="1428"/>
      <c r="L140" s="1421"/>
      <c r="M140" s="1433"/>
      <c r="N140" s="1421"/>
      <c r="O140" s="1431"/>
      <c r="P140" s="1430"/>
      <c r="Q140" s="1429"/>
      <c r="R140" s="1429"/>
      <c r="S140" s="1429"/>
      <c r="T140" s="1428"/>
      <c r="U140" s="1421"/>
      <c r="V140" s="1433"/>
      <c r="W140" s="1421"/>
      <c r="X140" s="1431"/>
      <c r="Y140" s="1430"/>
      <c r="Z140" s="1429"/>
      <c r="AA140" s="1429"/>
      <c r="AB140" s="1429"/>
      <c r="AC140" s="1428"/>
      <c r="AD140" s="1421"/>
      <c r="AE140" s="1433"/>
      <c r="AF140" s="1421"/>
      <c r="AG140" s="1431"/>
      <c r="AH140" s="1430"/>
      <c r="AI140" s="1429"/>
      <c r="AJ140" s="1429"/>
      <c r="AK140" s="1429"/>
      <c r="AL140" s="1428"/>
      <c r="AM140" s="1421"/>
      <c r="AN140" s="1432"/>
      <c r="AO140" s="1421"/>
      <c r="AP140" s="1431"/>
      <c r="AQ140" s="1430"/>
      <c r="AR140" s="1429"/>
      <c r="AS140" s="1429"/>
      <c r="AT140" s="1429"/>
      <c r="AU140" s="1428"/>
      <c r="AV140" s="1421"/>
      <c r="AW140" s="1427"/>
    </row>
    <row r="141" spans="2:49" ht="9.9499999999999993" customHeight="1">
      <c r="B141" s="4058"/>
      <c r="F141" s="1425"/>
      <c r="G141" s="1424"/>
      <c r="H141" s="1423"/>
      <c r="I141" s="1426"/>
      <c r="J141" s="1423"/>
      <c r="K141" s="1422"/>
      <c r="L141" s="1421"/>
      <c r="M141" s="1421"/>
      <c r="N141" s="1421"/>
      <c r="O141" s="1425"/>
      <c r="P141" s="1424"/>
      <c r="Q141" s="1423"/>
      <c r="R141" s="1423"/>
      <c r="S141" s="1423"/>
      <c r="T141" s="1422"/>
      <c r="U141" s="1421"/>
      <c r="V141" s="1421"/>
      <c r="W141" s="1421"/>
      <c r="X141" s="1425"/>
      <c r="Y141" s="1424"/>
      <c r="Z141" s="1423"/>
      <c r="AA141" s="1423"/>
      <c r="AB141" s="1423"/>
      <c r="AC141" s="1422"/>
      <c r="AD141" s="1421"/>
      <c r="AE141" s="1421"/>
      <c r="AF141" s="1421"/>
      <c r="AG141" s="1425"/>
      <c r="AH141" s="1424"/>
      <c r="AI141" s="1423"/>
      <c r="AJ141" s="1423"/>
      <c r="AK141" s="1423"/>
      <c r="AL141" s="1422"/>
      <c r="AM141" s="1421"/>
      <c r="AN141" s="1421"/>
      <c r="AO141" s="1421"/>
      <c r="AP141" s="1425"/>
      <c r="AQ141" s="1424"/>
      <c r="AR141" s="1423"/>
      <c r="AS141" s="1423"/>
      <c r="AT141" s="1423"/>
      <c r="AU141" s="1422"/>
      <c r="AV141" s="1421"/>
    </row>
    <row r="142" spans="2:49" ht="5.0999999999999996" customHeight="1">
      <c r="B142" s="1446"/>
      <c r="F142" s="1444"/>
      <c r="G142" s="1421"/>
      <c r="H142" s="1441"/>
      <c r="I142" s="1445"/>
      <c r="J142" s="1441"/>
      <c r="K142" s="1421"/>
      <c r="L142" s="1421"/>
      <c r="M142" s="1421"/>
      <c r="N142" s="1421"/>
      <c r="O142" s="1444"/>
      <c r="P142" s="1421"/>
      <c r="Q142" s="1441"/>
      <c r="R142" s="1441"/>
      <c r="S142" s="1441"/>
      <c r="T142" s="1421"/>
      <c r="U142" s="1421"/>
      <c r="V142" s="1421"/>
      <c r="W142" s="1421"/>
      <c r="X142" s="1444"/>
      <c r="Y142" s="1421"/>
      <c r="Z142" s="1441"/>
      <c r="AA142" s="1441"/>
      <c r="AB142" s="1441"/>
      <c r="AC142" s="1421"/>
      <c r="AD142" s="1421"/>
      <c r="AE142" s="1421"/>
      <c r="AF142" s="1421"/>
      <c r="AG142" s="1444"/>
      <c r="AH142" s="1421"/>
      <c r="AI142" s="1441"/>
      <c r="AJ142" s="1441"/>
      <c r="AK142" s="1441"/>
      <c r="AL142" s="1421"/>
      <c r="AM142" s="1421"/>
      <c r="AN142" s="1421"/>
      <c r="AO142" s="1421"/>
      <c r="AP142" s="1444"/>
      <c r="AQ142" s="1421"/>
      <c r="AR142" s="1441"/>
      <c r="AS142" s="1441"/>
      <c r="AT142" s="1441"/>
      <c r="AU142" s="1421"/>
      <c r="AV142" s="1421"/>
    </row>
    <row r="143" spans="2:49" ht="5.0999999999999996" customHeight="1">
      <c r="B143" s="1442"/>
      <c r="F143" s="1441"/>
      <c r="G143" s="1421"/>
      <c r="H143" s="1421"/>
      <c r="I143" s="1432"/>
      <c r="J143" s="1421"/>
      <c r="K143" s="1421"/>
      <c r="L143" s="1421"/>
      <c r="M143" s="1421"/>
      <c r="N143" s="1421"/>
      <c r="O143" s="1441"/>
      <c r="P143" s="1440"/>
      <c r="Q143" s="1440"/>
      <c r="R143" s="1443"/>
      <c r="S143" s="1440"/>
      <c r="T143" s="1440"/>
      <c r="U143" s="1421"/>
      <c r="V143" s="1421"/>
      <c r="W143" s="1421"/>
      <c r="X143" s="1441"/>
      <c r="Y143" s="1440"/>
      <c r="Z143" s="1440"/>
      <c r="AA143" s="1443"/>
      <c r="AB143" s="1440"/>
      <c r="AC143" s="1440"/>
      <c r="AD143" s="1421"/>
      <c r="AE143" s="1421"/>
      <c r="AF143" s="1421"/>
      <c r="AG143" s="1441"/>
      <c r="AH143" s="1440"/>
      <c r="AI143" s="1440"/>
      <c r="AJ143" s="1443"/>
      <c r="AK143" s="1440"/>
      <c r="AL143" s="1440"/>
      <c r="AM143" s="1421"/>
      <c r="AN143" s="1421"/>
      <c r="AO143" s="1421"/>
      <c r="AP143" s="1441"/>
      <c r="AQ143" s="1440"/>
      <c r="AR143" s="1440"/>
      <c r="AS143" s="1443"/>
      <c r="AT143" s="1440"/>
      <c r="AU143" s="1440"/>
      <c r="AV143" s="1421"/>
    </row>
    <row r="144" spans="2:49" ht="5.0999999999999996" customHeight="1">
      <c r="B144" s="1442"/>
      <c r="F144" s="1441"/>
      <c r="G144" s="1421"/>
      <c r="H144" s="1421"/>
      <c r="I144" s="1432"/>
      <c r="J144" s="1421"/>
      <c r="K144" s="1421"/>
      <c r="L144" s="1421"/>
      <c r="M144" s="1421"/>
      <c r="N144" s="1421"/>
      <c r="O144" s="1441"/>
      <c r="P144" s="1440"/>
      <c r="Q144" s="1440"/>
      <c r="R144" s="1440"/>
      <c r="S144" s="1440"/>
      <c r="T144" s="1440"/>
      <c r="U144" s="1421"/>
      <c r="V144" s="1421"/>
      <c r="W144" s="1421"/>
      <c r="X144" s="1441"/>
      <c r="Y144" s="1440"/>
      <c r="Z144" s="1440"/>
      <c r="AA144" s="1440"/>
      <c r="AB144" s="1440"/>
      <c r="AC144" s="1440"/>
      <c r="AD144" s="1421"/>
      <c r="AE144" s="1421"/>
      <c r="AF144" s="1421"/>
      <c r="AG144" s="1441"/>
      <c r="AH144" s="1440"/>
      <c r="AI144" s="1440"/>
      <c r="AJ144" s="1440"/>
      <c r="AK144" s="1440"/>
      <c r="AL144" s="1440"/>
      <c r="AM144" s="1421"/>
      <c r="AN144" s="1421"/>
      <c r="AO144" s="1421"/>
      <c r="AP144" s="1441"/>
      <c r="AQ144" s="1440"/>
      <c r="AR144" s="1440"/>
      <c r="AS144" s="1440"/>
      <c r="AT144" s="1440"/>
      <c r="AU144" s="1440"/>
      <c r="AV144" s="1421"/>
    </row>
    <row r="145" spans="2:49" ht="9.9499999999999993" customHeight="1">
      <c r="B145" s="4056">
        <v>24</v>
      </c>
      <c r="F145" s="1438"/>
      <c r="G145" s="1437"/>
      <c r="H145" s="1436"/>
      <c r="I145" s="1439"/>
      <c r="J145" s="1436"/>
      <c r="K145" s="1435"/>
      <c r="L145" s="1421"/>
      <c r="M145" s="1421"/>
      <c r="N145" s="1421"/>
      <c r="O145" s="1438"/>
      <c r="P145" s="1437"/>
      <c r="Q145" s="1436"/>
      <c r="R145" s="1436"/>
      <c r="S145" s="1436"/>
      <c r="T145" s="1435"/>
      <c r="U145" s="1421"/>
      <c r="V145" s="1421"/>
      <c r="W145" s="1421"/>
      <c r="X145" s="1438"/>
      <c r="Y145" s="1437"/>
      <c r="Z145" s="1436"/>
      <c r="AA145" s="1436"/>
      <c r="AB145" s="1436"/>
      <c r="AC145" s="1435"/>
      <c r="AD145" s="1421"/>
      <c r="AE145" s="1421"/>
      <c r="AF145" s="1421"/>
      <c r="AG145" s="1438"/>
      <c r="AH145" s="1437"/>
      <c r="AI145" s="1436"/>
      <c r="AJ145" s="1436"/>
      <c r="AK145" s="1436"/>
      <c r="AL145" s="1435"/>
      <c r="AM145" s="1421"/>
      <c r="AN145" s="1421"/>
      <c r="AO145" s="1421"/>
      <c r="AP145" s="1438"/>
      <c r="AQ145" s="1437"/>
      <c r="AR145" s="1436"/>
      <c r="AS145" s="1436"/>
      <c r="AT145" s="1436"/>
      <c r="AU145" s="1435"/>
      <c r="AV145" s="1421"/>
    </row>
    <row r="146" spans="2:49" ht="5.0999999999999996" customHeight="1">
      <c r="B146" s="4057"/>
      <c r="C146" s="1427"/>
      <c r="D146" s="1427"/>
      <c r="E146" s="1427"/>
      <c r="F146" s="1431"/>
      <c r="G146" s="1430"/>
      <c r="H146" s="1429"/>
      <c r="I146" s="1434"/>
      <c r="J146" s="1429"/>
      <c r="K146" s="1428"/>
      <c r="L146" s="1421"/>
      <c r="M146" s="1433"/>
      <c r="N146" s="1421"/>
      <c r="O146" s="1431"/>
      <c r="P146" s="1430"/>
      <c r="Q146" s="1429"/>
      <c r="R146" s="1429"/>
      <c r="S146" s="1429"/>
      <c r="T146" s="1428"/>
      <c r="U146" s="1421"/>
      <c r="V146" s="1433"/>
      <c r="W146" s="1421"/>
      <c r="X146" s="1431"/>
      <c r="Y146" s="1430"/>
      <c r="Z146" s="1429"/>
      <c r="AA146" s="1429"/>
      <c r="AB146" s="1429"/>
      <c r="AC146" s="1428"/>
      <c r="AD146" s="1421"/>
      <c r="AE146" s="1433"/>
      <c r="AF146" s="1421"/>
      <c r="AG146" s="1431"/>
      <c r="AH146" s="1430"/>
      <c r="AI146" s="1429"/>
      <c r="AJ146" s="1429"/>
      <c r="AK146" s="1429"/>
      <c r="AL146" s="1428"/>
      <c r="AM146" s="1421"/>
      <c r="AN146" s="1432"/>
      <c r="AO146" s="1421"/>
      <c r="AP146" s="1431"/>
      <c r="AQ146" s="1430"/>
      <c r="AR146" s="1429"/>
      <c r="AS146" s="1429"/>
      <c r="AT146" s="1429"/>
      <c r="AU146" s="1428"/>
      <c r="AV146" s="1421"/>
      <c r="AW146" s="1427"/>
    </row>
    <row r="147" spans="2:49" ht="9.9499999999999993" customHeight="1">
      <c r="B147" s="4058"/>
      <c r="F147" s="1425"/>
      <c r="G147" s="1424"/>
      <c r="H147" s="1423"/>
      <c r="I147" s="1426"/>
      <c r="J147" s="1423"/>
      <c r="K147" s="1422"/>
      <c r="L147" s="1421"/>
      <c r="M147" s="1421"/>
      <c r="N147" s="1421"/>
      <c r="O147" s="1425"/>
      <c r="P147" s="1424"/>
      <c r="Q147" s="1423"/>
      <c r="R147" s="1423"/>
      <c r="S147" s="1423"/>
      <c r="T147" s="1422"/>
      <c r="U147" s="1421"/>
      <c r="V147" s="1421"/>
      <c r="W147" s="1421"/>
      <c r="X147" s="1425"/>
      <c r="Y147" s="1424"/>
      <c r="Z147" s="1423"/>
      <c r="AA147" s="1423"/>
      <c r="AB147" s="1423"/>
      <c r="AC147" s="1422"/>
      <c r="AD147" s="1421"/>
      <c r="AE147" s="1421"/>
      <c r="AF147" s="1421"/>
      <c r="AG147" s="1425"/>
      <c r="AH147" s="1424"/>
      <c r="AI147" s="1423"/>
      <c r="AJ147" s="1423"/>
      <c r="AK147" s="1423"/>
      <c r="AL147" s="1422"/>
      <c r="AM147" s="1421"/>
      <c r="AN147" s="1421"/>
      <c r="AO147" s="1421"/>
      <c r="AP147" s="1425"/>
      <c r="AQ147" s="1424"/>
      <c r="AR147" s="1423"/>
      <c r="AS147" s="1423"/>
      <c r="AT147" s="1423"/>
      <c r="AU147" s="1422"/>
      <c r="AV147" s="1421"/>
    </row>
    <row r="148" spans="2:49" ht="5.0999999999999996" customHeight="1">
      <c r="B148" s="1446"/>
      <c r="F148" s="1444"/>
      <c r="G148" s="1421"/>
      <c r="H148" s="1441"/>
      <c r="I148" s="1445"/>
      <c r="J148" s="1441"/>
      <c r="K148" s="1421"/>
      <c r="L148" s="1421"/>
      <c r="M148" s="1421"/>
      <c r="N148" s="1421"/>
      <c r="O148" s="1444"/>
      <c r="P148" s="1421"/>
      <c r="Q148" s="1441"/>
      <c r="R148" s="1441"/>
      <c r="S148" s="1441"/>
      <c r="T148" s="1421"/>
      <c r="U148" s="1421"/>
      <c r="V148" s="1421"/>
      <c r="W148" s="1421"/>
      <c r="X148" s="1444"/>
      <c r="Y148" s="1421"/>
      <c r="Z148" s="1441"/>
      <c r="AA148" s="1441"/>
      <c r="AB148" s="1441"/>
      <c r="AC148" s="1421"/>
      <c r="AD148" s="1421"/>
      <c r="AE148" s="1421"/>
      <c r="AF148" s="1421"/>
      <c r="AG148" s="1444"/>
      <c r="AH148" s="1421"/>
      <c r="AI148" s="1441"/>
      <c r="AJ148" s="1441"/>
      <c r="AK148" s="1441"/>
      <c r="AL148" s="1421"/>
      <c r="AM148" s="1421"/>
      <c r="AN148" s="1421"/>
      <c r="AO148" s="1421"/>
      <c r="AP148" s="1444"/>
      <c r="AQ148" s="1421"/>
      <c r="AR148" s="1441"/>
      <c r="AS148" s="1441"/>
      <c r="AT148" s="1441"/>
      <c r="AU148" s="1421"/>
      <c r="AV148" s="1421"/>
    </row>
    <row r="149" spans="2:49" ht="5.0999999999999996" customHeight="1">
      <c r="B149" s="1442"/>
      <c r="F149" s="1441"/>
      <c r="G149" s="1421"/>
      <c r="H149" s="1421"/>
      <c r="I149" s="1432"/>
      <c r="J149" s="1421"/>
      <c r="K149" s="1421"/>
      <c r="L149" s="1421"/>
      <c r="M149" s="1421"/>
      <c r="N149" s="1421"/>
      <c r="O149" s="1441"/>
      <c r="P149" s="1440"/>
      <c r="Q149" s="1440"/>
      <c r="R149" s="1443"/>
      <c r="S149" s="1440"/>
      <c r="T149" s="1440"/>
      <c r="U149" s="1421"/>
      <c r="V149" s="1421"/>
      <c r="W149" s="1421"/>
      <c r="X149" s="1441"/>
      <c r="Y149" s="1440"/>
      <c r="Z149" s="1440"/>
      <c r="AA149" s="1443"/>
      <c r="AB149" s="1440"/>
      <c r="AC149" s="1440"/>
      <c r="AD149" s="1421"/>
      <c r="AE149" s="1421"/>
      <c r="AF149" s="1421"/>
      <c r="AG149" s="1441"/>
      <c r="AH149" s="1440"/>
      <c r="AI149" s="1440"/>
      <c r="AJ149" s="1443"/>
      <c r="AK149" s="1440"/>
      <c r="AL149" s="1440"/>
      <c r="AM149" s="1421"/>
      <c r="AN149" s="1421"/>
      <c r="AO149" s="1421"/>
      <c r="AP149" s="1441"/>
      <c r="AQ149" s="1440"/>
      <c r="AR149" s="1440"/>
      <c r="AS149" s="1443"/>
      <c r="AT149" s="1440"/>
      <c r="AU149" s="1440"/>
      <c r="AV149" s="1421"/>
    </row>
    <row r="150" spans="2:49" ht="5.0999999999999996" customHeight="1">
      <c r="B150" s="1442"/>
      <c r="F150" s="1441"/>
      <c r="G150" s="1421"/>
      <c r="H150" s="1421"/>
      <c r="I150" s="1432"/>
      <c r="J150" s="1421"/>
      <c r="K150" s="1421"/>
      <c r="L150" s="1421"/>
      <c r="M150" s="1421"/>
      <c r="N150" s="1421"/>
      <c r="O150" s="1441"/>
      <c r="P150" s="1440"/>
      <c r="Q150" s="1440"/>
      <c r="R150" s="1440"/>
      <c r="S150" s="1440"/>
      <c r="T150" s="1440"/>
      <c r="U150" s="1421"/>
      <c r="V150" s="1421"/>
      <c r="W150" s="1421"/>
      <c r="X150" s="1441"/>
      <c r="Y150" s="1440"/>
      <c r="Z150" s="1440"/>
      <c r="AA150" s="1440"/>
      <c r="AB150" s="1440"/>
      <c r="AC150" s="1440"/>
      <c r="AD150" s="1421"/>
      <c r="AE150" s="1421"/>
      <c r="AF150" s="1421"/>
      <c r="AG150" s="1441"/>
      <c r="AH150" s="1440"/>
      <c r="AI150" s="1440"/>
      <c r="AJ150" s="1440"/>
      <c r="AK150" s="1440"/>
      <c r="AL150" s="1440"/>
      <c r="AM150" s="1421"/>
      <c r="AN150" s="1421"/>
      <c r="AO150" s="1421"/>
      <c r="AP150" s="1441"/>
      <c r="AQ150" s="1440"/>
      <c r="AR150" s="1440"/>
      <c r="AS150" s="1440"/>
      <c r="AT150" s="1440"/>
      <c r="AU150" s="1440"/>
      <c r="AV150" s="1421"/>
    </row>
    <row r="151" spans="2:49" ht="9.9499999999999993" customHeight="1">
      <c r="B151" s="4056">
        <v>25</v>
      </c>
      <c r="F151" s="1438"/>
      <c r="G151" s="1437"/>
      <c r="H151" s="1436"/>
      <c r="I151" s="1439"/>
      <c r="J151" s="1436"/>
      <c r="K151" s="1435"/>
      <c r="L151" s="1421"/>
      <c r="M151" s="1421"/>
      <c r="N151" s="1421"/>
      <c r="O151" s="1438"/>
      <c r="P151" s="1437"/>
      <c r="Q151" s="1436"/>
      <c r="R151" s="1436"/>
      <c r="S151" s="1436"/>
      <c r="T151" s="1435"/>
      <c r="U151" s="1421"/>
      <c r="V151" s="1421"/>
      <c r="W151" s="1421"/>
      <c r="X151" s="1438"/>
      <c r="Y151" s="1437"/>
      <c r="Z151" s="1436"/>
      <c r="AA151" s="1436"/>
      <c r="AB151" s="1436"/>
      <c r="AC151" s="1435"/>
      <c r="AD151" s="1421"/>
      <c r="AE151" s="1421"/>
      <c r="AF151" s="1421"/>
      <c r="AG151" s="1438"/>
      <c r="AH151" s="1437"/>
      <c r="AI151" s="1436"/>
      <c r="AJ151" s="1436"/>
      <c r="AK151" s="1436"/>
      <c r="AL151" s="1435"/>
      <c r="AM151" s="1421"/>
      <c r="AN151" s="1421"/>
      <c r="AO151" s="1421"/>
      <c r="AP151" s="1438"/>
      <c r="AQ151" s="1437"/>
      <c r="AR151" s="1436"/>
      <c r="AS151" s="1436"/>
      <c r="AT151" s="1436"/>
      <c r="AU151" s="1435"/>
      <c r="AV151" s="1421"/>
    </row>
    <row r="152" spans="2:49" ht="5.0999999999999996" customHeight="1">
      <c r="B152" s="4057"/>
      <c r="C152" s="1427"/>
      <c r="D152" s="1427"/>
      <c r="E152" s="1427"/>
      <c r="F152" s="1431"/>
      <c r="G152" s="1430"/>
      <c r="H152" s="1429"/>
      <c r="I152" s="1434"/>
      <c r="J152" s="1429"/>
      <c r="K152" s="1428"/>
      <c r="L152" s="1421"/>
      <c r="M152" s="1433"/>
      <c r="N152" s="1421"/>
      <c r="O152" s="1431"/>
      <c r="P152" s="1430"/>
      <c r="Q152" s="1429"/>
      <c r="R152" s="1429"/>
      <c r="S152" s="1429"/>
      <c r="T152" s="1428"/>
      <c r="U152" s="1421"/>
      <c r="V152" s="1433"/>
      <c r="W152" s="1421"/>
      <c r="X152" s="1431"/>
      <c r="Y152" s="1430"/>
      <c r="Z152" s="1429"/>
      <c r="AA152" s="1429"/>
      <c r="AB152" s="1429"/>
      <c r="AC152" s="1428"/>
      <c r="AD152" s="1421"/>
      <c r="AE152" s="1433"/>
      <c r="AF152" s="1421"/>
      <c r="AG152" s="1431"/>
      <c r="AH152" s="1430"/>
      <c r="AI152" s="1429"/>
      <c r="AJ152" s="1429"/>
      <c r="AK152" s="1429"/>
      <c r="AL152" s="1428"/>
      <c r="AM152" s="1421"/>
      <c r="AN152" s="1432"/>
      <c r="AO152" s="1421"/>
      <c r="AP152" s="1431"/>
      <c r="AQ152" s="1430"/>
      <c r="AR152" s="1429"/>
      <c r="AS152" s="1429"/>
      <c r="AT152" s="1429"/>
      <c r="AU152" s="1428"/>
      <c r="AV152" s="1421"/>
      <c r="AW152" s="1427"/>
    </row>
    <row r="153" spans="2:49" ht="9.9499999999999993" customHeight="1">
      <c r="B153" s="4058"/>
      <c r="F153" s="1425"/>
      <c r="G153" s="1424"/>
      <c r="H153" s="1423"/>
      <c r="I153" s="1426"/>
      <c r="J153" s="1423"/>
      <c r="K153" s="1422"/>
      <c r="L153" s="1421"/>
      <c r="M153" s="1421"/>
      <c r="N153" s="1421"/>
      <c r="O153" s="1425"/>
      <c r="P153" s="1424"/>
      <c r="Q153" s="1423"/>
      <c r="R153" s="1423"/>
      <c r="S153" s="1423"/>
      <c r="T153" s="1422"/>
      <c r="U153" s="1421"/>
      <c r="V153" s="1421"/>
      <c r="W153" s="1421"/>
      <c r="X153" s="1425"/>
      <c r="Y153" s="1424"/>
      <c r="Z153" s="1423"/>
      <c r="AA153" s="1423"/>
      <c r="AB153" s="1423"/>
      <c r="AC153" s="1422"/>
      <c r="AD153" s="1421"/>
      <c r="AE153" s="1421"/>
      <c r="AF153" s="1421"/>
      <c r="AG153" s="1425"/>
      <c r="AH153" s="1424"/>
      <c r="AI153" s="1423"/>
      <c r="AJ153" s="1423"/>
      <c r="AK153" s="1423"/>
      <c r="AL153" s="1422"/>
      <c r="AM153" s="1421"/>
      <c r="AN153" s="1421"/>
      <c r="AO153" s="1421"/>
      <c r="AP153" s="1425"/>
      <c r="AQ153" s="1424"/>
      <c r="AR153" s="1423"/>
      <c r="AS153" s="1423"/>
      <c r="AT153" s="1423"/>
      <c r="AU153" s="1422"/>
      <c r="AV153" s="1421"/>
    </row>
    <row r="154" spans="2:49" ht="5.0999999999999996" customHeight="1">
      <c r="B154" s="1446"/>
      <c r="F154" s="1444"/>
      <c r="G154" s="1447"/>
      <c r="H154" s="1440"/>
      <c r="I154" s="1414"/>
      <c r="J154" s="1440"/>
      <c r="K154" s="1447"/>
      <c r="L154" s="1421"/>
      <c r="M154" s="1421"/>
      <c r="N154" s="1421"/>
      <c r="O154" s="1444"/>
      <c r="P154" s="1421"/>
      <c r="Q154" s="1441"/>
      <c r="R154" s="1441"/>
      <c r="S154" s="1441"/>
      <c r="T154" s="1421"/>
      <c r="U154" s="1421"/>
      <c r="V154" s="1421"/>
      <c r="W154" s="1421"/>
      <c r="X154" s="1444"/>
      <c r="Y154" s="1421"/>
      <c r="Z154" s="1441"/>
      <c r="AA154" s="1441"/>
      <c r="AB154" s="1441"/>
      <c r="AC154" s="1421"/>
      <c r="AD154" s="1421"/>
      <c r="AE154" s="1421"/>
      <c r="AF154" s="1421"/>
      <c r="AG154" s="1444"/>
      <c r="AH154" s="1421"/>
      <c r="AI154" s="1441"/>
      <c r="AJ154" s="1441"/>
      <c r="AK154" s="1441"/>
      <c r="AL154" s="1421"/>
      <c r="AM154" s="1421"/>
      <c r="AN154" s="1421"/>
      <c r="AO154" s="1421"/>
      <c r="AP154" s="1444"/>
      <c r="AQ154" s="1421"/>
      <c r="AR154" s="1441"/>
      <c r="AS154" s="1441"/>
      <c r="AT154" s="1441"/>
      <c r="AU154" s="1421"/>
      <c r="AV154" s="1421"/>
    </row>
    <row r="155" spans="2:49" ht="5.0999999999999996" customHeight="1">
      <c r="B155" s="1442"/>
      <c r="F155" s="1441"/>
      <c r="G155" s="1440"/>
      <c r="H155" s="1440"/>
      <c r="I155" s="1414"/>
      <c r="J155" s="1440"/>
      <c r="K155" s="1421"/>
      <c r="L155" s="1421"/>
      <c r="M155" s="1421"/>
      <c r="N155" s="1421"/>
      <c r="O155" s="1441"/>
      <c r="P155" s="1440"/>
      <c r="Q155" s="1440"/>
      <c r="R155" s="1443"/>
      <c r="S155" s="1440"/>
      <c r="T155" s="1440"/>
      <c r="U155" s="1421"/>
      <c r="V155" s="1421"/>
      <c r="W155" s="1421"/>
      <c r="X155" s="1441"/>
      <c r="Y155" s="1440"/>
      <c r="Z155" s="1440"/>
      <c r="AA155" s="1443"/>
      <c r="AB155" s="1440"/>
      <c r="AC155" s="1440"/>
      <c r="AD155" s="1421"/>
      <c r="AE155" s="1421"/>
      <c r="AF155" s="1421"/>
      <c r="AG155" s="1441"/>
      <c r="AH155" s="1440"/>
      <c r="AI155" s="1440"/>
      <c r="AJ155" s="1443"/>
      <c r="AK155" s="1440"/>
      <c r="AL155" s="1440"/>
      <c r="AM155" s="1421"/>
      <c r="AN155" s="1421"/>
      <c r="AO155" s="1421"/>
      <c r="AP155" s="1441"/>
      <c r="AQ155" s="1440"/>
      <c r="AR155" s="1440"/>
      <c r="AS155" s="1443"/>
      <c r="AT155" s="1440"/>
      <c r="AU155" s="1440"/>
      <c r="AV155" s="1421"/>
    </row>
    <row r="156" spans="2:49" ht="5.0999999999999996" customHeight="1">
      <c r="B156" s="1442"/>
      <c r="F156" s="1441"/>
      <c r="G156" s="1440"/>
      <c r="H156" s="1440"/>
      <c r="I156" s="1414"/>
      <c r="J156" s="1440"/>
      <c r="K156" s="1421"/>
      <c r="L156" s="1421"/>
      <c r="M156" s="1421"/>
      <c r="N156" s="1421"/>
      <c r="O156" s="1441"/>
      <c r="P156" s="1440"/>
      <c r="Q156" s="1440"/>
      <c r="R156" s="1440"/>
      <c r="S156" s="1440"/>
      <c r="T156" s="1440"/>
      <c r="U156" s="1421"/>
      <c r="V156" s="1421"/>
      <c r="W156" s="1421"/>
      <c r="X156" s="1441"/>
      <c r="Y156" s="1440"/>
      <c r="Z156" s="1440"/>
      <c r="AA156" s="1440"/>
      <c r="AB156" s="1440"/>
      <c r="AC156" s="1440"/>
      <c r="AD156" s="1421"/>
      <c r="AE156" s="1421"/>
      <c r="AF156" s="1421"/>
      <c r="AG156" s="1441"/>
      <c r="AH156" s="1440"/>
      <c r="AI156" s="1440"/>
      <c r="AJ156" s="1440"/>
      <c r="AK156" s="1440"/>
      <c r="AL156" s="1440"/>
      <c r="AM156" s="1421"/>
      <c r="AN156" s="1421"/>
      <c r="AO156" s="1421"/>
      <c r="AP156" s="1441"/>
      <c r="AQ156" s="1440"/>
      <c r="AR156" s="1440"/>
      <c r="AS156" s="1440"/>
      <c r="AT156" s="1440"/>
      <c r="AU156" s="1440"/>
      <c r="AV156" s="1421"/>
    </row>
    <row r="157" spans="2:49" ht="9.9499999999999993" customHeight="1">
      <c r="B157" s="4056">
        <v>26</v>
      </c>
      <c r="F157" s="1438"/>
      <c r="G157" s="1437"/>
      <c r="H157" s="1436"/>
      <c r="I157" s="1439"/>
      <c r="J157" s="1436"/>
      <c r="K157" s="1435"/>
      <c r="L157" s="1421"/>
      <c r="M157" s="1421"/>
      <c r="N157" s="1421"/>
      <c r="O157" s="1438"/>
      <c r="P157" s="1437"/>
      <c r="Q157" s="1436"/>
      <c r="R157" s="1436"/>
      <c r="S157" s="1436"/>
      <c r="T157" s="1435"/>
      <c r="U157" s="1421"/>
      <c r="V157" s="1421"/>
      <c r="W157" s="1421"/>
      <c r="X157" s="1438"/>
      <c r="Y157" s="1437"/>
      <c r="Z157" s="1436"/>
      <c r="AA157" s="1436"/>
      <c r="AB157" s="1436"/>
      <c r="AC157" s="1435"/>
      <c r="AD157" s="1421"/>
      <c r="AE157" s="1421"/>
      <c r="AF157" s="1421"/>
      <c r="AG157" s="1438"/>
      <c r="AH157" s="1437"/>
      <c r="AI157" s="1436"/>
      <c r="AJ157" s="1436"/>
      <c r="AK157" s="1436"/>
      <c r="AL157" s="1435"/>
      <c r="AM157" s="1421"/>
      <c r="AN157" s="1421"/>
      <c r="AO157" s="1421"/>
      <c r="AP157" s="1438"/>
      <c r="AQ157" s="1437"/>
      <c r="AR157" s="1436"/>
      <c r="AS157" s="1436"/>
      <c r="AT157" s="1436"/>
      <c r="AU157" s="1435"/>
      <c r="AV157" s="1421"/>
    </row>
    <row r="158" spans="2:49" ht="5.0999999999999996" customHeight="1">
      <c r="B158" s="4057"/>
      <c r="C158" s="1427"/>
      <c r="D158" s="1427"/>
      <c r="E158" s="1427"/>
      <c r="F158" s="1431"/>
      <c r="G158" s="1430"/>
      <c r="H158" s="1429"/>
      <c r="I158" s="1434"/>
      <c r="J158" s="1429"/>
      <c r="K158" s="1428"/>
      <c r="L158" s="1421"/>
      <c r="M158" s="1433"/>
      <c r="N158" s="1421"/>
      <c r="O158" s="1431"/>
      <c r="P158" s="1430"/>
      <c r="Q158" s="1429"/>
      <c r="R158" s="1429"/>
      <c r="S158" s="1429"/>
      <c r="T158" s="1428"/>
      <c r="U158" s="1421"/>
      <c r="V158" s="1433"/>
      <c r="W158" s="1421"/>
      <c r="X158" s="1431"/>
      <c r="Y158" s="1430"/>
      <c r="Z158" s="1429"/>
      <c r="AA158" s="1429"/>
      <c r="AB158" s="1429"/>
      <c r="AC158" s="1428"/>
      <c r="AD158" s="1421"/>
      <c r="AE158" s="1433"/>
      <c r="AF158" s="1421"/>
      <c r="AG158" s="1431"/>
      <c r="AH158" s="1430"/>
      <c r="AI158" s="1429"/>
      <c r="AJ158" s="1429"/>
      <c r="AK158" s="1429"/>
      <c r="AL158" s="1428"/>
      <c r="AM158" s="1421"/>
      <c r="AN158" s="1432"/>
      <c r="AO158" s="1421"/>
      <c r="AP158" s="1431"/>
      <c r="AQ158" s="1430"/>
      <c r="AR158" s="1429"/>
      <c r="AS158" s="1429"/>
      <c r="AT158" s="1429"/>
      <c r="AU158" s="1428"/>
      <c r="AV158" s="1421"/>
      <c r="AW158" s="1427"/>
    </row>
    <row r="159" spans="2:49" ht="9.9499999999999993" customHeight="1">
      <c r="B159" s="4058"/>
      <c r="F159" s="1425"/>
      <c r="G159" s="1424"/>
      <c r="H159" s="1423"/>
      <c r="I159" s="1426"/>
      <c r="J159" s="1423"/>
      <c r="K159" s="1422"/>
      <c r="L159" s="1421"/>
      <c r="M159" s="1421"/>
      <c r="N159" s="1421"/>
      <c r="O159" s="1425"/>
      <c r="P159" s="1424"/>
      <c r="Q159" s="1423"/>
      <c r="R159" s="1423"/>
      <c r="S159" s="1423"/>
      <c r="T159" s="1422"/>
      <c r="U159" s="1421"/>
      <c r="V159" s="1421"/>
      <c r="W159" s="1421"/>
      <c r="X159" s="1425"/>
      <c r="Y159" s="1424"/>
      <c r="Z159" s="1423"/>
      <c r="AA159" s="1423"/>
      <c r="AB159" s="1423"/>
      <c r="AC159" s="1422"/>
      <c r="AD159" s="1421"/>
      <c r="AE159" s="1421"/>
      <c r="AF159" s="1421"/>
      <c r="AG159" s="1425"/>
      <c r="AH159" s="1424"/>
      <c r="AI159" s="1423"/>
      <c r="AJ159" s="1423"/>
      <c r="AK159" s="1423"/>
      <c r="AL159" s="1422"/>
      <c r="AM159" s="1421"/>
      <c r="AN159" s="1421"/>
      <c r="AO159" s="1421"/>
      <c r="AP159" s="1425"/>
      <c r="AQ159" s="1424"/>
      <c r="AR159" s="1423"/>
      <c r="AS159" s="1423"/>
      <c r="AT159" s="1423"/>
      <c r="AU159" s="1422"/>
      <c r="AV159" s="1421"/>
    </row>
    <row r="160" spans="2:49" ht="5.0999999999999996" customHeight="1">
      <c r="B160" s="1446"/>
      <c r="F160" s="1444"/>
      <c r="G160" s="1421"/>
      <c r="H160" s="1441"/>
      <c r="I160" s="1445"/>
      <c r="J160" s="1441"/>
      <c r="K160" s="1421"/>
      <c r="L160" s="1421"/>
      <c r="M160" s="1421"/>
      <c r="N160" s="1421"/>
      <c r="O160" s="1444"/>
      <c r="P160" s="1421"/>
      <c r="Q160" s="1441"/>
      <c r="R160" s="1441"/>
      <c r="S160" s="1441"/>
      <c r="T160" s="1421"/>
      <c r="U160" s="1421"/>
      <c r="V160" s="1421"/>
      <c r="W160" s="1421"/>
      <c r="X160" s="1444"/>
      <c r="Y160" s="1421"/>
      <c r="Z160" s="1441"/>
      <c r="AA160" s="1441"/>
      <c r="AB160" s="1441"/>
      <c r="AC160" s="1421"/>
      <c r="AD160" s="1421"/>
      <c r="AE160" s="1421"/>
      <c r="AF160" s="1421"/>
      <c r="AG160" s="1444"/>
      <c r="AH160" s="1421"/>
      <c r="AI160" s="1441"/>
      <c r="AJ160" s="1441"/>
      <c r="AK160" s="1441"/>
      <c r="AL160" s="1421"/>
      <c r="AM160" s="1421"/>
      <c r="AN160" s="1421"/>
      <c r="AO160" s="1421"/>
      <c r="AP160" s="1444"/>
      <c r="AQ160" s="1421"/>
      <c r="AR160" s="1441"/>
      <c r="AS160" s="1441"/>
      <c r="AT160" s="1441"/>
      <c r="AU160" s="1421"/>
      <c r="AV160" s="1421"/>
    </row>
    <row r="161" spans="2:59" ht="5.0999999999999996" customHeight="1">
      <c r="B161" s="1442"/>
      <c r="F161" s="1441"/>
      <c r="G161" s="1421"/>
      <c r="H161" s="1421"/>
      <c r="I161" s="1432"/>
      <c r="J161" s="1421"/>
      <c r="K161" s="1421"/>
      <c r="L161" s="1421"/>
      <c r="M161" s="1421"/>
      <c r="N161" s="1421"/>
      <c r="O161" s="1441"/>
      <c r="P161" s="1440"/>
      <c r="Q161" s="1440"/>
      <c r="R161" s="1443"/>
      <c r="S161" s="1440"/>
      <c r="T161" s="1440"/>
      <c r="U161" s="1421"/>
      <c r="V161" s="1421"/>
      <c r="W161" s="1421"/>
      <c r="X161" s="1441"/>
      <c r="Y161" s="1440"/>
      <c r="Z161" s="1440"/>
      <c r="AA161" s="1443"/>
      <c r="AB161" s="1440"/>
      <c r="AC161" s="1440"/>
      <c r="AD161" s="1421"/>
      <c r="AE161" s="1421"/>
      <c r="AF161" s="1421"/>
      <c r="AG161" s="1441"/>
      <c r="AH161" s="1440"/>
      <c r="AI161" s="1440"/>
      <c r="AJ161" s="1443"/>
      <c r="AK161" s="1440"/>
      <c r="AL161" s="1440"/>
      <c r="AM161" s="1421"/>
      <c r="AN161" s="1421"/>
      <c r="AO161" s="1421"/>
      <c r="AP161" s="1441"/>
      <c r="AQ161" s="1440"/>
      <c r="AR161" s="1440"/>
      <c r="AS161" s="1443"/>
      <c r="AT161" s="1440"/>
      <c r="AU161" s="1440"/>
      <c r="AV161" s="1421"/>
    </row>
    <row r="162" spans="2:59" ht="5.0999999999999996" customHeight="1">
      <c r="B162" s="1442"/>
      <c r="F162" s="1441"/>
      <c r="G162" s="1421"/>
      <c r="H162" s="1421"/>
      <c r="I162" s="1432"/>
      <c r="J162" s="1421"/>
      <c r="K162" s="1421"/>
      <c r="L162" s="1421"/>
      <c r="M162" s="1421"/>
      <c r="N162" s="1421"/>
      <c r="O162" s="1441"/>
      <c r="P162" s="1440"/>
      <c r="Q162" s="1440"/>
      <c r="R162" s="1440"/>
      <c r="S162" s="1440"/>
      <c r="T162" s="1440"/>
      <c r="U162" s="1421"/>
      <c r="V162" s="1421"/>
      <c r="W162" s="1421"/>
      <c r="X162" s="1441"/>
      <c r="Y162" s="1440"/>
      <c r="Z162" s="1440"/>
      <c r="AA162" s="1440"/>
      <c r="AB162" s="1440"/>
      <c r="AC162" s="1440"/>
      <c r="AD162" s="1421"/>
      <c r="AE162" s="1421"/>
      <c r="AF162" s="1421"/>
      <c r="AG162" s="1441"/>
      <c r="AH162" s="1440"/>
      <c r="AI162" s="1440"/>
      <c r="AJ162" s="1440"/>
      <c r="AK162" s="1440"/>
      <c r="AL162" s="1440"/>
      <c r="AM162" s="1421"/>
      <c r="AN162" s="1421"/>
      <c r="AO162" s="1421"/>
      <c r="AP162" s="1441"/>
      <c r="AQ162" s="1440"/>
      <c r="AR162" s="1440"/>
      <c r="AS162" s="1440"/>
      <c r="AT162" s="1440"/>
      <c r="AU162" s="1440"/>
      <c r="AV162" s="1421"/>
    </row>
    <row r="163" spans="2:59" ht="9.9499999999999993" customHeight="1">
      <c r="B163" s="4056">
        <v>27</v>
      </c>
      <c r="F163" s="1438"/>
      <c r="G163" s="1437"/>
      <c r="H163" s="1436"/>
      <c r="I163" s="1439"/>
      <c r="J163" s="1436"/>
      <c r="K163" s="1435"/>
      <c r="L163" s="1421"/>
      <c r="M163" s="1421"/>
      <c r="N163" s="1421"/>
      <c r="O163" s="1438"/>
      <c r="P163" s="1437"/>
      <c r="Q163" s="1436"/>
      <c r="R163" s="1436"/>
      <c r="S163" s="1436"/>
      <c r="T163" s="1435"/>
      <c r="U163" s="1421"/>
      <c r="V163" s="1421"/>
      <c r="W163" s="1421"/>
      <c r="X163" s="1438"/>
      <c r="Y163" s="1437"/>
      <c r="Z163" s="1436"/>
      <c r="AA163" s="1436"/>
      <c r="AB163" s="1436"/>
      <c r="AC163" s="1435"/>
      <c r="AD163" s="1421"/>
      <c r="AE163" s="1421"/>
      <c r="AF163" s="1421"/>
      <c r="AG163" s="1438"/>
      <c r="AH163" s="1437"/>
      <c r="AI163" s="1436"/>
      <c r="AJ163" s="1436"/>
      <c r="AK163" s="1436"/>
      <c r="AL163" s="1435"/>
      <c r="AM163" s="1421"/>
      <c r="AN163" s="1421"/>
      <c r="AO163" s="1421"/>
      <c r="AP163" s="1438"/>
      <c r="AQ163" s="1437"/>
      <c r="AR163" s="1436"/>
      <c r="AS163" s="1436"/>
      <c r="AT163" s="1436"/>
      <c r="AU163" s="1435"/>
      <c r="AV163" s="1421"/>
    </row>
    <row r="164" spans="2:59" ht="5.0999999999999996" customHeight="1">
      <c r="B164" s="4057"/>
      <c r="C164" s="1427"/>
      <c r="D164" s="1427"/>
      <c r="E164" s="1427"/>
      <c r="F164" s="1431"/>
      <c r="G164" s="1430"/>
      <c r="H164" s="1429"/>
      <c r="I164" s="1434"/>
      <c r="J164" s="1429"/>
      <c r="K164" s="1428"/>
      <c r="L164" s="1421"/>
      <c r="M164" s="1433"/>
      <c r="N164" s="1421"/>
      <c r="O164" s="1431"/>
      <c r="P164" s="1430"/>
      <c r="Q164" s="1429"/>
      <c r="R164" s="1429"/>
      <c r="S164" s="1429"/>
      <c r="T164" s="1428"/>
      <c r="U164" s="1421"/>
      <c r="V164" s="1433"/>
      <c r="W164" s="1421"/>
      <c r="X164" s="1431"/>
      <c r="Y164" s="1430"/>
      <c r="Z164" s="1429"/>
      <c r="AA164" s="1429"/>
      <c r="AB164" s="1429"/>
      <c r="AC164" s="1428"/>
      <c r="AD164" s="1421"/>
      <c r="AE164" s="1433"/>
      <c r="AF164" s="1421"/>
      <c r="AG164" s="1431"/>
      <c r="AH164" s="1430"/>
      <c r="AI164" s="1429"/>
      <c r="AJ164" s="1429"/>
      <c r="AK164" s="1429"/>
      <c r="AL164" s="1428"/>
      <c r="AM164" s="1421"/>
      <c r="AN164" s="1432"/>
      <c r="AO164" s="1421"/>
      <c r="AP164" s="1431"/>
      <c r="AQ164" s="1430"/>
      <c r="AR164" s="1429"/>
      <c r="AS164" s="1429"/>
      <c r="AT164" s="1429"/>
      <c r="AU164" s="1428"/>
      <c r="AV164" s="1421"/>
      <c r="AW164" s="1427"/>
    </row>
    <row r="165" spans="2:59" ht="9.9499999999999993" customHeight="1">
      <c r="B165" s="4058"/>
      <c r="F165" s="1425"/>
      <c r="G165" s="1424"/>
      <c r="H165" s="1423"/>
      <c r="I165" s="1426"/>
      <c r="J165" s="1423"/>
      <c r="K165" s="1422"/>
      <c r="L165" s="1421"/>
      <c r="M165" s="1421"/>
      <c r="N165" s="1421"/>
      <c r="O165" s="1425"/>
      <c r="P165" s="1424"/>
      <c r="Q165" s="1423"/>
      <c r="R165" s="1423"/>
      <c r="S165" s="1423"/>
      <c r="T165" s="1422"/>
      <c r="U165" s="1421"/>
      <c r="V165" s="1421"/>
      <c r="W165" s="1421"/>
      <c r="X165" s="1425"/>
      <c r="Y165" s="1424"/>
      <c r="Z165" s="1423"/>
      <c r="AA165" s="1423"/>
      <c r="AB165" s="1423"/>
      <c r="AC165" s="1422"/>
      <c r="AD165" s="1421"/>
      <c r="AE165" s="1421"/>
      <c r="AF165" s="1421"/>
      <c r="AG165" s="1425"/>
      <c r="AH165" s="1424"/>
      <c r="AI165" s="1423"/>
      <c r="AJ165" s="1423"/>
      <c r="AK165" s="1423"/>
      <c r="AL165" s="1422"/>
      <c r="AM165" s="1421"/>
      <c r="AN165" s="1421"/>
      <c r="AO165" s="1421"/>
      <c r="AP165" s="1425"/>
      <c r="AQ165" s="1424"/>
      <c r="AR165" s="1423"/>
      <c r="AS165" s="1423"/>
      <c r="AT165" s="1423"/>
      <c r="AU165" s="1422"/>
      <c r="AV165" s="1421"/>
    </row>
    <row r="166" spans="2:59" ht="5.0999999999999996" customHeight="1">
      <c r="B166" s="1446"/>
      <c r="F166" s="1444"/>
      <c r="G166" s="1421"/>
      <c r="H166" s="1441"/>
      <c r="I166" s="1445"/>
      <c r="J166" s="1441"/>
      <c r="K166" s="1421"/>
      <c r="L166" s="1421"/>
      <c r="M166" s="1421"/>
      <c r="N166" s="1421"/>
      <c r="O166" s="1444"/>
      <c r="P166" s="1421"/>
      <c r="Q166" s="1441"/>
      <c r="R166" s="1441"/>
      <c r="S166" s="1441"/>
      <c r="T166" s="1421"/>
      <c r="U166" s="1421"/>
      <c r="V166" s="1421"/>
      <c r="W166" s="1421"/>
      <c r="X166" s="1444"/>
      <c r="Y166" s="1421"/>
      <c r="Z166" s="1441"/>
      <c r="AA166" s="1441"/>
      <c r="AB166" s="1441"/>
      <c r="AC166" s="1421"/>
      <c r="AD166" s="1421"/>
      <c r="AE166" s="1421"/>
      <c r="AF166" s="1421"/>
      <c r="AG166" s="1444"/>
      <c r="AH166" s="1421"/>
      <c r="AI166" s="1441"/>
      <c r="AJ166" s="1441"/>
      <c r="AK166" s="1441"/>
      <c r="AL166" s="1421"/>
      <c r="AM166" s="1421"/>
      <c r="AN166" s="1421"/>
      <c r="AO166" s="1421"/>
      <c r="AP166" s="1444"/>
      <c r="AQ166" s="1421"/>
      <c r="AR166" s="1441"/>
      <c r="AS166" s="1441"/>
      <c r="AT166" s="1441"/>
      <c r="AU166" s="1421"/>
      <c r="AV166" s="1421"/>
    </row>
    <row r="167" spans="2:59" ht="5.0999999999999996" customHeight="1">
      <c r="B167" s="1442"/>
      <c r="F167" s="1441"/>
      <c r="G167" s="1421"/>
      <c r="H167" s="1421"/>
      <c r="I167" s="1432"/>
      <c r="J167" s="1421"/>
      <c r="K167" s="1421"/>
      <c r="L167" s="1421"/>
      <c r="M167" s="1421"/>
      <c r="N167" s="1421"/>
      <c r="O167" s="1441"/>
      <c r="P167" s="1440"/>
      <c r="Q167" s="1440"/>
      <c r="R167" s="1443"/>
      <c r="S167" s="1440"/>
      <c r="T167" s="1440"/>
      <c r="U167" s="1421"/>
      <c r="V167" s="1421"/>
      <c r="W167" s="1421"/>
      <c r="X167" s="1441"/>
      <c r="Y167" s="1440"/>
      <c r="Z167" s="1440"/>
      <c r="AA167" s="1443"/>
      <c r="AB167" s="1440"/>
      <c r="AC167" s="1440"/>
      <c r="AD167" s="1421"/>
      <c r="AE167" s="1421"/>
      <c r="AF167" s="1421"/>
      <c r="AG167" s="1441"/>
      <c r="AH167" s="1440"/>
      <c r="AI167" s="1440"/>
      <c r="AJ167" s="1443"/>
      <c r="AK167" s="1440"/>
      <c r="AL167" s="1440"/>
      <c r="AM167" s="1421"/>
      <c r="AN167" s="1421"/>
      <c r="AO167" s="1421"/>
      <c r="AP167" s="1441"/>
      <c r="AQ167" s="1440"/>
      <c r="AR167" s="1440"/>
      <c r="AS167" s="1443"/>
      <c r="AT167" s="1440"/>
      <c r="AU167" s="1440"/>
      <c r="AV167" s="1421"/>
    </row>
    <row r="168" spans="2:59" ht="5.0999999999999996" customHeight="1">
      <c r="B168" s="1442"/>
      <c r="F168" s="1441"/>
      <c r="G168" s="1421"/>
      <c r="H168" s="1421"/>
      <c r="I168" s="1432"/>
      <c r="J168" s="1421"/>
      <c r="K168" s="1421"/>
      <c r="L168" s="1421"/>
      <c r="M168" s="1421"/>
      <c r="N168" s="1421"/>
      <c r="O168" s="1441"/>
      <c r="P168" s="1440"/>
      <c r="Q168" s="1440"/>
      <c r="R168" s="1440"/>
      <c r="S168" s="1440"/>
      <c r="T168" s="1440"/>
      <c r="U168" s="1421"/>
      <c r="V168" s="1421"/>
      <c r="W168" s="1421"/>
      <c r="X168" s="1441"/>
      <c r="Y168" s="1440"/>
      <c r="Z168" s="1440"/>
      <c r="AA168" s="1440"/>
      <c r="AB168" s="1440"/>
      <c r="AC168" s="1440"/>
      <c r="AD168" s="1421"/>
      <c r="AE168" s="1421"/>
      <c r="AF168" s="1421"/>
      <c r="AG168" s="1441"/>
      <c r="AH168" s="1440"/>
      <c r="AI168" s="1440"/>
      <c r="AJ168" s="1440"/>
      <c r="AK168" s="1440"/>
      <c r="AL168" s="1440"/>
      <c r="AM168" s="1421"/>
      <c r="AN168" s="1421"/>
      <c r="AO168" s="1421"/>
      <c r="AP168" s="1441"/>
      <c r="AQ168" s="1440"/>
      <c r="AR168" s="1440"/>
      <c r="AS168" s="1440"/>
      <c r="AT168" s="1440"/>
      <c r="AU168" s="1440"/>
      <c r="AV168" s="1421"/>
    </row>
    <row r="169" spans="2:59" ht="9.9499999999999993" customHeight="1">
      <c r="B169" s="4056">
        <v>28</v>
      </c>
      <c r="F169" s="1438"/>
      <c r="G169" s="1437"/>
      <c r="H169" s="1436"/>
      <c r="I169" s="1439"/>
      <c r="J169" s="1436"/>
      <c r="K169" s="1435"/>
      <c r="L169" s="1421"/>
      <c r="M169" s="1421"/>
      <c r="N169" s="1421"/>
      <c r="O169" s="1438"/>
      <c r="P169" s="1437"/>
      <c r="Q169" s="1436"/>
      <c r="R169" s="1436"/>
      <c r="S169" s="1436"/>
      <c r="T169" s="1435"/>
      <c r="U169" s="1421"/>
      <c r="V169" s="1421"/>
      <c r="W169" s="1421"/>
      <c r="X169" s="1438"/>
      <c r="Y169" s="1437"/>
      <c r="Z169" s="1436"/>
      <c r="AA169" s="1436"/>
      <c r="AB169" s="1436"/>
      <c r="AC169" s="1435"/>
      <c r="AD169" s="1421"/>
      <c r="AE169" s="1421"/>
      <c r="AF169" s="1421"/>
      <c r="AG169" s="1438"/>
      <c r="AH169" s="1437"/>
      <c r="AI169" s="1436"/>
      <c r="AJ169" s="1436"/>
      <c r="AK169" s="1436"/>
      <c r="AL169" s="1435"/>
      <c r="AM169" s="1421"/>
      <c r="AN169" s="1421"/>
      <c r="AO169" s="1421"/>
      <c r="AP169" s="1438"/>
      <c r="AQ169" s="1437"/>
      <c r="AR169" s="1436"/>
      <c r="AS169" s="1436"/>
      <c r="AT169" s="1436"/>
      <c r="AU169" s="1435"/>
      <c r="AV169" s="1421"/>
    </row>
    <row r="170" spans="2:59" ht="5.0999999999999996" customHeight="1">
      <c r="B170" s="4057"/>
      <c r="C170" s="1427"/>
      <c r="D170" s="1427"/>
      <c r="E170" s="1427"/>
      <c r="F170" s="1431"/>
      <c r="G170" s="1430"/>
      <c r="H170" s="1429"/>
      <c r="I170" s="1434"/>
      <c r="J170" s="1429"/>
      <c r="K170" s="1428"/>
      <c r="L170" s="1421"/>
      <c r="M170" s="1433"/>
      <c r="N170" s="1421"/>
      <c r="O170" s="1431"/>
      <c r="P170" s="1430"/>
      <c r="Q170" s="1429"/>
      <c r="R170" s="1429"/>
      <c r="S170" s="1429"/>
      <c r="T170" s="1428"/>
      <c r="U170" s="1421"/>
      <c r="V170" s="1433"/>
      <c r="W170" s="1421"/>
      <c r="X170" s="1431"/>
      <c r="Y170" s="1430"/>
      <c r="Z170" s="1429"/>
      <c r="AA170" s="1429"/>
      <c r="AB170" s="1429"/>
      <c r="AC170" s="1428"/>
      <c r="AD170" s="1421"/>
      <c r="AE170" s="1432"/>
      <c r="AF170" s="1421"/>
      <c r="AG170" s="1431"/>
      <c r="AH170" s="1430"/>
      <c r="AI170" s="1429"/>
      <c r="AJ170" s="1429"/>
      <c r="AK170" s="1429"/>
      <c r="AL170" s="1428"/>
      <c r="AM170" s="1421"/>
      <c r="AN170" s="1432"/>
      <c r="AO170" s="1421"/>
      <c r="AP170" s="1431"/>
      <c r="AQ170" s="1430"/>
      <c r="AR170" s="1429"/>
      <c r="AS170" s="1429"/>
      <c r="AT170" s="1429"/>
      <c r="AU170" s="1428"/>
      <c r="AV170" s="1421"/>
      <c r="AW170" s="1427"/>
    </row>
    <row r="171" spans="2:59" ht="9.9499999999999993" customHeight="1">
      <c r="B171" s="4058"/>
      <c r="F171" s="1425"/>
      <c r="G171" s="1424"/>
      <c r="H171" s="1423"/>
      <c r="I171" s="1426"/>
      <c r="J171" s="1423"/>
      <c r="K171" s="1422"/>
      <c r="L171" s="1421"/>
      <c r="M171" s="1421"/>
      <c r="N171" s="1421"/>
      <c r="O171" s="1425"/>
      <c r="P171" s="1424"/>
      <c r="Q171" s="1423"/>
      <c r="R171" s="1423"/>
      <c r="S171" s="1423"/>
      <c r="T171" s="1422"/>
      <c r="U171" s="1421"/>
      <c r="V171" s="1421"/>
      <c r="W171" s="1421"/>
      <c r="X171" s="1425"/>
      <c r="Y171" s="1424"/>
      <c r="Z171" s="1423"/>
      <c r="AA171" s="1423"/>
      <c r="AB171" s="1423"/>
      <c r="AC171" s="1422"/>
      <c r="AD171" s="1421"/>
      <c r="AE171" s="1421"/>
      <c r="AF171" s="1421"/>
      <c r="AG171" s="1425"/>
      <c r="AH171" s="1424"/>
      <c r="AI171" s="1423"/>
      <c r="AJ171" s="1423"/>
      <c r="AK171" s="1423"/>
      <c r="AL171" s="1422"/>
      <c r="AM171" s="1421"/>
      <c r="AN171" s="1421"/>
      <c r="AO171" s="1421"/>
      <c r="AP171" s="1425"/>
      <c r="AQ171" s="1424"/>
      <c r="AR171" s="1423"/>
      <c r="AS171" s="1423"/>
      <c r="AT171" s="1423"/>
      <c r="AU171" s="1422"/>
      <c r="AV171" s="1421"/>
    </row>
    <row r="172" spans="2:59" ht="9.9499999999999993" customHeight="1">
      <c r="B172" s="1420"/>
      <c r="F172" s="1419"/>
      <c r="G172" s="1412"/>
      <c r="H172" s="1418"/>
      <c r="I172" s="1414"/>
      <c r="J172" s="1418"/>
      <c r="K172" s="1412"/>
      <c r="L172" s="1412"/>
      <c r="M172" s="1412"/>
      <c r="N172" s="1412"/>
      <c r="O172" s="1412"/>
      <c r="P172" s="1412"/>
      <c r="Q172" s="1412"/>
      <c r="R172" s="1414"/>
      <c r="S172" s="1412"/>
      <c r="T172" s="1412"/>
      <c r="U172" s="1412"/>
      <c r="V172" s="1412"/>
      <c r="W172" s="1412"/>
      <c r="X172" s="1412"/>
      <c r="Y172" s="1412"/>
      <c r="Z172" s="1412"/>
      <c r="AA172" s="1414"/>
      <c r="AB172" s="1412"/>
      <c r="AC172" s="1412"/>
      <c r="AD172" s="1412"/>
      <c r="AE172" s="1412"/>
      <c r="AF172" s="1412"/>
      <c r="AG172" s="1412"/>
      <c r="AH172" s="1412"/>
      <c r="AI172" s="1412"/>
      <c r="AJ172" s="1414"/>
      <c r="AK172" s="1412"/>
      <c r="AL172" s="1417"/>
      <c r="AM172" s="1417"/>
      <c r="AN172" s="1412"/>
      <c r="AO172" s="1412"/>
      <c r="AP172" s="1416"/>
      <c r="AQ172" s="1415"/>
      <c r="AR172" s="1412"/>
      <c r="AS172" s="1414"/>
      <c r="AT172" s="1412"/>
      <c r="AU172" s="1413"/>
      <c r="AV172" s="1412"/>
    </row>
    <row r="173" spans="2:59">
      <c r="AW173" s="1411"/>
    </row>
    <row r="174" spans="2:59" s="1408" customFormat="1" ht="15">
      <c r="G174" s="1410">
        <v>10</v>
      </c>
      <c r="K174" s="1410">
        <v>10</v>
      </c>
      <c r="P174" s="1410">
        <v>10</v>
      </c>
      <c r="T174" s="1410">
        <v>10</v>
      </c>
      <c r="Y174" s="1410">
        <v>10</v>
      </c>
      <c r="AC174" s="1410">
        <v>10</v>
      </c>
      <c r="AH174" s="1410">
        <v>10</v>
      </c>
      <c r="AL174" s="1410">
        <v>10</v>
      </c>
      <c r="AQ174" s="1410">
        <v>10</v>
      </c>
      <c r="AU174" s="1410">
        <v>10</v>
      </c>
      <c r="AX174" s="1409" t="s">
        <v>576</v>
      </c>
      <c r="AZ174" s="1406"/>
      <c r="BA174" s="1406"/>
      <c r="BB174" s="1406"/>
      <c r="BC174" s="1406"/>
      <c r="BD174" s="1406"/>
      <c r="BE174" s="1406"/>
      <c r="BF174" s="1406"/>
      <c r="BG174" s="1406"/>
    </row>
    <row r="175" spans="2:59" ht="11.25" customHeight="1"/>
    <row r="176" spans="2:59" ht="11.25" customHeight="1"/>
  </sheetData>
  <mergeCells count="98">
    <mergeCell ref="Y9:AC11"/>
    <mergeCell ref="AG9:AG11"/>
    <mergeCell ref="B2:J6"/>
    <mergeCell ref="K2:AK4"/>
    <mergeCell ref="AL2:AU2"/>
    <mergeCell ref="AL3:AU3"/>
    <mergeCell ref="AL4:AU4"/>
    <mergeCell ref="K5:AK6"/>
    <mergeCell ref="AL5:AU5"/>
    <mergeCell ref="AL6:AU6"/>
    <mergeCell ref="AH9:AL11"/>
    <mergeCell ref="AP9:AP11"/>
    <mergeCell ref="AQ9:AU11"/>
    <mergeCell ref="G13:K15"/>
    <mergeCell ref="O13:O15"/>
    <mergeCell ref="P13:T15"/>
    <mergeCell ref="X9:X11"/>
    <mergeCell ref="B9:B11"/>
    <mergeCell ref="F9:F11"/>
    <mergeCell ref="G9:K11"/>
    <mergeCell ref="O9:O11"/>
    <mergeCell ref="P9:T11"/>
    <mergeCell ref="B13:B15"/>
    <mergeCell ref="F13:F15"/>
    <mergeCell ref="B19:B21"/>
    <mergeCell ref="F19:F21"/>
    <mergeCell ref="G19:K21"/>
    <mergeCell ref="X19:X21"/>
    <mergeCell ref="Y19:AC21"/>
    <mergeCell ref="AG25:AG27"/>
    <mergeCell ref="AH25:AL27"/>
    <mergeCell ref="B31:B33"/>
    <mergeCell ref="F31:F33"/>
    <mergeCell ref="G31:K33"/>
    <mergeCell ref="AG31:AG33"/>
    <mergeCell ref="AH31:AL33"/>
    <mergeCell ref="B25:B27"/>
    <mergeCell ref="F25:F27"/>
    <mergeCell ref="G25:K27"/>
    <mergeCell ref="B37:B39"/>
    <mergeCell ref="F37:F39"/>
    <mergeCell ref="G37:K39"/>
    <mergeCell ref="AG37:AG39"/>
    <mergeCell ref="AH37:AL39"/>
    <mergeCell ref="B43:B45"/>
    <mergeCell ref="F43:F45"/>
    <mergeCell ref="G43:K45"/>
    <mergeCell ref="AG43:AG45"/>
    <mergeCell ref="AH43:AL45"/>
    <mergeCell ref="B49:B51"/>
    <mergeCell ref="X49:X51"/>
    <mergeCell ref="Y49:AC51"/>
    <mergeCell ref="AG49:AG51"/>
    <mergeCell ref="AH49:AL51"/>
    <mergeCell ref="B55:B57"/>
    <mergeCell ref="X55:X57"/>
    <mergeCell ref="Y55:AC57"/>
    <mergeCell ref="AG55:AG57"/>
    <mergeCell ref="AH55:AL57"/>
    <mergeCell ref="AQ61:AU63"/>
    <mergeCell ref="B67:B69"/>
    <mergeCell ref="F67:F69"/>
    <mergeCell ref="G67:K69"/>
    <mergeCell ref="AP67:AP69"/>
    <mergeCell ref="AQ67:AU69"/>
    <mergeCell ref="B61:B63"/>
    <mergeCell ref="F61:F63"/>
    <mergeCell ref="G61:K63"/>
    <mergeCell ref="F73:F75"/>
    <mergeCell ref="G73:K75"/>
    <mergeCell ref="Y91:AC93"/>
    <mergeCell ref="B97:B99"/>
    <mergeCell ref="AP61:AP63"/>
    <mergeCell ref="AP73:AP75"/>
    <mergeCell ref="AQ73:AU75"/>
    <mergeCell ref="B115:B117"/>
    <mergeCell ref="B85:B87"/>
    <mergeCell ref="F85:F87"/>
    <mergeCell ref="G85:K87"/>
    <mergeCell ref="B91:B93"/>
    <mergeCell ref="F91:F93"/>
    <mergeCell ref="G91:K93"/>
    <mergeCell ref="X91:X93"/>
    <mergeCell ref="B103:B105"/>
    <mergeCell ref="B109:B111"/>
    <mergeCell ref="B79:B81"/>
    <mergeCell ref="F79:F81"/>
    <mergeCell ref="G79:K81"/>
    <mergeCell ref="B73:B75"/>
    <mergeCell ref="B157:B159"/>
    <mergeCell ref="B163:B165"/>
    <mergeCell ref="B169:B171"/>
    <mergeCell ref="B121:B123"/>
    <mergeCell ref="B127:B129"/>
    <mergeCell ref="B133:B135"/>
    <mergeCell ref="B139:B141"/>
    <mergeCell ref="B145:B147"/>
    <mergeCell ref="B151:B153"/>
  </mergeCells>
  <printOptions horizontalCentered="1"/>
  <pageMargins left="0" right="0" top="0.19685039370078741" bottom="0.19685039370078741" header="0" footer="0"/>
  <pageSetup paperSize="8" scale="62" pageOrder="overThenDown" orientation="portrait" horizontalDpi="4294967293" r:id="rId1"/>
  <headerFooter alignWithMargins="0">
    <oddFooter>&amp;RImprimé le :&amp;D</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AD374F-5C92-4F29-9C16-AFDFC9F10FEE}">
  <dimension ref="B1:BU87"/>
  <sheetViews>
    <sheetView topLeftCell="A6" workbookViewId="0">
      <selection activeCell="AF26" sqref="AF26"/>
    </sheetView>
  </sheetViews>
  <sheetFormatPr baseColWidth="10" defaultRowHeight="15.75"/>
  <cols>
    <col min="1" max="1" width="5.7109375" style="1375" customWidth="1"/>
    <col min="2" max="3" width="11.7109375" style="1375" customWidth="1"/>
    <col min="4" max="4" width="7.42578125" style="1375" customWidth="1"/>
    <col min="5" max="5" width="7.7109375" style="1376" customWidth="1"/>
    <col min="6" max="6" width="7.7109375" style="1375" customWidth="1"/>
    <col min="7" max="7" width="7.7109375" style="1376" customWidth="1"/>
    <col min="8" max="8" width="7.7109375" style="1375" customWidth="1"/>
    <col min="9" max="13" width="7.7109375" style="1376" customWidth="1"/>
    <col min="14" max="14" width="11" style="1376" customWidth="1"/>
    <col min="15" max="31" width="7.7109375" style="1376" customWidth="1"/>
    <col min="32" max="32" width="16.85546875" style="1376" customWidth="1"/>
    <col min="33" max="53" width="7.7109375" style="1376" customWidth="1"/>
    <col min="54" max="54" width="15.5703125" style="1376" customWidth="1"/>
    <col min="55" max="63" width="7.7109375" style="1376" customWidth="1"/>
    <col min="64" max="64" width="14.28515625" style="1376" customWidth="1"/>
    <col min="65" max="69" width="7.7109375" style="1376" customWidth="1"/>
    <col min="70" max="70" width="20.5703125" style="1376" customWidth="1"/>
    <col min="71" max="71" width="7.7109375" style="1375" customWidth="1"/>
    <col min="72" max="16384" width="11.42578125" style="1375"/>
  </cols>
  <sheetData>
    <row r="1" spans="2:73" ht="12.75">
      <c r="E1" s="1375"/>
      <c r="G1" s="1375"/>
      <c r="I1" s="1375"/>
      <c r="J1" s="1375"/>
      <c r="K1" s="1375"/>
      <c r="L1" s="1375"/>
      <c r="M1" s="1375"/>
      <c r="N1" s="1375"/>
      <c r="O1" s="1375"/>
      <c r="P1" s="1375"/>
      <c r="Q1" s="1375"/>
      <c r="R1" s="1375"/>
      <c r="S1" s="1375"/>
      <c r="T1" s="1375"/>
      <c r="U1" s="1375"/>
      <c r="V1" s="1375"/>
      <c r="W1" s="1375"/>
      <c r="X1" s="1375"/>
      <c r="Y1" s="1375"/>
      <c r="Z1" s="1375"/>
      <c r="AA1" s="1375"/>
      <c r="AB1" s="1375"/>
      <c r="AC1" s="1375"/>
      <c r="AD1" s="1375"/>
      <c r="AE1" s="1375"/>
      <c r="AF1" s="1375"/>
      <c r="AG1" s="1375"/>
      <c r="AH1" s="1375"/>
      <c r="AI1" s="1375"/>
      <c r="AJ1" s="1375"/>
      <c r="AK1" s="1375"/>
      <c r="AL1" s="1375"/>
      <c r="AM1" s="1375"/>
      <c r="AN1" s="1375"/>
      <c r="AO1" s="1375"/>
      <c r="AP1" s="1375"/>
      <c r="AQ1" s="1375"/>
      <c r="AR1" s="1375"/>
      <c r="AS1" s="1375"/>
      <c r="AT1" s="1375"/>
      <c r="AU1" s="1375"/>
      <c r="AV1" s="1375"/>
      <c r="AW1" s="1375"/>
      <c r="AX1" s="1375"/>
      <c r="AY1" s="1375"/>
      <c r="AZ1" s="1375"/>
      <c r="BA1" s="1375"/>
      <c r="BB1" s="1375"/>
      <c r="BC1" s="1375"/>
      <c r="BD1" s="1375"/>
      <c r="BE1" s="1375"/>
      <c r="BF1" s="1375"/>
      <c r="BG1" s="1375"/>
      <c r="BH1" s="1375"/>
      <c r="BI1" s="1375"/>
      <c r="BJ1" s="1375"/>
      <c r="BK1" s="1375"/>
      <c r="BL1" s="1375"/>
      <c r="BM1" s="1375"/>
      <c r="BN1" s="1375"/>
      <c r="BO1" s="1375"/>
      <c r="BP1" s="1375"/>
      <c r="BQ1" s="1375"/>
      <c r="BR1" s="1375"/>
    </row>
    <row r="2" spans="2:73" ht="36">
      <c r="B2" s="1383" t="s">
        <v>535</v>
      </c>
      <c r="E2" s="1375"/>
      <c r="G2" s="1375"/>
      <c r="I2" s="1375"/>
      <c r="J2" s="1375"/>
      <c r="K2" s="1375"/>
      <c r="L2" s="1375"/>
      <c r="M2" s="1375"/>
      <c r="N2" s="1375"/>
      <c r="O2" s="1375"/>
      <c r="P2" s="1375"/>
      <c r="Q2" s="1375"/>
      <c r="R2" s="1375"/>
      <c r="S2" s="1375"/>
      <c r="T2" s="1375"/>
      <c r="U2" s="1375"/>
      <c r="V2" s="1375"/>
      <c r="W2" s="1375"/>
      <c r="X2" s="1375"/>
      <c r="Y2" s="1375"/>
      <c r="Z2" s="1375"/>
      <c r="AA2" s="1375"/>
      <c r="AB2" s="1375"/>
      <c r="AC2" s="1375"/>
      <c r="AD2" s="1375"/>
      <c r="AE2" s="1375"/>
      <c r="AF2" s="1375"/>
      <c r="AG2" s="1375"/>
      <c r="AH2" s="1375"/>
      <c r="AI2" s="1375"/>
      <c r="AJ2" s="1375"/>
      <c r="AK2" s="1375"/>
      <c r="AL2" s="1375"/>
      <c r="AM2" s="1375"/>
      <c r="AN2" s="1375"/>
      <c r="AO2" s="1375"/>
      <c r="AP2" s="1375"/>
      <c r="AQ2" s="1375"/>
      <c r="AR2" s="1375"/>
      <c r="AS2" s="1375"/>
      <c r="AT2" s="1375"/>
      <c r="AU2" s="1375"/>
      <c r="AV2" s="1375"/>
      <c r="AW2" s="1375"/>
      <c r="AX2" s="1375"/>
      <c r="AY2" s="1375"/>
      <c r="AZ2" s="1375"/>
      <c r="BA2" s="1375"/>
      <c r="BB2" s="1375"/>
      <c r="BC2" s="1375"/>
      <c r="BD2" s="1375"/>
      <c r="BE2" s="1375"/>
      <c r="BF2" s="1375"/>
      <c r="BG2" s="1375"/>
      <c r="BH2" s="1375"/>
      <c r="BI2" s="1375"/>
      <c r="BJ2" s="1375"/>
      <c r="BK2" s="1375"/>
      <c r="BL2" s="1375"/>
      <c r="BM2" s="1375"/>
      <c r="BN2" s="1375"/>
      <c r="BO2" s="1375"/>
      <c r="BP2" s="1375"/>
      <c r="BQ2" s="1375"/>
      <c r="BR2" s="1375"/>
    </row>
    <row r="3" spans="2:73" ht="36">
      <c r="B3" s="1383" t="s">
        <v>743</v>
      </c>
      <c r="E3" s="1375"/>
      <c r="G3" s="1375"/>
      <c r="I3" s="1375"/>
      <c r="J3" s="1375"/>
      <c r="K3" s="1375"/>
      <c r="L3" s="1375"/>
      <c r="M3" s="1375"/>
      <c r="N3" s="1375"/>
      <c r="O3" s="1375"/>
      <c r="P3" s="1375"/>
      <c r="Q3" s="1375"/>
      <c r="R3" s="1375"/>
      <c r="S3" s="1375"/>
      <c r="T3" s="1375"/>
      <c r="U3" s="1375"/>
      <c r="V3" s="1375"/>
      <c r="W3" s="1375"/>
      <c r="X3" s="1375"/>
      <c r="Y3" s="1375"/>
      <c r="Z3" s="1375"/>
      <c r="AA3" s="1375"/>
      <c r="AB3" s="1375"/>
      <c r="AC3" s="1375"/>
      <c r="AD3" s="1375"/>
      <c r="AE3" s="1375"/>
      <c r="AF3" s="1375"/>
      <c r="AG3" s="1375"/>
      <c r="AH3" s="1375"/>
      <c r="AI3" s="1375"/>
      <c r="AJ3" s="1375"/>
      <c r="AK3" s="1375"/>
      <c r="AL3" s="1375"/>
      <c r="AM3" s="1375"/>
      <c r="AN3" s="1375"/>
      <c r="AO3" s="1375"/>
      <c r="AP3" s="1375"/>
      <c r="AQ3" s="1375"/>
      <c r="AR3" s="1375"/>
      <c r="AS3" s="1375"/>
      <c r="AT3" s="1375"/>
      <c r="AU3" s="1375"/>
      <c r="AV3" s="1375"/>
      <c r="AW3" s="1375"/>
      <c r="AX3" s="1375"/>
      <c r="AY3" s="1375"/>
      <c r="AZ3" s="1375"/>
      <c r="BA3" s="1375"/>
      <c r="BB3" s="1375"/>
      <c r="BC3" s="1375"/>
      <c r="BD3" s="1375"/>
      <c r="BE3" s="1375"/>
      <c r="BF3" s="1375"/>
      <c r="BG3" s="1375"/>
      <c r="BH3" s="1375"/>
      <c r="BI3" s="1375"/>
      <c r="BJ3" s="1375"/>
      <c r="BK3" s="1375"/>
      <c r="BL3" s="1375"/>
      <c r="BM3" s="1375"/>
      <c r="BN3" s="1375"/>
      <c r="BO3" s="1375"/>
      <c r="BP3" s="1375"/>
      <c r="BQ3" s="1375"/>
      <c r="BR3" s="1375"/>
    </row>
    <row r="4" spans="2:73" ht="36">
      <c r="B4" s="1383" t="s">
        <v>726</v>
      </c>
      <c r="E4" s="1375"/>
      <c r="G4" s="1375"/>
      <c r="I4" s="1375"/>
      <c r="J4" s="1375"/>
      <c r="K4" s="1375"/>
      <c r="L4" s="1375"/>
      <c r="M4" s="1375"/>
      <c r="N4" s="1375"/>
      <c r="O4" s="1375"/>
      <c r="P4" s="1375"/>
      <c r="Q4" s="1375"/>
      <c r="R4" s="1375"/>
      <c r="S4" s="1375"/>
      <c r="T4" s="1375"/>
      <c r="U4" s="1375"/>
      <c r="V4" s="1375"/>
      <c r="W4" s="1375"/>
      <c r="X4" s="1375"/>
      <c r="Y4" s="1375"/>
      <c r="Z4" s="1375"/>
      <c r="AA4" s="1375"/>
      <c r="AB4" s="1375"/>
      <c r="AC4" s="1375"/>
      <c r="AD4" s="1375"/>
      <c r="AE4" s="1375"/>
      <c r="AF4" s="1375"/>
      <c r="AG4" s="1375"/>
      <c r="AH4" s="1375"/>
      <c r="AI4" s="1375"/>
      <c r="AJ4" s="1375"/>
      <c r="AK4" s="1375"/>
      <c r="AL4" s="1375"/>
      <c r="AM4" s="1375"/>
      <c r="AN4" s="1375"/>
      <c r="AO4" s="1375"/>
      <c r="AP4" s="1375"/>
      <c r="AQ4" s="1375"/>
      <c r="AR4" s="1375"/>
      <c r="AS4" s="1375"/>
      <c r="AT4" s="1375"/>
      <c r="AU4" s="1375"/>
      <c r="AV4" s="1375"/>
      <c r="AW4" s="1375"/>
      <c r="AX4" s="1375"/>
      <c r="AY4" s="1375"/>
      <c r="AZ4" s="1375"/>
      <c r="BA4" s="1375"/>
      <c r="BB4" s="1375"/>
      <c r="BC4" s="1375"/>
      <c r="BD4" s="1375"/>
      <c r="BE4" s="1375"/>
      <c r="BF4" s="1375"/>
      <c r="BG4" s="1375"/>
      <c r="BH4" s="1375"/>
      <c r="BI4" s="1375"/>
      <c r="BJ4" s="1375"/>
      <c r="BK4" s="1375"/>
      <c r="BL4" s="1375"/>
      <c r="BM4" s="1375"/>
      <c r="BN4" s="1375"/>
      <c r="BO4" s="1375"/>
      <c r="BP4" s="1375"/>
      <c r="BQ4" s="1375"/>
      <c r="BR4" s="1375"/>
    </row>
    <row r="5" spans="2:73" ht="28.5">
      <c r="B5" s="1405" t="s">
        <v>725</v>
      </c>
      <c r="E5" s="1375"/>
      <c r="G5" s="1375"/>
      <c r="I5" s="1375"/>
      <c r="J5" s="1375"/>
      <c r="K5" s="1375"/>
      <c r="L5" s="1375"/>
      <c r="M5" s="1375"/>
      <c r="N5" s="1375"/>
      <c r="O5" s="1375"/>
      <c r="P5" s="1375"/>
      <c r="Q5" s="1375"/>
      <c r="R5" s="1375"/>
      <c r="S5" s="1375"/>
      <c r="T5" s="1375"/>
      <c r="U5" s="1375"/>
      <c r="V5" s="1375"/>
      <c r="W5" s="1375"/>
      <c r="X5" s="1375"/>
      <c r="Y5" s="1375"/>
      <c r="Z5" s="1375"/>
      <c r="AA5" s="1375"/>
      <c r="AB5" s="1375"/>
      <c r="AC5" s="1375"/>
      <c r="AD5" s="1375"/>
      <c r="AE5" s="1375"/>
      <c r="AF5" s="1375"/>
      <c r="AG5" s="1375"/>
      <c r="AH5" s="1375"/>
      <c r="AI5" s="1375"/>
      <c r="AJ5" s="1375"/>
      <c r="AK5" s="1375"/>
      <c r="AL5" s="1375"/>
      <c r="AM5" s="1375"/>
      <c r="AN5" s="1375"/>
      <c r="AO5" s="1375"/>
      <c r="AP5" s="1375"/>
      <c r="AQ5" s="1375"/>
      <c r="AR5" s="1375"/>
      <c r="AS5" s="1375"/>
      <c r="AT5" s="1375"/>
      <c r="AU5" s="1375"/>
      <c r="AV5" s="1375"/>
      <c r="AW5" s="1375"/>
      <c r="AX5" s="1375"/>
      <c r="AY5" s="1375"/>
      <c r="AZ5" s="1375"/>
      <c r="BA5" s="1375"/>
      <c r="BB5" s="1375"/>
      <c r="BC5" s="1375"/>
      <c r="BD5" s="1375"/>
      <c r="BE5" s="1375"/>
      <c r="BF5" s="1375"/>
      <c r="BG5" s="1375"/>
      <c r="BH5" s="1375"/>
      <c r="BI5" s="1375"/>
      <c r="BJ5" s="1375"/>
      <c r="BK5" s="1375"/>
      <c r="BL5" s="1375"/>
      <c r="BM5" s="1375"/>
      <c r="BN5" s="1375"/>
      <c r="BO5" s="1375"/>
      <c r="BP5" s="1375"/>
      <c r="BQ5" s="1375"/>
      <c r="BR5" s="1375"/>
    </row>
    <row r="6" spans="2:73" ht="28.5">
      <c r="B6" s="1405" t="s">
        <v>723</v>
      </c>
      <c r="E6" s="1375"/>
      <c r="G6" s="1375"/>
      <c r="I6" s="1375"/>
      <c r="J6" s="1375"/>
      <c r="K6" s="1375"/>
      <c r="L6" s="1375"/>
      <c r="M6" s="1375"/>
      <c r="N6" s="1375"/>
      <c r="O6" s="1375"/>
      <c r="P6" s="1375"/>
      <c r="Q6" s="1375"/>
      <c r="R6" s="1375"/>
      <c r="S6" s="1375"/>
      <c r="T6" s="1375"/>
      <c r="U6" s="1375"/>
      <c r="V6" s="1375"/>
      <c r="W6" s="1375"/>
      <c r="X6" s="1375"/>
      <c r="Y6" s="1375"/>
      <c r="Z6" s="1375"/>
      <c r="AA6" s="1375"/>
      <c r="AB6" s="1375"/>
      <c r="AC6" s="1375"/>
      <c r="AD6" s="1375"/>
      <c r="AE6" s="1375"/>
      <c r="AF6" s="1375"/>
      <c r="AG6" s="1375"/>
      <c r="AH6" s="1375"/>
      <c r="AI6" s="1375"/>
      <c r="AJ6" s="1375"/>
      <c r="AK6" s="1375"/>
      <c r="AL6" s="1375"/>
      <c r="AM6" s="1375"/>
      <c r="AN6" s="1375"/>
      <c r="AO6" s="1375"/>
      <c r="AP6" s="1375"/>
      <c r="AQ6" s="1375"/>
      <c r="AR6" s="1375"/>
      <c r="AS6" s="1375"/>
      <c r="AT6" s="1375"/>
      <c r="AU6" s="1375"/>
      <c r="AV6" s="1375"/>
      <c r="AW6" s="1375"/>
      <c r="AX6" s="1375"/>
      <c r="AY6" s="1375"/>
      <c r="AZ6" s="1375"/>
      <c r="BA6" s="1375"/>
      <c r="BB6" s="1375"/>
      <c r="BC6" s="1375"/>
      <c r="BD6" s="1375"/>
      <c r="BE6" s="1375"/>
      <c r="BF6" s="1375"/>
      <c r="BG6" s="1375"/>
      <c r="BH6" s="1375"/>
      <c r="BI6" s="1375"/>
      <c r="BJ6" s="1375"/>
      <c r="BK6" s="1375"/>
      <c r="BL6" s="1375"/>
      <c r="BM6" s="1375"/>
      <c r="BN6" s="1375"/>
      <c r="BO6" s="1375"/>
      <c r="BP6" s="1375"/>
      <c r="BQ6" s="1375"/>
      <c r="BR6" s="1375"/>
    </row>
    <row r="7" spans="2:73" ht="28.5">
      <c r="B7" s="1405" t="s">
        <v>722</v>
      </c>
      <c r="E7" s="1375"/>
      <c r="G7" s="1375"/>
      <c r="I7" s="1375"/>
      <c r="J7" s="1375"/>
      <c r="K7" s="1375"/>
      <c r="L7" s="1375"/>
      <c r="M7" s="1375"/>
      <c r="N7" s="1375"/>
      <c r="O7" s="1375"/>
      <c r="P7" s="1375"/>
      <c r="Q7" s="1375"/>
      <c r="R7" s="1375"/>
      <c r="S7" s="1375"/>
      <c r="T7" s="1375"/>
      <c r="U7" s="1375"/>
      <c r="V7" s="1375"/>
      <c r="W7" s="1375"/>
      <c r="X7" s="1375"/>
      <c r="Y7" s="1375"/>
      <c r="Z7" s="1375"/>
      <c r="AA7" s="1375"/>
      <c r="AB7" s="1375"/>
      <c r="AC7" s="1375"/>
      <c r="AD7" s="1375"/>
      <c r="AE7" s="1375"/>
      <c r="AF7" s="1375"/>
      <c r="AG7" s="1375"/>
      <c r="AH7" s="1375"/>
      <c r="AI7" s="1375"/>
      <c r="AJ7" s="1375"/>
      <c r="AK7" s="1375"/>
      <c r="AL7" s="1375"/>
      <c r="AM7" s="1375"/>
      <c r="AN7" s="1375"/>
      <c r="AO7" s="1375"/>
      <c r="AP7" s="1375"/>
      <c r="AQ7" s="1375"/>
      <c r="AR7" s="1375"/>
      <c r="AS7" s="1375"/>
      <c r="AT7" s="1375"/>
      <c r="AU7" s="1375"/>
      <c r="AV7" s="1375"/>
      <c r="AW7" s="1375"/>
      <c r="AX7" s="1375"/>
      <c r="AY7" s="1375"/>
      <c r="AZ7" s="1375"/>
      <c r="BA7" s="1375"/>
      <c r="BB7" s="1375"/>
      <c r="BC7" s="1375"/>
      <c r="BD7" s="1375"/>
      <c r="BE7" s="1375"/>
      <c r="BF7" s="1375"/>
      <c r="BG7" s="1375"/>
      <c r="BH7" s="1375"/>
      <c r="BI7" s="1375"/>
      <c r="BJ7" s="1375"/>
      <c r="BK7" s="1375"/>
      <c r="BL7" s="1375"/>
      <c r="BM7" s="1375"/>
      <c r="BN7" s="1375"/>
      <c r="BO7" s="1375"/>
      <c r="BP7" s="1375"/>
      <c r="BQ7" s="1375"/>
      <c r="BR7" s="1375"/>
    </row>
    <row r="8" spans="2:73" ht="28.5">
      <c r="B8" s="1405" t="s">
        <v>720</v>
      </c>
      <c r="E8" s="1375"/>
      <c r="G8" s="1375"/>
      <c r="I8" s="1375"/>
      <c r="J8" s="1375"/>
      <c r="K8" s="1375"/>
      <c r="L8" s="1375"/>
      <c r="M8" s="1375"/>
      <c r="N8" s="1375"/>
      <c r="O8" s="1375"/>
      <c r="P8" s="1375"/>
      <c r="Q8" s="1375"/>
      <c r="R8" s="1375"/>
      <c r="S8" s="1375"/>
      <c r="T8" s="1375"/>
      <c r="U8" s="1375"/>
      <c r="V8" s="1375"/>
      <c r="W8" s="1375"/>
      <c r="X8" s="1375"/>
      <c r="Y8" s="1375"/>
      <c r="Z8" s="1375"/>
      <c r="AA8" s="1375"/>
      <c r="AB8" s="1375"/>
      <c r="AC8" s="1375"/>
      <c r="AD8" s="1375"/>
      <c r="AE8" s="1375"/>
      <c r="AF8" s="1375"/>
      <c r="AG8" s="1375"/>
      <c r="AH8" s="1375"/>
      <c r="AI8" s="1375"/>
      <c r="AJ8" s="1375"/>
      <c r="AK8" s="1375"/>
      <c r="AL8" s="1375"/>
      <c r="AM8" s="1375"/>
      <c r="AN8" s="1375"/>
      <c r="AO8" s="1375"/>
      <c r="AP8" s="1375"/>
      <c r="AQ8" s="1375"/>
      <c r="AR8" s="1375"/>
      <c r="AS8" s="1375"/>
      <c r="AT8" s="1375"/>
      <c r="AU8" s="1375"/>
      <c r="AV8" s="1375"/>
      <c r="AW8" s="1375"/>
      <c r="AX8" s="1375"/>
      <c r="AY8" s="1375"/>
      <c r="AZ8" s="1375"/>
      <c r="BA8" s="1375"/>
      <c r="BB8" s="1375"/>
      <c r="BC8" s="1375"/>
      <c r="BD8" s="1375"/>
      <c r="BE8" s="1375"/>
      <c r="BF8" s="1375"/>
      <c r="BG8" s="1375"/>
      <c r="BH8" s="1375"/>
      <c r="BI8" s="1375"/>
      <c r="BJ8" s="1375"/>
      <c r="BK8" s="1375"/>
      <c r="BL8" s="1375"/>
      <c r="BM8" s="1375"/>
      <c r="BN8" s="1375"/>
      <c r="BO8" s="1375"/>
      <c r="BP8" s="1375"/>
      <c r="BQ8" s="1375"/>
      <c r="BR8" s="1375"/>
    </row>
    <row r="9" spans="2:73" ht="28.5">
      <c r="B9" s="1405" t="s">
        <v>719</v>
      </c>
      <c r="E9" s="1375"/>
      <c r="G9" s="1375"/>
      <c r="I9" s="1375"/>
      <c r="J9" s="1375"/>
      <c r="K9" s="1375"/>
      <c r="L9" s="1375"/>
      <c r="M9" s="1375"/>
      <c r="N9" s="1375"/>
      <c r="O9" s="1375"/>
      <c r="P9" s="1375"/>
      <c r="Q9" s="1375"/>
      <c r="R9" s="1375"/>
      <c r="S9" s="1375"/>
      <c r="T9" s="1375"/>
      <c r="U9" s="1375"/>
      <c r="V9" s="1375"/>
      <c r="W9" s="1375"/>
      <c r="X9" s="1375"/>
      <c r="Y9" s="1375"/>
      <c r="Z9" s="1375"/>
      <c r="AA9" s="1375"/>
      <c r="AB9" s="1375"/>
      <c r="AC9" s="1375"/>
      <c r="AD9" s="1375"/>
      <c r="AE9" s="1375"/>
      <c r="AF9" s="1375"/>
      <c r="AG9" s="1375"/>
      <c r="AH9" s="1375"/>
      <c r="AI9" s="1375"/>
      <c r="AJ9" s="1375"/>
      <c r="AK9" s="1375"/>
      <c r="AL9" s="1375"/>
      <c r="AM9" s="1375"/>
      <c r="AN9" s="1375"/>
      <c r="AO9" s="1375"/>
      <c r="AP9" s="1375"/>
      <c r="AQ9" s="1375"/>
      <c r="AR9" s="1375"/>
      <c r="AS9" s="1375"/>
      <c r="AT9" s="1375"/>
      <c r="AU9" s="1375"/>
      <c r="AV9" s="1375"/>
      <c r="AW9" s="1375"/>
      <c r="AX9" s="1375"/>
      <c r="AY9" s="1375"/>
      <c r="AZ9" s="1375"/>
      <c r="BA9" s="1375"/>
      <c r="BB9" s="1375"/>
      <c r="BC9" s="1375"/>
      <c r="BD9" s="1375"/>
      <c r="BE9" s="1375"/>
      <c r="BF9" s="1375"/>
      <c r="BG9" s="1375"/>
      <c r="BH9" s="1375"/>
      <c r="BI9" s="1375"/>
      <c r="BJ9" s="1375"/>
      <c r="BK9" s="1375"/>
      <c r="BL9" s="1375"/>
      <c r="BM9" s="1375"/>
      <c r="BN9" s="1375"/>
      <c r="BO9" s="1375"/>
      <c r="BP9" s="1375"/>
      <c r="BQ9" s="1375"/>
      <c r="BR9" s="1375"/>
    </row>
    <row r="10" spans="2:73" ht="28.5">
      <c r="B10" s="1405" t="s">
        <v>717</v>
      </c>
      <c r="E10" s="1375"/>
      <c r="G10" s="1375"/>
      <c r="I10" s="1375"/>
      <c r="J10" s="1375"/>
      <c r="K10" s="1375"/>
      <c r="L10" s="1375"/>
      <c r="M10" s="1375"/>
      <c r="N10" s="1375"/>
      <c r="O10" s="1375"/>
      <c r="P10" s="1375"/>
      <c r="Q10" s="1375"/>
      <c r="R10" s="1375"/>
      <c r="S10" s="1375"/>
      <c r="T10" s="1375"/>
      <c r="U10" s="1375"/>
      <c r="V10" s="1375"/>
      <c r="W10" s="1375"/>
      <c r="X10" s="1375"/>
      <c r="Y10" s="1375"/>
      <c r="Z10" s="1375"/>
      <c r="AA10" s="1375"/>
      <c r="AB10" s="1375"/>
      <c r="AC10" s="1375"/>
      <c r="AD10" s="1375"/>
      <c r="AE10" s="1375"/>
      <c r="AF10" s="1375"/>
      <c r="AG10" s="1375"/>
      <c r="AH10" s="1375"/>
      <c r="AI10" s="1375"/>
      <c r="AJ10" s="1375"/>
      <c r="AK10" s="1375"/>
      <c r="AL10" s="1375"/>
      <c r="AM10" s="1375"/>
      <c r="AN10" s="1375"/>
      <c r="AO10" s="1375"/>
      <c r="AP10" s="1375"/>
      <c r="AQ10" s="1375"/>
      <c r="AR10" s="1375"/>
      <c r="AS10" s="1375"/>
      <c r="AT10" s="1375"/>
      <c r="AU10" s="1375"/>
      <c r="AV10" s="1375"/>
      <c r="AW10" s="1375"/>
      <c r="AX10" s="1375"/>
      <c r="AY10" s="1375"/>
      <c r="AZ10" s="1375"/>
      <c r="BA10" s="1375"/>
      <c r="BB10" s="1375"/>
      <c r="BC10" s="1375"/>
      <c r="BD10" s="1375"/>
      <c r="BE10" s="1375"/>
      <c r="BF10" s="1375"/>
      <c r="BG10" s="1375"/>
      <c r="BH10" s="1375"/>
      <c r="BI10" s="1375"/>
      <c r="BJ10" s="1375"/>
      <c r="BK10" s="1375"/>
      <c r="BL10" s="1375"/>
      <c r="BM10" s="1375"/>
      <c r="BN10" s="1375"/>
      <c r="BO10" s="1375"/>
      <c r="BP10" s="1375"/>
      <c r="BQ10" s="1375"/>
      <c r="BR10" s="1375"/>
    </row>
    <row r="11" spans="2:73" ht="12.75">
      <c r="E11" s="1375"/>
      <c r="G11" s="1375"/>
      <c r="I11" s="1375"/>
      <c r="J11" s="1375"/>
      <c r="K11" s="1375"/>
      <c r="L11" s="1375"/>
      <c r="M11" s="1375"/>
      <c r="N11" s="1375"/>
      <c r="O11" s="1375"/>
      <c r="P11" s="1375"/>
      <c r="Q11" s="1375"/>
      <c r="R11" s="1375"/>
      <c r="S11" s="1375"/>
      <c r="T11" s="1375"/>
      <c r="U11" s="1375"/>
      <c r="V11" s="1375"/>
      <c r="W11" s="1375"/>
      <c r="X11" s="1375"/>
      <c r="Y11" s="1375"/>
      <c r="Z11" s="1375"/>
      <c r="AA11" s="1375"/>
      <c r="AB11" s="1375"/>
      <c r="AC11" s="1375"/>
      <c r="AD11" s="1375"/>
      <c r="AE11" s="1375"/>
      <c r="AF11" s="1375"/>
      <c r="AG11" s="1375"/>
      <c r="AH11" s="1375"/>
      <c r="AI11" s="1375"/>
      <c r="AJ11" s="1375"/>
      <c r="AK11" s="1375"/>
      <c r="AL11" s="1375"/>
      <c r="AM11" s="1375"/>
      <c r="AN11" s="1375"/>
      <c r="AO11" s="1375"/>
      <c r="AP11" s="1375"/>
      <c r="AQ11" s="1375"/>
      <c r="AR11" s="1375"/>
      <c r="AS11" s="1375"/>
      <c r="AT11" s="1375"/>
      <c r="AU11" s="1375"/>
      <c r="AV11" s="1375"/>
      <c r="AW11" s="1375"/>
      <c r="AX11" s="1375"/>
      <c r="AY11" s="1375"/>
      <c r="AZ11" s="1375"/>
      <c r="BA11" s="1375"/>
      <c r="BB11" s="1375"/>
      <c r="BC11" s="1375"/>
      <c r="BD11" s="1375"/>
      <c r="BE11" s="1375"/>
      <c r="BF11" s="1375"/>
      <c r="BG11" s="1375"/>
      <c r="BH11" s="1375"/>
      <c r="BI11" s="1375"/>
      <c r="BJ11" s="1375"/>
      <c r="BK11" s="1375"/>
      <c r="BL11" s="1375"/>
      <c r="BM11" s="1375"/>
      <c r="BN11" s="1375"/>
      <c r="BO11" s="1375"/>
      <c r="BP11" s="1375"/>
      <c r="BQ11" s="1375"/>
      <c r="BR11" s="1375"/>
    </row>
    <row r="12" spans="2:73">
      <c r="E12" s="1279"/>
      <c r="F12" s="1279"/>
      <c r="G12" s="1279"/>
      <c r="H12" s="1279"/>
      <c r="I12" s="1279"/>
      <c r="J12" s="1279"/>
      <c r="K12" s="1279"/>
      <c r="L12" s="1279"/>
      <c r="M12" s="1279"/>
      <c r="N12" s="1279"/>
      <c r="O12" s="1402" t="str">
        <f>O15</f>
        <v>ACCOMPAGNEMENTS</v>
      </c>
      <c r="P12" s="1279"/>
      <c r="Q12" s="1279"/>
      <c r="R12" s="1279"/>
      <c r="S12" s="1404" t="str">
        <f>S15</f>
        <v>PREPARATIONS CHAUDES</v>
      </c>
      <c r="T12" s="1279"/>
      <c r="U12" s="1279"/>
      <c r="V12" s="1279"/>
      <c r="W12" s="1403" t="str">
        <f>W15</f>
        <v>CRUDITES</v>
      </c>
      <c r="X12" s="1279"/>
      <c r="Y12" s="1279"/>
      <c r="Z12" s="1279"/>
      <c r="AA12" s="1279"/>
      <c r="AB12" s="1279"/>
      <c r="AC12" s="1402" t="str">
        <f>AC15</f>
        <v>COMPOSES VERTS</v>
      </c>
      <c r="AD12" s="1279"/>
      <c r="AE12" s="1279"/>
      <c r="AF12" s="1279"/>
      <c r="AG12" s="1401" t="str">
        <f>AG15</f>
        <v>LAITAGES +FECULENTS</v>
      </c>
      <c r="AH12" s="1279"/>
      <c r="AI12" s="1279"/>
      <c r="AJ12" s="1279"/>
      <c r="AK12" s="1279"/>
      <c r="AL12" s="1279"/>
      <c r="AM12" s="1387" t="str">
        <f>AM15</f>
        <v>Accompagnement d'Apéritif</v>
      </c>
      <c r="AN12" s="1279"/>
      <c r="AO12" s="1279"/>
      <c r="AP12" s="1279"/>
      <c r="AQ12" s="1279"/>
      <c r="AR12" s="1279"/>
      <c r="AS12" s="1279"/>
      <c r="AT12" s="1279"/>
      <c r="AU12" s="1387" t="str">
        <f>AU15</f>
        <v>Entrées chaudes</v>
      </c>
      <c r="AV12" s="1279"/>
      <c r="AW12" s="1279"/>
      <c r="AX12" s="1279"/>
      <c r="AY12" s="1387" t="str">
        <f>AY15</f>
        <v>Entrées Mixtes Froides/Chaudes</v>
      </c>
      <c r="AZ12" s="1279"/>
      <c r="BA12" s="1279"/>
      <c r="BB12" s="1279"/>
      <c r="BC12" s="1387" t="str">
        <f>BC15</f>
        <v>Garnitures de finition</v>
      </c>
      <c r="BD12" s="1279"/>
      <c r="BE12" s="1279"/>
      <c r="BF12" s="1279"/>
      <c r="BG12" s="1387" t="str">
        <f>BG15</f>
        <v>H.O. Composition légumes Multiples</v>
      </c>
      <c r="BH12" s="1279"/>
      <c r="BI12" s="1279"/>
      <c r="BJ12" s="1279"/>
      <c r="BK12" s="1279"/>
      <c r="BL12" s="1279"/>
      <c r="BM12" s="1387" t="str">
        <f>BM15</f>
        <v>Poisson</v>
      </c>
      <c r="BN12" s="1279"/>
      <c r="BO12" s="1387" t="str">
        <f>BO15</f>
        <v>Sauces Blanches ou Blondes</v>
      </c>
      <c r="BP12" s="1279"/>
      <c r="BQ12" s="1400"/>
      <c r="BR12" s="1279"/>
      <c r="BS12" s="1387" t="str">
        <f>BS15</f>
        <v>LES SAUCES FROIDES</v>
      </c>
      <c r="BT12" s="1279"/>
    </row>
    <row r="13" spans="2:73" ht="16.5" thickBot="1">
      <c r="E13" s="1399" t="str">
        <f>E15</f>
        <v>LES ENTRÉES</v>
      </c>
      <c r="G13" s="1398" t="str">
        <f>G15</f>
        <v>POISSONS</v>
      </c>
      <c r="I13" s="1397" t="str">
        <f>I15</f>
        <v>VOLAILLES</v>
      </c>
      <c r="J13" s="1375"/>
      <c r="K13" s="1396" t="str">
        <f>K15</f>
        <v>VIANDES</v>
      </c>
      <c r="L13" s="1375"/>
      <c r="M13" s="1395" t="str">
        <f>M15</f>
        <v>PLATS COMPLETS</v>
      </c>
      <c r="N13" s="1375"/>
      <c r="O13" s="1386" t="s">
        <v>363</v>
      </c>
      <c r="P13" s="1375"/>
      <c r="Q13" s="1394" t="str">
        <f>Q15</f>
        <v>PATISSERIES</v>
      </c>
      <c r="R13" s="1375"/>
      <c r="S13" s="1386" t="s">
        <v>363</v>
      </c>
      <c r="T13" s="1375"/>
      <c r="U13" s="1393" t="str">
        <f>U15</f>
        <v>PLAT PRINCIPAL</v>
      </c>
      <c r="V13" s="1375"/>
      <c r="W13" s="1386" t="s">
        <v>363</v>
      </c>
      <c r="X13" s="1375"/>
      <c r="Y13" s="1392" t="str">
        <f>Y15</f>
        <v>CUIDITES</v>
      </c>
      <c r="Z13" s="1375"/>
      <c r="AA13" s="1391" t="str">
        <f>AA15</f>
        <v>FECULENTS</v>
      </c>
      <c r="AB13" s="1375"/>
      <c r="AC13" s="1386" t="s">
        <v>363</v>
      </c>
      <c r="AD13" s="1375"/>
      <c r="AE13" s="1390" t="str">
        <f>AE15</f>
        <v>LAITAGES - FROMAGES</v>
      </c>
      <c r="AF13" s="1375"/>
      <c r="AG13" s="1386" t="s">
        <v>363</v>
      </c>
      <c r="AH13" s="1375"/>
      <c r="AI13" s="1389" t="str">
        <f>AI15</f>
        <v>DESSERTS</v>
      </c>
      <c r="AJ13" s="1375"/>
      <c r="AK13" s="1388" t="str">
        <f>AK15</f>
        <v>GOUTERS</v>
      </c>
      <c r="AL13" s="1375"/>
      <c r="AM13" s="1386" t="s">
        <v>363</v>
      </c>
      <c r="AN13" s="1375"/>
      <c r="AO13" s="1384" t="str">
        <f>AO15</f>
        <v>Décors salés</v>
      </c>
      <c r="AP13" s="1375"/>
      <c r="AQ13" s="1384" t="str">
        <f>AQ15</f>
        <v>Décors sucrés</v>
      </c>
      <c r="AR13" s="1375"/>
      <c r="AS13" s="1384" t="str">
        <f>AS15</f>
        <v>Desserts</v>
      </c>
      <c r="AT13" s="1375"/>
      <c r="AU13" s="1386" t="s">
        <v>363</v>
      </c>
      <c r="AV13" s="1279"/>
      <c r="AW13" s="1384" t="str">
        <f>AW15</f>
        <v>Entrées froides</v>
      </c>
      <c r="AX13" s="1375"/>
      <c r="AY13" s="1386" t="s">
        <v>363</v>
      </c>
      <c r="AZ13" s="1387"/>
      <c r="BA13" s="1384" t="str">
        <f>BA15</f>
        <v>Garnitures de cuisson</v>
      </c>
      <c r="BB13" s="1384"/>
      <c r="BC13" s="1386" t="s">
        <v>363</v>
      </c>
      <c r="BD13" s="1384"/>
      <c r="BE13" s="1384" t="str">
        <f>BE15</f>
        <v>Gibier</v>
      </c>
      <c r="BF13" s="1384"/>
      <c r="BG13" s="1386" t="s">
        <v>363</v>
      </c>
      <c r="BH13" s="1384"/>
      <c r="BI13" s="1384" t="str">
        <f>BI15</f>
        <v>Laitages</v>
      </c>
      <c r="BJ13" s="1387"/>
      <c r="BK13" s="1384" t="s">
        <v>5</v>
      </c>
      <c r="BL13" s="1384"/>
      <c r="BM13" s="1386" t="s">
        <v>363</v>
      </c>
      <c r="BN13" s="1384"/>
      <c r="BO13" s="1386" t="s">
        <v>363</v>
      </c>
      <c r="BP13" s="1387"/>
      <c r="BQ13" s="1384" t="str">
        <f>BQ15</f>
        <v>Sauces Rouges ou Brunes</v>
      </c>
      <c r="BR13" s="1387"/>
      <c r="BS13" s="1386" t="s">
        <v>363</v>
      </c>
      <c r="BT13" s="1279"/>
    </row>
    <row r="14" spans="2:73" ht="28.5" customHeight="1">
      <c r="B14" s="4156" t="s">
        <v>741</v>
      </c>
      <c r="C14" s="4156"/>
      <c r="E14" s="1385" t="s">
        <v>363</v>
      </c>
      <c r="F14" s="1279"/>
      <c r="G14" s="1385" t="s">
        <v>363</v>
      </c>
      <c r="H14" s="1279"/>
      <c r="I14" s="1385" t="s">
        <v>363</v>
      </c>
      <c r="J14" s="1279"/>
      <c r="K14" s="1385" t="s">
        <v>363</v>
      </c>
      <c r="L14" s="1279"/>
      <c r="M14" s="1385" t="s">
        <v>363</v>
      </c>
      <c r="N14" s="1279"/>
      <c r="O14" s="1375"/>
      <c r="P14" s="1375"/>
      <c r="Q14" s="1385" t="s">
        <v>363</v>
      </c>
      <c r="R14" s="1279"/>
      <c r="S14" s="1279"/>
      <c r="T14" s="1279"/>
      <c r="U14" s="1385" t="s">
        <v>363</v>
      </c>
      <c r="V14" s="1279"/>
      <c r="W14" s="1279"/>
      <c r="X14" s="1279"/>
      <c r="Y14" s="1385" t="s">
        <v>363</v>
      </c>
      <c r="Z14" s="1279"/>
      <c r="AA14" s="1385" t="s">
        <v>363</v>
      </c>
      <c r="AB14" s="1279"/>
      <c r="AC14" s="1279"/>
      <c r="AD14" s="1279"/>
      <c r="AE14" s="1385" t="s">
        <v>363</v>
      </c>
      <c r="AF14" s="1279"/>
      <c r="AG14" s="1279"/>
      <c r="AH14" s="1279"/>
      <c r="AI14" s="1385" t="s">
        <v>363</v>
      </c>
      <c r="AJ14" s="1279"/>
      <c r="AK14" s="1385" t="s">
        <v>363</v>
      </c>
      <c r="AL14" s="1279"/>
      <c r="AM14" s="1279"/>
      <c r="AN14" s="1279"/>
      <c r="AO14" s="1385" t="s">
        <v>363</v>
      </c>
      <c r="AP14" s="1279"/>
      <c r="AQ14" s="1385" t="s">
        <v>363</v>
      </c>
      <c r="AR14" s="1279"/>
      <c r="AS14" s="1385" t="s">
        <v>363</v>
      </c>
      <c r="AT14" s="1279"/>
      <c r="AU14" s="1279"/>
      <c r="AV14" s="1279"/>
      <c r="AW14" s="1385" t="s">
        <v>363</v>
      </c>
      <c r="AX14" s="1279"/>
      <c r="AY14" s="1279"/>
      <c r="AZ14" s="1279"/>
      <c r="BA14" s="1385" t="s">
        <v>363</v>
      </c>
      <c r="BB14" s="1375"/>
      <c r="BC14" s="1375"/>
      <c r="BD14" s="1375"/>
      <c r="BE14" s="1385" t="s">
        <v>363</v>
      </c>
      <c r="BF14" s="1375"/>
      <c r="BG14" s="1375"/>
      <c r="BH14" s="1375"/>
      <c r="BI14" s="1385" t="s">
        <v>363</v>
      </c>
      <c r="BJ14" s="1279"/>
      <c r="BK14" s="1385" t="s">
        <v>363</v>
      </c>
      <c r="BL14" s="1279"/>
      <c r="BM14" s="1279"/>
      <c r="BN14" s="1279"/>
      <c r="BO14" s="1279"/>
      <c r="BP14" s="1279"/>
      <c r="BQ14" s="1385" t="s">
        <v>363</v>
      </c>
      <c r="BR14" s="1279"/>
      <c r="BT14" s="1279"/>
    </row>
    <row r="15" spans="2:73" ht="21.95" customHeight="1" thickBot="1">
      <c r="B15" s="1378"/>
      <c r="C15" s="1378"/>
      <c r="E15" s="4193" t="s">
        <v>742</v>
      </c>
      <c r="F15" s="1383"/>
      <c r="G15" s="4190" t="s">
        <v>741</v>
      </c>
      <c r="H15" s="1383"/>
      <c r="I15" s="4187" t="s">
        <v>727</v>
      </c>
      <c r="J15" s="1381"/>
      <c r="K15" s="4184" t="s">
        <v>724</v>
      </c>
      <c r="L15" s="1381"/>
      <c r="M15" s="4196" t="s">
        <v>721</v>
      </c>
      <c r="N15" s="1381"/>
      <c r="O15" s="4199" t="s">
        <v>718</v>
      </c>
      <c r="P15" s="1381"/>
      <c r="Q15" s="4172" t="s">
        <v>716</v>
      </c>
      <c r="R15" s="1381"/>
      <c r="S15" s="4175" t="s">
        <v>715</v>
      </c>
      <c r="T15" s="1381"/>
      <c r="U15" s="3684" t="s">
        <v>302</v>
      </c>
      <c r="V15" s="1382"/>
      <c r="W15" s="4181" t="s">
        <v>714</v>
      </c>
      <c r="X15" s="1381"/>
      <c r="Y15" s="4178" t="s">
        <v>740</v>
      </c>
      <c r="Z15" s="1375"/>
      <c r="AA15" s="4202" t="s">
        <v>713</v>
      </c>
      <c r="AB15" s="1381"/>
      <c r="AC15" s="4199" t="s">
        <v>712</v>
      </c>
      <c r="AD15" s="1381"/>
      <c r="AE15" s="4205" t="s">
        <v>711</v>
      </c>
      <c r="AF15" s="1381"/>
      <c r="AG15" s="4214" t="s">
        <v>710</v>
      </c>
      <c r="AH15" s="1381"/>
      <c r="AI15" s="4217" t="s">
        <v>709</v>
      </c>
      <c r="AJ15" s="1381"/>
      <c r="AK15" s="4149" t="s">
        <v>739</v>
      </c>
      <c r="AL15" s="1381"/>
      <c r="AM15" s="4152" t="s">
        <v>706</v>
      </c>
      <c r="AN15" s="1381"/>
      <c r="AO15" s="4152" t="s">
        <v>738</v>
      </c>
      <c r="AP15" s="1381"/>
      <c r="AQ15" s="4152" t="s">
        <v>737</v>
      </c>
      <c r="AR15" s="1381"/>
      <c r="AS15" s="4152" t="s">
        <v>736</v>
      </c>
      <c r="AT15" s="1381"/>
      <c r="AU15" s="4152" t="s">
        <v>735</v>
      </c>
      <c r="AV15" s="1381"/>
      <c r="AW15" s="4152" t="s">
        <v>734</v>
      </c>
      <c r="AX15" s="1381"/>
      <c r="AY15" s="4211" t="s">
        <v>733</v>
      </c>
      <c r="AZ15" s="1381"/>
      <c r="BA15" s="4152" t="s">
        <v>732</v>
      </c>
      <c r="BB15" s="1381"/>
      <c r="BC15" s="4152" t="s">
        <v>731</v>
      </c>
      <c r="BD15" s="1381"/>
      <c r="BE15" s="4152" t="s">
        <v>699</v>
      </c>
      <c r="BF15" s="1381"/>
      <c r="BG15" s="4211" t="s">
        <v>697</v>
      </c>
      <c r="BH15" s="1381"/>
      <c r="BI15" s="4152" t="s">
        <v>695</v>
      </c>
      <c r="BJ15" s="1381"/>
      <c r="BK15" s="4152" t="s">
        <v>694</v>
      </c>
      <c r="BL15" s="1381"/>
      <c r="BM15" s="4152" t="s">
        <v>693</v>
      </c>
      <c r="BN15" s="1381"/>
      <c r="BO15" s="4152" t="s">
        <v>730</v>
      </c>
      <c r="BP15" s="1381"/>
      <c r="BQ15" s="4152" t="s">
        <v>729</v>
      </c>
      <c r="BR15" s="1381"/>
      <c r="BS15" s="4208" t="s">
        <v>5</v>
      </c>
      <c r="BU15" s="1384" t="s">
        <v>728</v>
      </c>
    </row>
    <row r="16" spans="2:73" ht="21.95" customHeight="1">
      <c r="B16" s="4157" t="s">
        <v>727</v>
      </c>
      <c r="C16" s="4157"/>
      <c r="E16" s="4194"/>
      <c r="F16" s="1383"/>
      <c r="G16" s="4191"/>
      <c r="H16" s="1383"/>
      <c r="I16" s="4188"/>
      <c r="J16" s="1381"/>
      <c r="K16" s="4185"/>
      <c r="L16" s="1381"/>
      <c r="M16" s="4197"/>
      <c r="N16" s="1381"/>
      <c r="O16" s="4200"/>
      <c r="P16" s="1381"/>
      <c r="Q16" s="4173"/>
      <c r="R16" s="1381"/>
      <c r="S16" s="4176"/>
      <c r="T16" s="1381"/>
      <c r="U16" s="3685"/>
      <c r="V16" s="1382"/>
      <c r="W16" s="4182"/>
      <c r="X16" s="1381"/>
      <c r="Y16" s="4179"/>
      <c r="Z16" s="1375"/>
      <c r="AA16" s="4203"/>
      <c r="AB16" s="1381"/>
      <c r="AC16" s="4200"/>
      <c r="AD16" s="1381"/>
      <c r="AE16" s="4206"/>
      <c r="AF16" s="1381"/>
      <c r="AG16" s="4215"/>
      <c r="AH16" s="1381"/>
      <c r="AI16" s="4218"/>
      <c r="AJ16" s="1381"/>
      <c r="AK16" s="4150"/>
      <c r="AL16" s="1381"/>
      <c r="AM16" s="4153"/>
      <c r="AN16" s="1381"/>
      <c r="AO16" s="4153"/>
      <c r="AP16" s="1381"/>
      <c r="AQ16" s="4153"/>
      <c r="AR16" s="1381"/>
      <c r="AS16" s="4153"/>
      <c r="AT16" s="1381"/>
      <c r="AU16" s="4153"/>
      <c r="AV16" s="1381"/>
      <c r="AW16" s="4153"/>
      <c r="AX16" s="1381"/>
      <c r="AY16" s="4212"/>
      <c r="AZ16" s="1381"/>
      <c r="BA16" s="4153"/>
      <c r="BB16" s="1381"/>
      <c r="BC16" s="4153"/>
      <c r="BD16" s="1381"/>
      <c r="BE16" s="4153"/>
      <c r="BF16" s="1381"/>
      <c r="BG16" s="4212"/>
      <c r="BH16" s="1381"/>
      <c r="BI16" s="4153"/>
      <c r="BJ16" s="1381"/>
      <c r="BK16" s="4153"/>
      <c r="BL16" s="1381"/>
      <c r="BM16" s="4153"/>
      <c r="BN16" s="1381"/>
      <c r="BO16" s="4153"/>
      <c r="BP16" s="1381"/>
      <c r="BQ16" s="4153"/>
      <c r="BR16" s="1381"/>
      <c r="BS16" s="4209"/>
      <c r="BU16" s="1384" t="s">
        <v>726</v>
      </c>
    </row>
    <row r="17" spans="2:73" ht="21.95" customHeight="1" thickBot="1">
      <c r="B17" s="1378"/>
      <c r="C17" s="1378"/>
      <c r="E17" s="4194"/>
      <c r="F17" s="1383"/>
      <c r="G17" s="4191"/>
      <c r="H17" s="1383"/>
      <c r="I17" s="4188"/>
      <c r="J17" s="1381"/>
      <c r="K17" s="4185"/>
      <c r="L17" s="1381"/>
      <c r="M17" s="4197"/>
      <c r="N17" s="1381"/>
      <c r="O17" s="4200"/>
      <c r="P17" s="1381"/>
      <c r="Q17" s="4173"/>
      <c r="R17" s="1381"/>
      <c r="S17" s="4176"/>
      <c r="T17" s="1381"/>
      <c r="U17" s="3685"/>
      <c r="V17" s="1382"/>
      <c r="W17" s="4182"/>
      <c r="X17" s="1381"/>
      <c r="Y17" s="4179"/>
      <c r="Z17" s="1380"/>
      <c r="AA17" s="4203"/>
      <c r="AB17" s="1381"/>
      <c r="AC17" s="4200"/>
      <c r="AD17" s="1381"/>
      <c r="AE17" s="4206"/>
      <c r="AF17" s="1381"/>
      <c r="AG17" s="4215"/>
      <c r="AH17" s="1381"/>
      <c r="AI17" s="4218"/>
      <c r="AJ17" s="1381"/>
      <c r="AK17" s="4150"/>
      <c r="AL17" s="1381"/>
      <c r="AM17" s="4153"/>
      <c r="AN17" s="1381"/>
      <c r="AO17" s="4153"/>
      <c r="AP17" s="1381"/>
      <c r="AQ17" s="4153"/>
      <c r="AR17" s="1381"/>
      <c r="AS17" s="4153"/>
      <c r="AT17" s="1381"/>
      <c r="AU17" s="4153"/>
      <c r="AV17" s="1381"/>
      <c r="AW17" s="4153"/>
      <c r="AX17" s="1381"/>
      <c r="AY17" s="4212"/>
      <c r="AZ17" s="1381"/>
      <c r="BA17" s="4153"/>
      <c r="BB17" s="1381"/>
      <c r="BC17" s="4153"/>
      <c r="BD17" s="1381"/>
      <c r="BE17" s="4153"/>
      <c r="BF17" s="1381"/>
      <c r="BG17" s="4212"/>
      <c r="BH17" s="1381"/>
      <c r="BI17" s="4153"/>
      <c r="BJ17" s="1381"/>
      <c r="BK17" s="4153"/>
      <c r="BL17" s="1381"/>
      <c r="BM17" s="4153"/>
      <c r="BN17" s="1381"/>
      <c r="BO17" s="4153"/>
      <c r="BP17" s="1381"/>
      <c r="BQ17" s="4153"/>
      <c r="BR17" s="1381"/>
      <c r="BS17" s="4209"/>
      <c r="BU17" s="1384" t="s">
        <v>725</v>
      </c>
    </row>
    <row r="18" spans="2:73" ht="21.95" customHeight="1">
      <c r="B18" s="4163" t="s">
        <v>724</v>
      </c>
      <c r="C18" s="4163"/>
      <c r="E18" s="4194"/>
      <c r="F18" s="1383"/>
      <c r="G18" s="4191"/>
      <c r="H18" s="1383"/>
      <c r="I18" s="4188"/>
      <c r="J18" s="1381"/>
      <c r="K18" s="4185"/>
      <c r="L18" s="1381"/>
      <c r="M18" s="4197"/>
      <c r="N18" s="1381"/>
      <c r="O18" s="4200"/>
      <c r="P18" s="1381"/>
      <c r="Q18" s="4173"/>
      <c r="R18" s="1381"/>
      <c r="S18" s="4176"/>
      <c r="T18" s="1381"/>
      <c r="U18" s="3685"/>
      <c r="V18" s="1382"/>
      <c r="W18" s="4182"/>
      <c r="X18" s="1381"/>
      <c r="Y18" s="4179"/>
      <c r="Z18" s="1380"/>
      <c r="AA18" s="4203"/>
      <c r="AB18" s="1381"/>
      <c r="AC18" s="4200"/>
      <c r="AD18" s="1381"/>
      <c r="AE18" s="4206"/>
      <c r="AF18" s="1381"/>
      <c r="AG18" s="4215"/>
      <c r="AH18" s="1381"/>
      <c r="AI18" s="4218"/>
      <c r="AJ18" s="1381"/>
      <c r="AK18" s="4150"/>
      <c r="AL18" s="1381"/>
      <c r="AM18" s="4153"/>
      <c r="AN18" s="1381"/>
      <c r="AO18" s="4153"/>
      <c r="AP18" s="1381"/>
      <c r="AQ18" s="4153"/>
      <c r="AR18" s="1381"/>
      <c r="AS18" s="4153"/>
      <c r="AT18" s="1381"/>
      <c r="AU18" s="4153"/>
      <c r="AV18" s="1381"/>
      <c r="AW18" s="4153"/>
      <c r="AX18" s="1381"/>
      <c r="AY18" s="4212"/>
      <c r="AZ18" s="1381"/>
      <c r="BA18" s="4153"/>
      <c r="BB18" s="1381"/>
      <c r="BC18" s="4153"/>
      <c r="BD18" s="1381"/>
      <c r="BE18" s="4153"/>
      <c r="BF18" s="1381"/>
      <c r="BG18" s="4212"/>
      <c r="BH18" s="1381"/>
      <c r="BI18" s="4153"/>
      <c r="BJ18" s="1381"/>
      <c r="BK18" s="4153"/>
      <c r="BL18" s="1381"/>
      <c r="BM18" s="4153"/>
      <c r="BN18" s="1381"/>
      <c r="BO18" s="4153"/>
      <c r="BP18" s="1381"/>
      <c r="BQ18" s="4153"/>
      <c r="BR18" s="1381"/>
      <c r="BS18" s="4209"/>
      <c r="BU18" s="1384" t="s">
        <v>723</v>
      </c>
    </row>
    <row r="19" spans="2:73" ht="21.95" customHeight="1" thickBot="1">
      <c r="B19" s="1378"/>
      <c r="C19" s="1378"/>
      <c r="E19" s="4194"/>
      <c r="F19" s="1383"/>
      <c r="G19" s="4191"/>
      <c r="H19" s="1383"/>
      <c r="I19" s="4188"/>
      <c r="J19" s="1381"/>
      <c r="K19" s="4185"/>
      <c r="L19" s="1381"/>
      <c r="M19" s="4197"/>
      <c r="N19" s="1381"/>
      <c r="O19" s="4200"/>
      <c r="P19" s="1381"/>
      <c r="Q19" s="4173"/>
      <c r="R19" s="1381"/>
      <c r="S19" s="4176"/>
      <c r="T19" s="1381"/>
      <c r="U19" s="3685"/>
      <c r="V19" s="1382"/>
      <c r="W19" s="4182"/>
      <c r="X19" s="1381"/>
      <c r="Y19" s="4179"/>
      <c r="Z19" s="1380"/>
      <c r="AA19" s="4203"/>
      <c r="AB19" s="1381"/>
      <c r="AC19" s="4200"/>
      <c r="AD19" s="1381"/>
      <c r="AE19" s="4206"/>
      <c r="AF19" s="1381"/>
      <c r="AG19" s="4215"/>
      <c r="AH19" s="1381"/>
      <c r="AI19" s="4218"/>
      <c r="AJ19" s="1381"/>
      <c r="AK19" s="4150"/>
      <c r="AL19" s="1381"/>
      <c r="AM19" s="4153"/>
      <c r="AN19" s="1381"/>
      <c r="AO19" s="4153"/>
      <c r="AP19" s="1381"/>
      <c r="AQ19" s="4153"/>
      <c r="AR19" s="1381"/>
      <c r="AS19" s="4153"/>
      <c r="AT19" s="1381"/>
      <c r="AU19" s="4153"/>
      <c r="AV19" s="1381"/>
      <c r="AW19" s="4153"/>
      <c r="AX19" s="1381"/>
      <c r="AY19" s="4212"/>
      <c r="AZ19" s="1381"/>
      <c r="BA19" s="4153"/>
      <c r="BB19" s="1381"/>
      <c r="BC19" s="4153"/>
      <c r="BD19" s="1381"/>
      <c r="BE19" s="4153"/>
      <c r="BF19" s="1381"/>
      <c r="BG19" s="4212"/>
      <c r="BH19" s="1381"/>
      <c r="BI19" s="4153"/>
      <c r="BJ19" s="1381"/>
      <c r="BK19" s="4153"/>
      <c r="BL19" s="1381"/>
      <c r="BM19" s="4153"/>
      <c r="BN19" s="1381"/>
      <c r="BO19" s="4153"/>
      <c r="BP19" s="1381"/>
      <c r="BQ19" s="4153"/>
      <c r="BR19" s="1381"/>
      <c r="BS19" s="4209"/>
      <c r="BU19" s="1384" t="s">
        <v>722</v>
      </c>
    </row>
    <row r="20" spans="2:73" ht="21.95" customHeight="1">
      <c r="B20" s="4158" t="s">
        <v>721</v>
      </c>
      <c r="C20" s="4158"/>
      <c r="E20" s="4194"/>
      <c r="F20" s="1383"/>
      <c r="G20" s="4191"/>
      <c r="H20" s="1383"/>
      <c r="I20" s="4188"/>
      <c r="J20" s="1381"/>
      <c r="K20" s="4185"/>
      <c r="L20" s="1381"/>
      <c r="M20" s="4197"/>
      <c r="N20" s="1381"/>
      <c r="O20" s="4200"/>
      <c r="P20" s="1381"/>
      <c r="Q20" s="4173"/>
      <c r="R20" s="1381"/>
      <c r="S20" s="4176"/>
      <c r="T20" s="1381"/>
      <c r="U20" s="3685"/>
      <c r="V20" s="1382"/>
      <c r="W20" s="4182"/>
      <c r="X20" s="1381"/>
      <c r="Y20" s="4179"/>
      <c r="Z20" s="1380"/>
      <c r="AA20" s="4203"/>
      <c r="AB20" s="1381"/>
      <c r="AC20" s="4200"/>
      <c r="AD20" s="1381"/>
      <c r="AE20" s="4206"/>
      <c r="AF20" s="1381"/>
      <c r="AG20" s="4215"/>
      <c r="AH20" s="1381"/>
      <c r="AI20" s="4218"/>
      <c r="AJ20" s="1381"/>
      <c r="AK20" s="4150"/>
      <c r="AL20" s="1381"/>
      <c r="AM20" s="4153"/>
      <c r="AN20" s="1381"/>
      <c r="AO20" s="4153"/>
      <c r="AP20" s="1381"/>
      <c r="AQ20" s="4153"/>
      <c r="AR20" s="1381"/>
      <c r="AS20" s="4153"/>
      <c r="AT20" s="1381"/>
      <c r="AU20" s="4153"/>
      <c r="AV20" s="1381"/>
      <c r="AW20" s="4153"/>
      <c r="AX20" s="1381"/>
      <c r="AY20" s="4212"/>
      <c r="AZ20" s="1381"/>
      <c r="BA20" s="4153"/>
      <c r="BB20" s="1381"/>
      <c r="BC20" s="4153"/>
      <c r="BD20" s="1381"/>
      <c r="BE20" s="4153"/>
      <c r="BF20" s="1381"/>
      <c r="BG20" s="4212"/>
      <c r="BH20" s="1381"/>
      <c r="BI20" s="4153"/>
      <c r="BJ20" s="1381"/>
      <c r="BK20" s="4153"/>
      <c r="BL20" s="1381"/>
      <c r="BM20" s="4153"/>
      <c r="BN20" s="1381"/>
      <c r="BO20" s="4153"/>
      <c r="BP20" s="1381"/>
      <c r="BQ20" s="4153"/>
      <c r="BR20" s="1381"/>
      <c r="BS20" s="4209"/>
      <c r="BU20" s="1384" t="s">
        <v>720</v>
      </c>
    </row>
    <row r="21" spans="2:73" ht="21.95" customHeight="1" thickBot="1">
      <c r="B21" s="1378"/>
      <c r="C21" s="1378"/>
      <c r="E21" s="4194"/>
      <c r="F21" s="1383"/>
      <c r="G21" s="4191"/>
      <c r="H21" s="1383"/>
      <c r="I21" s="4188"/>
      <c r="J21" s="1381"/>
      <c r="K21" s="4185"/>
      <c r="L21" s="1381"/>
      <c r="M21" s="4197"/>
      <c r="N21" s="1381"/>
      <c r="O21" s="4200"/>
      <c r="P21" s="1381"/>
      <c r="Q21" s="4173"/>
      <c r="R21" s="1381"/>
      <c r="S21" s="4176"/>
      <c r="T21" s="1381"/>
      <c r="U21" s="3685"/>
      <c r="V21" s="1382"/>
      <c r="W21" s="4182"/>
      <c r="X21" s="1381"/>
      <c r="Y21" s="4179"/>
      <c r="Z21" s="1380"/>
      <c r="AA21" s="4203"/>
      <c r="AB21" s="1381"/>
      <c r="AC21" s="4200"/>
      <c r="AD21" s="1381"/>
      <c r="AE21" s="4206"/>
      <c r="AF21" s="1381"/>
      <c r="AG21" s="4215"/>
      <c r="AH21" s="1381"/>
      <c r="AI21" s="4218"/>
      <c r="AJ21" s="1381"/>
      <c r="AK21" s="4150"/>
      <c r="AL21" s="1381"/>
      <c r="AM21" s="4153"/>
      <c r="AN21" s="1381"/>
      <c r="AO21" s="4153"/>
      <c r="AP21" s="1381"/>
      <c r="AQ21" s="4153"/>
      <c r="AR21" s="1381"/>
      <c r="AS21" s="4153"/>
      <c r="AT21" s="1381"/>
      <c r="AU21" s="4153"/>
      <c r="AV21" s="1381"/>
      <c r="AW21" s="4153"/>
      <c r="AX21" s="1381"/>
      <c r="AY21" s="4212"/>
      <c r="AZ21" s="1381"/>
      <c r="BA21" s="4153"/>
      <c r="BB21" s="1381"/>
      <c r="BC21" s="4153"/>
      <c r="BD21" s="1381"/>
      <c r="BE21" s="4153"/>
      <c r="BF21" s="1381"/>
      <c r="BG21" s="4212"/>
      <c r="BH21" s="1381"/>
      <c r="BI21" s="4153"/>
      <c r="BJ21" s="1381"/>
      <c r="BK21" s="4153"/>
      <c r="BL21" s="1381"/>
      <c r="BM21" s="4153"/>
      <c r="BN21" s="1381"/>
      <c r="BO21" s="4153"/>
      <c r="BP21" s="1381"/>
      <c r="BQ21" s="4153"/>
      <c r="BR21" s="1381"/>
      <c r="BS21" s="4209"/>
      <c r="BU21" s="1384" t="s">
        <v>719</v>
      </c>
    </row>
    <row r="22" spans="2:73" ht="21.95" customHeight="1">
      <c r="B22" s="4159" t="s">
        <v>718</v>
      </c>
      <c r="C22" s="4159"/>
      <c r="E22" s="4194"/>
      <c r="F22" s="1383"/>
      <c r="G22" s="4191"/>
      <c r="H22" s="1383"/>
      <c r="I22" s="4188"/>
      <c r="J22" s="1381"/>
      <c r="K22" s="4185"/>
      <c r="L22" s="1381"/>
      <c r="M22" s="4197"/>
      <c r="N22" s="1381"/>
      <c r="O22" s="4200"/>
      <c r="P22" s="1381"/>
      <c r="Q22" s="4173"/>
      <c r="R22" s="1381"/>
      <c r="S22" s="4176"/>
      <c r="T22" s="1381"/>
      <c r="U22" s="3685"/>
      <c r="V22" s="1382"/>
      <c r="W22" s="4182"/>
      <c r="X22" s="1381"/>
      <c r="Y22" s="4179"/>
      <c r="Z22" s="1380"/>
      <c r="AA22" s="4203"/>
      <c r="AB22" s="1381"/>
      <c r="AC22" s="4200"/>
      <c r="AD22" s="1381"/>
      <c r="AE22" s="4206"/>
      <c r="AF22" s="1381"/>
      <c r="AG22" s="4215"/>
      <c r="AH22" s="1381"/>
      <c r="AI22" s="4218"/>
      <c r="AJ22" s="1381"/>
      <c r="AK22" s="4150"/>
      <c r="AL22" s="1381"/>
      <c r="AM22" s="4153"/>
      <c r="AN22" s="1381"/>
      <c r="AO22" s="4153"/>
      <c r="AP22" s="1381"/>
      <c r="AQ22" s="4153"/>
      <c r="AR22" s="1381"/>
      <c r="AS22" s="4153"/>
      <c r="AT22" s="1381"/>
      <c r="AU22" s="4153"/>
      <c r="AV22" s="1381"/>
      <c r="AW22" s="4153"/>
      <c r="AX22" s="1381"/>
      <c r="AY22" s="4212"/>
      <c r="AZ22" s="1381"/>
      <c r="BA22" s="4153"/>
      <c r="BB22" s="1381"/>
      <c r="BC22" s="4153"/>
      <c r="BD22" s="1381"/>
      <c r="BE22" s="4153"/>
      <c r="BF22" s="1381"/>
      <c r="BG22" s="4212"/>
      <c r="BH22" s="1381"/>
      <c r="BI22" s="4153"/>
      <c r="BJ22" s="1381"/>
      <c r="BK22" s="4153"/>
      <c r="BL22" s="1381"/>
      <c r="BM22" s="4153"/>
      <c r="BN22" s="1381"/>
      <c r="BO22" s="4153"/>
      <c r="BP22" s="1381"/>
      <c r="BQ22" s="4153"/>
      <c r="BR22" s="1381"/>
      <c r="BS22" s="4209"/>
      <c r="BU22" s="1384" t="s">
        <v>717</v>
      </c>
    </row>
    <row r="23" spans="2:73" ht="21.95" customHeight="1" thickBot="1">
      <c r="B23" s="1378"/>
      <c r="C23" s="1378"/>
      <c r="E23" s="4194"/>
      <c r="F23" s="1383"/>
      <c r="G23" s="4191"/>
      <c r="H23" s="1383"/>
      <c r="I23" s="4188"/>
      <c r="J23" s="1381"/>
      <c r="K23" s="4185"/>
      <c r="L23" s="1381"/>
      <c r="M23" s="4197"/>
      <c r="N23" s="1381"/>
      <c r="O23" s="4200"/>
      <c r="P23" s="1381"/>
      <c r="Q23" s="4173"/>
      <c r="R23" s="1381"/>
      <c r="S23" s="4176"/>
      <c r="T23" s="1381"/>
      <c r="U23" s="3685"/>
      <c r="V23" s="1382"/>
      <c r="W23" s="4182"/>
      <c r="X23" s="1381"/>
      <c r="Y23" s="4179"/>
      <c r="Z23" s="1380"/>
      <c r="AA23" s="4203"/>
      <c r="AB23" s="1381"/>
      <c r="AC23" s="4200"/>
      <c r="AD23" s="1381"/>
      <c r="AE23" s="4206"/>
      <c r="AF23" s="1381"/>
      <c r="AG23" s="4215"/>
      <c r="AH23" s="1381"/>
      <c r="AI23" s="4218"/>
      <c r="AJ23" s="1381"/>
      <c r="AK23" s="4150"/>
      <c r="AL23" s="1381"/>
      <c r="AM23" s="4153"/>
      <c r="AN23" s="1381"/>
      <c r="AO23" s="4153"/>
      <c r="AP23" s="1381"/>
      <c r="AQ23" s="4153"/>
      <c r="AR23" s="1381"/>
      <c r="AS23" s="4153"/>
      <c r="AT23" s="1381"/>
      <c r="AU23" s="4153"/>
      <c r="AV23" s="1381"/>
      <c r="AW23" s="4153"/>
      <c r="AX23" s="1381"/>
      <c r="AY23" s="4212"/>
      <c r="AZ23" s="1381"/>
      <c r="BA23" s="4153"/>
      <c r="BB23" s="1381"/>
      <c r="BC23" s="4153"/>
      <c r="BD23" s="1381"/>
      <c r="BE23" s="4153"/>
      <c r="BF23" s="1381"/>
      <c r="BG23" s="4212"/>
      <c r="BH23" s="1381"/>
      <c r="BI23" s="4153"/>
      <c r="BJ23" s="1381"/>
      <c r="BK23" s="4153"/>
      <c r="BL23" s="1381"/>
      <c r="BM23" s="4153"/>
      <c r="BN23" s="1381"/>
      <c r="BO23" s="4153"/>
      <c r="BP23" s="1381"/>
      <c r="BQ23" s="4153"/>
      <c r="BR23" s="1381"/>
      <c r="BS23" s="4209"/>
    </row>
    <row r="24" spans="2:73" ht="21.95" customHeight="1">
      <c r="B24" s="4164" t="s">
        <v>716</v>
      </c>
      <c r="C24" s="4164"/>
      <c r="E24" s="4194"/>
      <c r="F24" s="1383"/>
      <c r="G24" s="4191"/>
      <c r="H24" s="1383"/>
      <c r="I24" s="4188"/>
      <c r="J24" s="1381"/>
      <c r="K24" s="4185"/>
      <c r="L24" s="1381"/>
      <c r="M24" s="4197"/>
      <c r="N24" s="1381"/>
      <c r="O24" s="4200"/>
      <c r="P24" s="1381"/>
      <c r="Q24" s="4173"/>
      <c r="R24" s="1381"/>
      <c r="S24" s="4176"/>
      <c r="T24" s="1381"/>
      <c r="U24" s="3685"/>
      <c r="V24" s="1382"/>
      <c r="W24" s="4182"/>
      <c r="X24" s="1381"/>
      <c r="Y24" s="4179"/>
      <c r="Z24" s="1380"/>
      <c r="AA24" s="4203"/>
      <c r="AB24" s="1381"/>
      <c r="AC24" s="4200"/>
      <c r="AD24" s="1381"/>
      <c r="AE24" s="4206"/>
      <c r="AF24" s="1381"/>
      <c r="AG24" s="4215"/>
      <c r="AH24" s="1381"/>
      <c r="AI24" s="4218"/>
      <c r="AJ24" s="1381"/>
      <c r="AK24" s="4150"/>
      <c r="AL24" s="1381"/>
      <c r="AM24" s="4153"/>
      <c r="AN24" s="1381"/>
      <c r="AO24" s="4153"/>
      <c r="AP24" s="1381"/>
      <c r="AQ24" s="4153"/>
      <c r="AR24" s="1381"/>
      <c r="AS24" s="4153"/>
      <c r="AT24" s="1381"/>
      <c r="AU24" s="4153"/>
      <c r="AV24" s="1381"/>
      <c r="AW24" s="4153"/>
      <c r="AX24" s="1381"/>
      <c r="AY24" s="4212"/>
      <c r="AZ24" s="1381"/>
      <c r="BA24" s="4153"/>
      <c r="BB24" s="1381"/>
      <c r="BC24" s="4153"/>
      <c r="BD24" s="1381"/>
      <c r="BE24" s="4153"/>
      <c r="BF24" s="1381"/>
      <c r="BG24" s="4212"/>
      <c r="BH24" s="1381"/>
      <c r="BI24" s="4153"/>
      <c r="BJ24" s="1381"/>
      <c r="BK24" s="4153"/>
      <c r="BL24" s="1381"/>
      <c r="BM24" s="4153"/>
      <c r="BN24" s="1381"/>
      <c r="BO24" s="4153"/>
      <c r="BP24" s="1381"/>
      <c r="BQ24" s="4153"/>
      <c r="BR24" s="1381"/>
      <c r="BS24" s="4209"/>
    </row>
    <row r="25" spans="2:73" ht="21.95" customHeight="1" thickBot="1">
      <c r="B25" s="1378"/>
      <c r="C25" s="1378"/>
      <c r="E25" s="4194"/>
      <c r="F25" s="1383"/>
      <c r="G25" s="4191"/>
      <c r="H25" s="1383"/>
      <c r="I25" s="4188"/>
      <c r="J25" s="1381"/>
      <c r="K25" s="4185"/>
      <c r="L25" s="1381"/>
      <c r="M25" s="4197"/>
      <c r="N25" s="1381"/>
      <c r="O25" s="4200"/>
      <c r="P25" s="1381"/>
      <c r="Q25" s="4173"/>
      <c r="R25" s="1381"/>
      <c r="S25" s="4176"/>
      <c r="T25" s="1381"/>
      <c r="U25" s="3685"/>
      <c r="V25" s="1382"/>
      <c r="W25" s="4182"/>
      <c r="X25" s="1381"/>
      <c r="Y25" s="4179"/>
      <c r="Z25" s="1380"/>
      <c r="AA25" s="4203"/>
      <c r="AB25" s="1381"/>
      <c r="AC25" s="4200"/>
      <c r="AD25" s="1381"/>
      <c r="AE25" s="4206"/>
      <c r="AF25" s="1381"/>
      <c r="AG25" s="4215"/>
      <c r="AH25" s="1381"/>
      <c r="AI25" s="4218"/>
      <c r="AJ25" s="1381"/>
      <c r="AK25" s="4150"/>
      <c r="AL25" s="1381"/>
      <c r="AM25" s="4153"/>
      <c r="AN25" s="1381"/>
      <c r="AO25" s="4153"/>
      <c r="AP25" s="1381"/>
      <c r="AQ25" s="4153"/>
      <c r="AR25" s="1381"/>
      <c r="AS25" s="4153"/>
      <c r="AT25" s="1381"/>
      <c r="AU25" s="4153"/>
      <c r="AV25" s="1381"/>
      <c r="AW25" s="4153"/>
      <c r="AX25" s="1381"/>
      <c r="AY25" s="4212"/>
      <c r="AZ25" s="1381"/>
      <c r="BA25" s="4153"/>
      <c r="BB25" s="1381"/>
      <c r="BC25" s="4153"/>
      <c r="BD25" s="1381"/>
      <c r="BE25" s="4153"/>
      <c r="BF25" s="1381"/>
      <c r="BG25" s="4212"/>
      <c r="BH25" s="1381"/>
      <c r="BI25" s="4153"/>
      <c r="BJ25" s="1381"/>
      <c r="BK25" s="4153"/>
      <c r="BL25" s="1381"/>
      <c r="BM25" s="4153"/>
      <c r="BN25" s="1381"/>
      <c r="BO25" s="4153"/>
      <c r="BP25" s="1381"/>
      <c r="BQ25" s="4153"/>
      <c r="BR25" s="1381"/>
      <c r="BS25" s="4209"/>
    </row>
    <row r="26" spans="2:73" ht="21.95" customHeight="1">
      <c r="B26" s="4160" t="s">
        <v>715</v>
      </c>
      <c r="C26" s="4160"/>
      <c r="E26" s="4194"/>
      <c r="F26" s="1383"/>
      <c r="G26" s="4191"/>
      <c r="H26" s="1383"/>
      <c r="I26" s="4188"/>
      <c r="J26" s="1381"/>
      <c r="K26" s="4185"/>
      <c r="L26" s="1381"/>
      <c r="M26" s="4197"/>
      <c r="N26" s="1381"/>
      <c r="O26" s="4200"/>
      <c r="P26" s="1381"/>
      <c r="Q26" s="4173"/>
      <c r="R26" s="1381"/>
      <c r="S26" s="4176"/>
      <c r="T26" s="1381"/>
      <c r="U26" s="3685"/>
      <c r="V26" s="1382"/>
      <c r="W26" s="4182"/>
      <c r="X26" s="1381"/>
      <c r="Y26" s="4179"/>
      <c r="Z26" s="1380"/>
      <c r="AA26" s="4203"/>
      <c r="AB26" s="1381"/>
      <c r="AC26" s="4200"/>
      <c r="AD26" s="1381"/>
      <c r="AE26" s="4206"/>
      <c r="AF26" s="1381"/>
      <c r="AG26" s="4215"/>
      <c r="AH26" s="1381"/>
      <c r="AI26" s="4218"/>
      <c r="AJ26" s="1381"/>
      <c r="AK26" s="4150"/>
      <c r="AL26" s="1381"/>
      <c r="AM26" s="4153"/>
      <c r="AN26" s="1381"/>
      <c r="AO26" s="4153"/>
      <c r="AP26" s="1381"/>
      <c r="AQ26" s="4153"/>
      <c r="AR26" s="1381"/>
      <c r="AS26" s="4153"/>
      <c r="AT26" s="1381"/>
      <c r="AU26" s="4153"/>
      <c r="AV26" s="1381"/>
      <c r="AW26" s="4153"/>
      <c r="AX26" s="1381"/>
      <c r="AY26" s="4212"/>
      <c r="AZ26" s="1381"/>
      <c r="BA26" s="4153"/>
      <c r="BB26" s="1381"/>
      <c r="BC26" s="4153"/>
      <c r="BD26" s="1381"/>
      <c r="BE26" s="4153"/>
      <c r="BF26" s="1381"/>
      <c r="BG26" s="4212"/>
      <c r="BH26" s="1381"/>
      <c r="BI26" s="4153"/>
      <c r="BJ26" s="1381"/>
      <c r="BK26" s="4153"/>
      <c r="BL26" s="1381"/>
      <c r="BM26" s="4153"/>
      <c r="BN26" s="1381"/>
      <c r="BO26" s="4153"/>
      <c r="BP26" s="1381"/>
      <c r="BQ26" s="4153"/>
      <c r="BR26" s="1381"/>
      <c r="BS26" s="4209"/>
    </row>
    <row r="27" spans="2:73" ht="21.95" customHeight="1" thickBot="1">
      <c r="B27" s="1378"/>
      <c r="C27" s="1378"/>
      <c r="E27" s="4194"/>
      <c r="F27" s="1383"/>
      <c r="G27" s="4191"/>
      <c r="H27" s="1383"/>
      <c r="I27" s="4188"/>
      <c r="J27" s="1381"/>
      <c r="K27" s="4185"/>
      <c r="L27" s="1381"/>
      <c r="M27" s="4197"/>
      <c r="N27" s="1381"/>
      <c r="O27" s="4200"/>
      <c r="P27" s="1381"/>
      <c r="Q27" s="4173"/>
      <c r="R27" s="1381"/>
      <c r="S27" s="4176"/>
      <c r="T27" s="1381"/>
      <c r="U27" s="3685"/>
      <c r="V27" s="1382"/>
      <c r="W27" s="4182"/>
      <c r="X27" s="1381"/>
      <c r="Y27" s="4179"/>
      <c r="Z27" s="1380"/>
      <c r="AA27" s="4203"/>
      <c r="AB27" s="1381"/>
      <c r="AC27" s="4200"/>
      <c r="AD27" s="1381"/>
      <c r="AE27" s="4206"/>
      <c r="AF27" s="1381"/>
      <c r="AG27" s="4215"/>
      <c r="AH27" s="1381"/>
      <c r="AI27" s="4218"/>
      <c r="AJ27" s="1381"/>
      <c r="AK27" s="4150"/>
      <c r="AL27" s="1381"/>
      <c r="AM27" s="4153"/>
      <c r="AN27" s="1381"/>
      <c r="AO27" s="4153"/>
      <c r="AP27" s="1381"/>
      <c r="AQ27" s="4153"/>
      <c r="AR27" s="1381"/>
      <c r="AS27" s="4153"/>
      <c r="AT27" s="1381"/>
      <c r="AU27" s="4153"/>
      <c r="AV27" s="1381"/>
      <c r="AW27" s="4153"/>
      <c r="AX27" s="1381"/>
      <c r="AY27" s="4212"/>
      <c r="AZ27" s="1381"/>
      <c r="BA27" s="4153"/>
      <c r="BB27" s="1381"/>
      <c r="BC27" s="4153"/>
      <c r="BD27" s="1381"/>
      <c r="BE27" s="4153"/>
      <c r="BF27" s="1381"/>
      <c r="BG27" s="4212"/>
      <c r="BH27" s="1381"/>
      <c r="BI27" s="4153"/>
      <c r="BJ27" s="1381"/>
      <c r="BK27" s="4153"/>
      <c r="BL27" s="1381"/>
      <c r="BM27" s="4153"/>
      <c r="BN27" s="1381"/>
      <c r="BO27" s="4153"/>
      <c r="BP27" s="1381"/>
      <c r="BQ27" s="4153"/>
      <c r="BR27" s="1381"/>
      <c r="BS27" s="4209"/>
    </row>
    <row r="28" spans="2:73" ht="21.95" customHeight="1">
      <c r="B28" s="3629" t="s">
        <v>302</v>
      </c>
      <c r="C28" s="3629"/>
      <c r="E28" s="4194"/>
      <c r="F28" s="1383"/>
      <c r="G28" s="4191"/>
      <c r="H28" s="1383"/>
      <c r="I28" s="4188"/>
      <c r="J28" s="1381"/>
      <c r="K28" s="4185"/>
      <c r="L28" s="1381"/>
      <c r="M28" s="4197"/>
      <c r="N28" s="1381"/>
      <c r="O28" s="4200"/>
      <c r="P28" s="1381"/>
      <c r="Q28" s="4173"/>
      <c r="R28" s="1381"/>
      <c r="S28" s="4176"/>
      <c r="T28" s="1381"/>
      <c r="U28" s="3685"/>
      <c r="V28" s="1382"/>
      <c r="W28" s="4182"/>
      <c r="X28" s="1381"/>
      <c r="Y28" s="4179"/>
      <c r="Z28" s="1380"/>
      <c r="AA28" s="4203"/>
      <c r="AB28" s="1381"/>
      <c r="AC28" s="4200"/>
      <c r="AD28" s="1381"/>
      <c r="AE28" s="4206"/>
      <c r="AF28" s="1381"/>
      <c r="AG28" s="4215"/>
      <c r="AH28" s="1381"/>
      <c r="AI28" s="4218"/>
      <c r="AJ28" s="1381"/>
      <c r="AK28" s="4150"/>
      <c r="AL28" s="1381"/>
      <c r="AM28" s="4153"/>
      <c r="AN28" s="1381"/>
      <c r="AO28" s="4153"/>
      <c r="AP28" s="1381"/>
      <c r="AQ28" s="4153"/>
      <c r="AR28" s="1381"/>
      <c r="AS28" s="4153"/>
      <c r="AT28" s="1381"/>
      <c r="AU28" s="4153"/>
      <c r="AV28" s="1381"/>
      <c r="AW28" s="4153"/>
      <c r="AX28" s="1381"/>
      <c r="AY28" s="4212"/>
      <c r="AZ28" s="1381"/>
      <c r="BA28" s="4153"/>
      <c r="BB28" s="1381"/>
      <c r="BC28" s="4153"/>
      <c r="BD28" s="1381"/>
      <c r="BE28" s="4153"/>
      <c r="BF28" s="1381"/>
      <c r="BG28" s="4212"/>
      <c r="BH28" s="1381"/>
      <c r="BI28" s="4153"/>
      <c r="BJ28" s="1381"/>
      <c r="BK28" s="4153"/>
      <c r="BL28" s="1381"/>
      <c r="BM28" s="4153"/>
      <c r="BN28" s="1381"/>
      <c r="BO28" s="4153"/>
      <c r="BP28" s="1381"/>
      <c r="BQ28" s="4153"/>
      <c r="BR28" s="1381"/>
      <c r="BS28" s="4209"/>
    </row>
    <row r="29" spans="2:73" ht="21.95" customHeight="1" thickBot="1">
      <c r="B29" s="1378"/>
      <c r="C29" s="1378"/>
      <c r="E29" s="4194"/>
      <c r="F29" s="1383"/>
      <c r="G29" s="4191"/>
      <c r="H29" s="1383"/>
      <c r="I29" s="4188"/>
      <c r="J29" s="1381"/>
      <c r="K29" s="4185"/>
      <c r="L29" s="1381"/>
      <c r="M29" s="4197"/>
      <c r="N29" s="1381"/>
      <c r="O29" s="4200"/>
      <c r="P29" s="1381"/>
      <c r="Q29" s="4173"/>
      <c r="R29" s="1381"/>
      <c r="S29" s="4176"/>
      <c r="T29" s="1381"/>
      <c r="U29" s="3685"/>
      <c r="V29" s="1382"/>
      <c r="W29" s="4182"/>
      <c r="X29" s="1381"/>
      <c r="Y29" s="4179"/>
      <c r="Z29" s="1380"/>
      <c r="AA29" s="4203"/>
      <c r="AB29" s="1381"/>
      <c r="AC29" s="4200"/>
      <c r="AD29" s="1381"/>
      <c r="AE29" s="4206"/>
      <c r="AF29" s="1381"/>
      <c r="AG29" s="4215"/>
      <c r="AH29" s="1381"/>
      <c r="AI29" s="4218"/>
      <c r="AJ29" s="1381"/>
      <c r="AK29" s="4150"/>
      <c r="AL29" s="1381"/>
      <c r="AM29" s="4153"/>
      <c r="AN29" s="1381"/>
      <c r="AO29" s="4153"/>
      <c r="AP29" s="1381"/>
      <c r="AQ29" s="4153"/>
      <c r="AR29" s="1381"/>
      <c r="AS29" s="4153"/>
      <c r="AT29" s="1381"/>
      <c r="AU29" s="4153"/>
      <c r="AV29" s="1381"/>
      <c r="AW29" s="4153"/>
      <c r="AX29" s="1381"/>
      <c r="AY29" s="4212"/>
      <c r="AZ29" s="1381"/>
      <c r="BA29" s="4153"/>
      <c r="BB29" s="1381"/>
      <c r="BC29" s="4153"/>
      <c r="BD29" s="1381"/>
      <c r="BE29" s="4153"/>
      <c r="BF29" s="1381"/>
      <c r="BG29" s="4212"/>
      <c r="BH29" s="1381"/>
      <c r="BI29" s="4153"/>
      <c r="BJ29" s="1381"/>
      <c r="BK29" s="4153"/>
      <c r="BL29" s="1381"/>
      <c r="BM29" s="4153"/>
      <c r="BN29" s="1381"/>
      <c r="BO29" s="4153"/>
      <c r="BP29" s="1381"/>
      <c r="BQ29" s="4153"/>
      <c r="BR29" s="1381"/>
      <c r="BS29" s="4209"/>
    </row>
    <row r="30" spans="2:73" ht="21.95" customHeight="1">
      <c r="B30" s="4165" t="s">
        <v>714</v>
      </c>
      <c r="C30" s="4165"/>
      <c r="E30" s="4194"/>
      <c r="F30" s="1383"/>
      <c r="G30" s="4191"/>
      <c r="H30" s="1383"/>
      <c r="I30" s="4188"/>
      <c r="J30" s="1381"/>
      <c r="K30" s="4185"/>
      <c r="L30" s="1381"/>
      <c r="M30" s="4197"/>
      <c r="N30" s="1381"/>
      <c r="O30" s="4200"/>
      <c r="P30" s="1381"/>
      <c r="Q30" s="4173"/>
      <c r="R30" s="1381"/>
      <c r="S30" s="4176"/>
      <c r="T30" s="1381"/>
      <c r="U30" s="3685"/>
      <c r="V30" s="1382"/>
      <c r="W30" s="4182"/>
      <c r="X30" s="1381"/>
      <c r="Y30" s="4179"/>
      <c r="Z30" s="1380"/>
      <c r="AA30" s="4203"/>
      <c r="AB30" s="1381"/>
      <c r="AC30" s="4200"/>
      <c r="AD30" s="1381"/>
      <c r="AE30" s="4206"/>
      <c r="AF30" s="1381"/>
      <c r="AG30" s="4215"/>
      <c r="AH30" s="1381"/>
      <c r="AI30" s="4218"/>
      <c r="AJ30" s="1381"/>
      <c r="AK30" s="4150"/>
      <c r="AL30" s="1381"/>
      <c r="AM30" s="4153"/>
      <c r="AN30" s="1381"/>
      <c r="AO30" s="4153"/>
      <c r="AP30" s="1381"/>
      <c r="AQ30" s="4153"/>
      <c r="AR30" s="1381"/>
      <c r="AS30" s="4153"/>
      <c r="AT30" s="1381"/>
      <c r="AU30" s="4153"/>
      <c r="AV30" s="1381"/>
      <c r="AW30" s="4153"/>
      <c r="AX30" s="1381"/>
      <c r="AY30" s="4212"/>
      <c r="AZ30" s="1381"/>
      <c r="BA30" s="4153"/>
      <c r="BB30" s="1381"/>
      <c r="BC30" s="4153"/>
      <c r="BD30" s="1381"/>
      <c r="BE30" s="4153"/>
      <c r="BF30" s="1381"/>
      <c r="BG30" s="4212"/>
      <c r="BH30" s="1381"/>
      <c r="BI30" s="4153"/>
      <c r="BJ30" s="1381"/>
      <c r="BK30" s="4153"/>
      <c r="BL30" s="1381"/>
      <c r="BM30" s="4153"/>
      <c r="BN30" s="1381"/>
      <c r="BO30" s="4153"/>
      <c r="BP30" s="1381"/>
      <c r="BQ30" s="4153"/>
      <c r="BR30" s="1381"/>
      <c r="BS30" s="4209"/>
    </row>
    <row r="31" spans="2:73" ht="21.95" customHeight="1" thickBot="1">
      <c r="B31" s="1378"/>
      <c r="C31" s="1378"/>
      <c r="E31" s="4194"/>
      <c r="F31" s="1383"/>
      <c r="G31" s="4191"/>
      <c r="H31" s="1383"/>
      <c r="I31" s="4188"/>
      <c r="J31" s="1381"/>
      <c r="K31" s="4185"/>
      <c r="L31" s="1381"/>
      <c r="M31" s="4197"/>
      <c r="N31" s="1381"/>
      <c r="O31" s="4200"/>
      <c r="P31" s="1381"/>
      <c r="Q31" s="4173"/>
      <c r="R31" s="1381"/>
      <c r="S31" s="4176"/>
      <c r="T31" s="1381"/>
      <c r="U31" s="3685"/>
      <c r="V31" s="1382"/>
      <c r="W31" s="4182"/>
      <c r="X31" s="1381"/>
      <c r="Y31" s="4179"/>
      <c r="Z31" s="1380"/>
      <c r="AA31" s="4203"/>
      <c r="AB31" s="1381"/>
      <c r="AC31" s="4200"/>
      <c r="AD31" s="1381"/>
      <c r="AE31" s="4206"/>
      <c r="AF31" s="1381"/>
      <c r="AG31" s="4215"/>
      <c r="AH31" s="1381"/>
      <c r="AI31" s="4218"/>
      <c r="AJ31" s="1381"/>
      <c r="AK31" s="4150"/>
      <c r="AL31" s="1381"/>
      <c r="AM31" s="4153"/>
      <c r="AN31" s="1381"/>
      <c r="AO31" s="4153"/>
      <c r="AP31" s="1381"/>
      <c r="AQ31" s="4153"/>
      <c r="AR31" s="1381"/>
      <c r="AS31" s="4153"/>
      <c r="AT31" s="1381"/>
      <c r="AU31" s="4153"/>
      <c r="AV31" s="1381"/>
      <c r="AW31" s="4153"/>
      <c r="AX31" s="1381"/>
      <c r="AY31" s="4212"/>
      <c r="AZ31" s="1381"/>
      <c r="BA31" s="4153"/>
      <c r="BB31" s="1381"/>
      <c r="BC31" s="4153"/>
      <c r="BD31" s="1381"/>
      <c r="BE31" s="4153"/>
      <c r="BF31" s="1381"/>
      <c r="BG31" s="4212"/>
      <c r="BH31" s="1381"/>
      <c r="BI31" s="4153"/>
      <c r="BJ31" s="1381"/>
      <c r="BK31" s="4153"/>
      <c r="BL31" s="1381"/>
      <c r="BM31" s="4153"/>
      <c r="BN31" s="1381"/>
      <c r="BO31" s="4153"/>
      <c r="BP31" s="1381"/>
      <c r="BQ31" s="4153"/>
      <c r="BR31" s="1381"/>
      <c r="BS31" s="4209"/>
    </row>
    <row r="32" spans="2:73" ht="21.95" customHeight="1">
      <c r="B32" s="4161" t="s">
        <v>713</v>
      </c>
      <c r="C32" s="4161"/>
      <c r="E32" s="4194"/>
      <c r="F32" s="1383"/>
      <c r="G32" s="4191"/>
      <c r="H32" s="1383"/>
      <c r="I32" s="4188"/>
      <c r="J32" s="1381"/>
      <c r="K32" s="4185"/>
      <c r="L32" s="1381"/>
      <c r="M32" s="4197"/>
      <c r="N32" s="1381"/>
      <c r="O32" s="4200"/>
      <c r="P32" s="1381"/>
      <c r="Q32" s="4173"/>
      <c r="R32" s="1381"/>
      <c r="S32" s="4176"/>
      <c r="T32" s="1381"/>
      <c r="U32" s="3685"/>
      <c r="V32" s="1382"/>
      <c r="W32" s="4182"/>
      <c r="X32" s="1381"/>
      <c r="Y32" s="4179"/>
      <c r="Z32" s="1380"/>
      <c r="AA32" s="4203"/>
      <c r="AB32" s="1381"/>
      <c r="AC32" s="4200"/>
      <c r="AD32" s="1381"/>
      <c r="AE32" s="4206"/>
      <c r="AF32" s="1381"/>
      <c r="AG32" s="4215"/>
      <c r="AH32" s="1381"/>
      <c r="AI32" s="4218"/>
      <c r="AJ32" s="1381"/>
      <c r="AK32" s="4150"/>
      <c r="AL32" s="1381"/>
      <c r="AM32" s="4153"/>
      <c r="AN32" s="1381"/>
      <c r="AO32" s="4153"/>
      <c r="AP32" s="1381"/>
      <c r="AQ32" s="4153"/>
      <c r="AR32" s="1381"/>
      <c r="AS32" s="4153"/>
      <c r="AT32" s="1381"/>
      <c r="AU32" s="4153"/>
      <c r="AV32" s="1381"/>
      <c r="AW32" s="4153"/>
      <c r="AX32" s="1381"/>
      <c r="AY32" s="4212"/>
      <c r="AZ32" s="1381"/>
      <c r="BA32" s="4153"/>
      <c r="BB32" s="1381"/>
      <c r="BC32" s="4153"/>
      <c r="BD32" s="1381"/>
      <c r="BE32" s="4153"/>
      <c r="BF32" s="1381"/>
      <c r="BG32" s="4212"/>
      <c r="BH32" s="1381"/>
      <c r="BI32" s="4153"/>
      <c r="BJ32" s="1381"/>
      <c r="BK32" s="4153"/>
      <c r="BL32" s="1381"/>
      <c r="BM32" s="4153"/>
      <c r="BN32" s="1381"/>
      <c r="BO32" s="4153"/>
      <c r="BP32" s="1381"/>
      <c r="BQ32" s="4153"/>
      <c r="BR32" s="1381"/>
      <c r="BS32" s="4209"/>
    </row>
    <row r="33" spans="2:71" ht="21.95" customHeight="1" thickBot="1">
      <c r="B33" s="1378"/>
      <c r="C33" s="1378"/>
      <c r="E33" s="4194"/>
      <c r="F33" s="1383"/>
      <c r="G33" s="4191"/>
      <c r="H33" s="1383"/>
      <c r="I33" s="4188"/>
      <c r="J33" s="1381"/>
      <c r="K33" s="4185"/>
      <c r="L33" s="1381"/>
      <c r="M33" s="4197"/>
      <c r="N33" s="1381"/>
      <c r="O33" s="4200"/>
      <c r="P33" s="1381"/>
      <c r="Q33" s="4173"/>
      <c r="R33" s="1381"/>
      <c r="S33" s="4176"/>
      <c r="T33" s="1381"/>
      <c r="U33" s="3685"/>
      <c r="V33" s="1382"/>
      <c r="W33" s="4182"/>
      <c r="X33" s="1381"/>
      <c r="Y33" s="4179"/>
      <c r="Z33" s="1380"/>
      <c r="AA33" s="4203"/>
      <c r="AB33" s="1381"/>
      <c r="AC33" s="4200"/>
      <c r="AD33" s="1381"/>
      <c r="AE33" s="4206"/>
      <c r="AF33" s="1381"/>
      <c r="AG33" s="4215"/>
      <c r="AH33" s="1381"/>
      <c r="AI33" s="4218"/>
      <c r="AJ33" s="1381"/>
      <c r="AK33" s="4150"/>
      <c r="AL33" s="1381"/>
      <c r="AM33" s="4153"/>
      <c r="AN33" s="1381"/>
      <c r="AO33" s="4153"/>
      <c r="AP33" s="1381"/>
      <c r="AQ33" s="4153"/>
      <c r="AR33" s="1381"/>
      <c r="AS33" s="4153"/>
      <c r="AT33" s="1381"/>
      <c r="AU33" s="4153"/>
      <c r="AV33" s="1381"/>
      <c r="AW33" s="4153"/>
      <c r="AX33" s="1381"/>
      <c r="AY33" s="4212"/>
      <c r="AZ33" s="1381"/>
      <c r="BA33" s="4153"/>
      <c r="BB33" s="1381"/>
      <c r="BC33" s="4153"/>
      <c r="BD33" s="1381"/>
      <c r="BE33" s="4153"/>
      <c r="BF33" s="1381"/>
      <c r="BG33" s="4212"/>
      <c r="BH33" s="1381"/>
      <c r="BI33" s="4153"/>
      <c r="BJ33" s="1381"/>
      <c r="BK33" s="4153"/>
      <c r="BL33" s="1381"/>
      <c r="BM33" s="4153"/>
      <c r="BN33" s="1381"/>
      <c r="BO33" s="4153"/>
      <c r="BP33" s="1381"/>
      <c r="BQ33" s="4153"/>
      <c r="BR33" s="1381"/>
      <c r="BS33" s="4209"/>
    </row>
    <row r="34" spans="2:71" ht="21.95" customHeight="1">
      <c r="B34" s="4159" t="s">
        <v>712</v>
      </c>
      <c r="C34" s="4159"/>
      <c r="E34" s="4194"/>
      <c r="F34" s="1383"/>
      <c r="G34" s="4191"/>
      <c r="H34" s="1383"/>
      <c r="I34" s="4188"/>
      <c r="J34" s="1381"/>
      <c r="K34" s="4185"/>
      <c r="L34" s="1381"/>
      <c r="M34" s="4197"/>
      <c r="N34" s="1381"/>
      <c r="O34" s="4200"/>
      <c r="P34" s="1381"/>
      <c r="Q34" s="4173"/>
      <c r="R34" s="1381"/>
      <c r="S34" s="4176"/>
      <c r="T34" s="1381"/>
      <c r="U34" s="3685"/>
      <c r="V34" s="1382"/>
      <c r="W34" s="4182"/>
      <c r="X34" s="1381"/>
      <c r="Y34" s="4179"/>
      <c r="Z34" s="1380"/>
      <c r="AA34" s="4203"/>
      <c r="AB34" s="1381"/>
      <c r="AC34" s="4200"/>
      <c r="AD34" s="1381"/>
      <c r="AE34" s="4206"/>
      <c r="AF34" s="1381"/>
      <c r="AG34" s="4215"/>
      <c r="AH34" s="1381"/>
      <c r="AI34" s="4218"/>
      <c r="AJ34" s="1381"/>
      <c r="AK34" s="4150"/>
      <c r="AL34" s="1381"/>
      <c r="AM34" s="4153"/>
      <c r="AN34" s="1381"/>
      <c r="AO34" s="4153"/>
      <c r="AP34" s="1381"/>
      <c r="AQ34" s="4153"/>
      <c r="AR34" s="1381"/>
      <c r="AS34" s="4153"/>
      <c r="AT34" s="1381"/>
      <c r="AU34" s="4153"/>
      <c r="AV34" s="1381"/>
      <c r="AW34" s="4153"/>
      <c r="AX34" s="1381"/>
      <c r="AY34" s="4212"/>
      <c r="AZ34" s="1381"/>
      <c r="BA34" s="4153"/>
      <c r="BB34" s="1381"/>
      <c r="BC34" s="4153"/>
      <c r="BD34" s="1381"/>
      <c r="BE34" s="4153"/>
      <c r="BF34" s="1381"/>
      <c r="BG34" s="4212"/>
      <c r="BH34" s="1381"/>
      <c r="BI34" s="4153"/>
      <c r="BJ34" s="1381"/>
      <c r="BK34" s="4153"/>
      <c r="BL34" s="1381"/>
      <c r="BM34" s="4153"/>
      <c r="BN34" s="1381"/>
      <c r="BO34" s="4153"/>
      <c r="BP34" s="1381"/>
      <c r="BQ34" s="4153"/>
      <c r="BR34" s="1381"/>
      <c r="BS34" s="4209"/>
    </row>
    <row r="35" spans="2:71" ht="21.95" customHeight="1" thickBot="1">
      <c r="B35" s="1378"/>
      <c r="C35" s="1378"/>
      <c r="E35" s="4194"/>
      <c r="F35" s="1383"/>
      <c r="G35" s="4191"/>
      <c r="H35" s="1383"/>
      <c r="I35" s="4188"/>
      <c r="J35" s="1381"/>
      <c r="K35" s="4185"/>
      <c r="L35" s="1381"/>
      <c r="M35" s="4197"/>
      <c r="N35" s="1381"/>
      <c r="O35" s="4200"/>
      <c r="P35" s="1381"/>
      <c r="Q35" s="4173"/>
      <c r="R35" s="1381"/>
      <c r="S35" s="4176"/>
      <c r="T35" s="1381"/>
      <c r="U35" s="3685"/>
      <c r="V35" s="1382"/>
      <c r="W35" s="4182"/>
      <c r="X35" s="1381"/>
      <c r="Y35" s="4179"/>
      <c r="Z35" s="1380"/>
      <c r="AA35" s="4203"/>
      <c r="AB35" s="1381"/>
      <c r="AC35" s="4200"/>
      <c r="AD35" s="1381"/>
      <c r="AE35" s="4206"/>
      <c r="AF35" s="1381"/>
      <c r="AG35" s="4215"/>
      <c r="AH35" s="1381"/>
      <c r="AI35" s="4218"/>
      <c r="AJ35" s="1381"/>
      <c r="AK35" s="4150"/>
      <c r="AL35" s="1381"/>
      <c r="AM35" s="4153"/>
      <c r="AN35" s="1381"/>
      <c r="AO35" s="4153"/>
      <c r="AP35" s="1381"/>
      <c r="AQ35" s="4153"/>
      <c r="AR35" s="1381"/>
      <c r="AS35" s="4153"/>
      <c r="AT35" s="1381"/>
      <c r="AU35" s="4153"/>
      <c r="AV35" s="1381"/>
      <c r="AW35" s="4153"/>
      <c r="AX35" s="1381"/>
      <c r="AY35" s="4212"/>
      <c r="AZ35" s="1381"/>
      <c r="BA35" s="4153"/>
      <c r="BB35" s="1381"/>
      <c r="BC35" s="4153"/>
      <c r="BD35" s="1381"/>
      <c r="BE35" s="4153"/>
      <c r="BF35" s="1381"/>
      <c r="BG35" s="4212"/>
      <c r="BH35" s="1381"/>
      <c r="BI35" s="4153"/>
      <c r="BJ35" s="1381"/>
      <c r="BK35" s="4153"/>
      <c r="BL35" s="1381"/>
      <c r="BM35" s="4153"/>
      <c r="BN35" s="1381"/>
      <c r="BO35" s="4153"/>
      <c r="BP35" s="1381"/>
      <c r="BQ35" s="4153"/>
      <c r="BR35" s="1381"/>
      <c r="BS35" s="4209"/>
    </row>
    <row r="36" spans="2:71" ht="21.95" customHeight="1">
      <c r="B36" s="4162" t="s">
        <v>711</v>
      </c>
      <c r="C36" s="4162"/>
      <c r="E36" s="4194"/>
      <c r="F36" s="1383"/>
      <c r="G36" s="4191"/>
      <c r="H36" s="1383"/>
      <c r="I36" s="4188"/>
      <c r="J36" s="1381"/>
      <c r="K36" s="4185"/>
      <c r="L36" s="1381"/>
      <c r="M36" s="4197"/>
      <c r="N36" s="1381"/>
      <c r="O36" s="4200"/>
      <c r="P36" s="1381"/>
      <c r="Q36" s="4173"/>
      <c r="R36" s="1381"/>
      <c r="S36" s="4176"/>
      <c r="T36" s="1381"/>
      <c r="U36" s="3685"/>
      <c r="V36" s="1382"/>
      <c r="W36" s="4182"/>
      <c r="X36" s="1381"/>
      <c r="Y36" s="4179"/>
      <c r="Z36" s="1380"/>
      <c r="AA36" s="4203"/>
      <c r="AB36" s="1381"/>
      <c r="AC36" s="4200"/>
      <c r="AD36" s="1381"/>
      <c r="AE36" s="4206"/>
      <c r="AF36" s="1381"/>
      <c r="AG36" s="4215"/>
      <c r="AH36" s="1381"/>
      <c r="AI36" s="4218"/>
      <c r="AJ36" s="1381"/>
      <c r="AK36" s="4150"/>
      <c r="AL36" s="1381"/>
      <c r="AM36" s="4153"/>
      <c r="AN36" s="1381"/>
      <c r="AO36" s="4153"/>
      <c r="AP36" s="1381"/>
      <c r="AQ36" s="4153"/>
      <c r="AR36" s="1381"/>
      <c r="AS36" s="4153"/>
      <c r="AT36" s="1381"/>
      <c r="AU36" s="4153"/>
      <c r="AV36" s="1381"/>
      <c r="AW36" s="4153"/>
      <c r="AX36" s="1381"/>
      <c r="AY36" s="4212"/>
      <c r="AZ36" s="1381"/>
      <c r="BA36" s="4153"/>
      <c r="BB36" s="1381"/>
      <c r="BC36" s="4153"/>
      <c r="BD36" s="1381"/>
      <c r="BE36" s="4153"/>
      <c r="BF36" s="1381"/>
      <c r="BG36" s="4212"/>
      <c r="BH36" s="1381"/>
      <c r="BI36" s="4153"/>
      <c r="BJ36" s="1381"/>
      <c r="BK36" s="4153"/>
      <c r="BL36" s="1381"/>
      <c r="BM36" s="4153"/>
      <c r="BN36" s="1381"/>
      <c r="BO36" s="4153"/>
      <c r="BP36" s="1381"/>
      <c r="BQ36" s="4153"/>
      <c r="BR36" s="1381"/>
      <c r="BS36" s="4209"/>
    </row>
    <row r="37" spans="2:71" ht="21.95" customHeight="1" thickBot="1">
      <c r="B37" s="1378"/>
      <c r="C37" s="1378"/>
      <c r="E37" s="4194"/>
      <c r="F37" s="1383"/>
      <c r="G37" s="4191"/>
      <c r="H37" s="1383"/>
      <c r="I37" s="4188"/>
      <c r="J37" s="1381"/>
      <c r="K37" s="4185"/>
      <c r="L37" s="1381"/>
      <c r="M37" s="4197"/>
      <c r="N37" s="1381"/>
      <c r="O37" s="4200"/>
      <c r="P37" s="1381"/>
      <c r="Q37" s="4173"/>
      <c r="R37" s="1381"/>
      <c r="S37" s="4176"/>
      <c r="T37" s="1381"/>
      <c r="U37" s="3685"/>
      <c r="V37" s="1382"/>
      <c r="W37" s="4182"/>
      <c r="X37" s="1381"/>
      <c r="Y37" s="4179"/>
      <c r="Z37" s="1380"/>
      <c r="AA37" s="4203"/>
      <c r="AB37" s="1381"/>
      <c r="AC37" s="4200"/>
      <c r="AD37" s="1381"/>
      <c r="AE37" s="4206"/>
      <c r="AF37" s="1381"/>
      <c r="AG37" s="4215"/>
      <c r="AH37" s="1381"/>
      <c r="AI37" s="4218"/>
      <c r="AJ37" s="1381"/>
      <c r="AK37" s="4150"/>
      <c r="AL37" s="1381"/>
      <c r="AM37" s="4153"/>
      <c r="AN37" s="1381"/>
      <c r="AO37" s="4153"/>
      <c r="AP37" s="1381"/>
      <c r="AQ37" s="4153"/>
      <c r="AR37" s="1381"/>
      <c r="AS37" s="4153"/>
      <c r="AT37" s="1381"/>
      <c r="AU37" s="4153"/>
      <c r="AV37" s="1381"/>
      <c r="AW37" s="4153"/>
      <c r="AX37" s="1381"/>
      <c r="AY37" s="4212"/>
      <c r="AZ37" s="1381"/>
      <c r="BA37" s="4153"/>
      <c r="BB37" s="1381"/>
      <c r="BC37" s="4153"/>
      <c r="BD37" s="1381"/>
      <c r="BE37" s="4153"/>
      <c r="BF37" s="1381"/>
      <c r="BG37" s="4212"/>
      <c r="BH37" s="1381"/>
      <c r="BI37" s="4153"/>
      <c r="BJ37" s="1381"/>
      <c r="BK37" s="4153"/>
      <c r="BL37" s="1381"/>
      <c r="BM37" s="4153"/>
      <c r="BN37" s="1381"/>
      <c r="BO37" s="4153"/>
      <c r="BP37" s="1381"/>
      <c r="BQ37" s="4153"/>
      <c r="BR37" s="1381"/>
      <c r="BS37" s="4209"/>
    </row>
    <row r="38" spans="2:71" ht="21.95" customHeight="1">
      <c r="B38" s="4169" t="s">
        <v>710</v>
      </c>
      <c r="C38" s="4169"/>
      <c r="E38" s="4194"/>
      <c r="F38" s="1383"/>
      <c r="G38" s="4191"/>
      <c r="H38" s="1383"/>
      <c r="I38" s="4188"/>
      <c r="J38" s="1381"/>
      <c r="K38" s="4185"/>
      <c r="L38" s="1381"/>
      <c r="M38" s="4197"/>
      <c r="N38" s="1381"/>
      <c r="O38" s="4200"/>
      <c r="P38" s="1381"/>
      <c r="Q38" s="4173"/>
      <c r="R38" s="1381"/>
      <c r="S38" s="4176"/>
      <c r="T38" s="1381"/>
      <c r="U38" s="3685"/>
      <c r="V38" s="1382"/>
      <c r="W38" s="4182"/>
      <c r="X38" s="1381"/>
      <c r="Y38" s="4179"/>
      <c r="Z38" s="1380"/>
      <c r="AA38" s="4203"/>
      <c r="AB38" s="1381"/>
      <c r="AC38" s="4200"/>
      <c r="AD38" s="1381"/>
      <c r="AE38" s="4206"/>
      <c r="AF38" s="1381"/>
      <c r="AG38" s="4215"/>
      <c r="AH38" s="1381"/>
      <c r="AI38" s="4218"/>
      <c r="AJ38" s="1381"/>
      <c r="AK38" s="4150"/>
      <c r="AL38" s="1381"/>
      <c r="AM38" s="4153"/>
      <c r="AN38" s="1381"/>
      <c r="AO38" s="4153"/>
      <c r="AP38" s="1381"/>
      <c r="AQ38" s="4153"/>
      <c r="AR38" s="1381"/>
      <c r="AS38" s="4153"/>
      <c r="AT38" s="1381"/>
      <c r="AU38" s="4153"/>
      <c r="AV38" s="1381"/>
      <c r="AW38" s="4153"/>
      <c r="AX38" s="1381"/>
      <c r="AY38" s="4212"/>
      <c r="AZ38" s="1381"/>
      <c r="BA38" s="4153"/>
      <c r="BB38" s="1381"/>
      <c r="BC38" s="4153"/>
      <c r="BD38" s="1381"/>
      <c r="BE38" s="4153"/>
      <c r="BF38" s="1381"/>
      <c r="BG38" s="4212"/>
      <c r="BH38" s="1381"/>
      <c r="BI38" s="4153"/>
      <c r="BJ38" s="1381"/>
      <c r="BK38" s="4153"/>
      <c r="BL38" s="1381"/>
      <c r="BM38" s="4153"/>
      <c r="BN38" s="1381"/>
      <c r="BO38" s="4153"/>
      <c r="BP38" s="1381"/>
      <c r="BQ38" s="4153"/>
      <c r="BR38" s="1381"/>
      <c r="BS38" s="4209"/>
    </row>
    <row r="39" spans="2:71" ht="21.95" customHeight="1" thickBot="1">
      <c r="B39" s="1378"/>
      <c r="C39" s="1378"/>
      <c r="E39" s="4194"/>
      <c r="F39" s="1383"/>
      <c r="G39" s="4191"/>
      <c r="H39" s="1383"/>
      <c r="I39" s="4188"/>
      <c r="J39" s="1381"/>
      <c r="K39" s="4185"/>
      <c r="L39" s="1381"/>
      <c r="M39" s="4197"/>
      <c r="N39" s="1381"/>
      <c r="O39" s="4200"/>
      <c r="P39" s="1381"/>
      <c r="Q39" s="4173"/>
      <c r="R39" s="1381"/>
      <c r="S39" s="4176"/>
      <c r="T39" s="1381"/>
      <c r="U39" s="3685"/>
      <c r="V39" s="1382"/>
      <c r="W39" s="4182"/>
      <c r="X39" s="1381"/>
      <c r="Y39" s="4179"/>
      <c r="Z39" s="1380"/>
      <c r="AA39" s="4203"/>
      <c r="AB39" s="1381"/>
      <c r="AC39" s="4200"/>
      <c r="AD39" s="1381"/>
      <c r="AE39" s="4206"/>
      <c r="AF39" s="1381"/>
      <c r="AG39" s="4215"/>
      <c r="AH39" s="1381"/>
      <c r="AI39" s="4218"/>
      <c r="AJ39" s="1381"/>
      <c r="AK39" s="4150"/>
      <c r="AL39" s="1381"/>
      <c r="AM39" s="4153"/>
      <c r="AN39" s="1381"/>
      <c r="AO39" s="4153"/>
      <c r="AP39" s="1381"/>
      <c r="AQ39" s="4153"/>
      <c r="AR39" s="1381"/>
      <c r="AS39" s="4153"/>
      <c r="AT39" s="1381"/>
      <c r="AU39" s="4153"/>
      <c r="AV39" s="1381"/>
      <c r="AW39" s="4153"/>
      <c r="AX39" s="1381"/>
      <c r="AY39" s="4212"/>
      <c r="AZ39" s="1381"/>
      <c r="BA39" s="4153"/>
      <c r="BB39" s="1381"/>
      <c r="BC39" s="4153"/>
      <c r="BD39" s="1381"/>
      <c r="BE39" s="4153"/>
      <c r="BF39" s="1381"/>
      <c r="BG39" s="4212"/>
      <c r="BH39" s="1381"/>
      <c r="BI39" s="4153"/>
      <c r="BJ39" s="1381"/>
      <c r="BK39" s="4153"/>
      <c r="BL39" s="1381"/>
      <c r="BM39" s="4153"/>
      <c r="BN39" s="1381"/>
      <c r="BO39" s="4153"/>
      <c r="BP39" s="1381"/>
      <c r="BQ39" s="4153"/>
      <c r="BR39" s="1381"/>
      <c r="BS39" s="4209"/>
    </row>
    <row r="40" spans="2:71" ht="21.95" customHeight="1">
      <c r="B40" s="4166" t="s">
        <v>709</v>
      </c>
      <c r="C40" s="4166"/>
      <c r="E40" s="4194"/>
      <c r="F40" s="1383"/>
      <c r="G40" s="4191"/>
      <c r="H40" s="1383"/>
      <c r="I40" s="4188"/>
      <c r="J40" s="1381"/>
      <c r="K40" s="4185"/>
      <c r="L40" s="1381"/>
      <c r="M40" s="4197"/>
      <c r="N40" s="1381"/>
      <c r="O40" s="4200"/>
      <c r="P40" s="1381"/>
      <c r="Q40" s="4173"/>
      <c r="R40" s="1381"/>
      <c r="S40" s="4176"/>
      <c r="T40" s="1381"/>
      <c r="U40" s="3685"/>
      <c r="V40" s="1382"/>
      <c r="W40" s="4182"/>
      <c r="X40" s="1381"/>
      <c r="Y40" s="4179"/>
      <c r="Z40" s="1380"/>
      <c r="AA40" s="4203"/>
      <c r="AB40" s="1381"/>
      <c r="AC40" s="4200"/>
      <c r="AD40" s="1381"/>
      <c r="AE40" s="4206"/>
      <c r="AF40" s="1381"/>
      <c r="AG40" s="4215"/>
      <c r="AH40" s="1381"/>
      <c r="AI40" s="4218"/>
      <c r="AJ40" s="1381"/>
      <c r="AK40" s="4150"/>
      <c r="AL40" s="1381"/>
      <c r="AM40" s="4153"/>
      <c r="AN40" s="1381"/>
      <c r="AO40" s="4153"/>
      <c r="AP40" s="1381"/>
      <c r="AQ40" s="4153"/>
      <c r="AR40" s="1381"/>
      <c r="AS40" s="4153"/>
      <c r="AT40" s="1381"/>
      <c r="AU40" s="4153"/>
      <c r="AV40" s="1381"/>
      <c r="AW40" s="4153"/>
      <c r="AX40" s="1381"/>
      <c r="AY40" s="4212"/>
      <c r="AZ40" s="1381"/>
      <c r="BA40" s="4153"/>
      <c r="BB40" s="1381"/>
      <c r="BC40" s="4153"/>
      <c r="BD40" s="1381"/>
      <c r="BE40" s="4153"/>
      <c r="BF40" s="1381"/>
      <c r="BG40" s="4212"/>
      <c r="BH40" s="1381"/>
      <c r="BI40" s="4153"/>
      <c r="BJ40" s="1381"/>
      <c r="BK40" s="4153"/>
      <c r="BL40" s="1381"/>
      <c r="BM40" s="4153"/>
      <c r="BN40" s="1381"/>
      <c r="BO40" s="4153"/>
      <c r="BP40" s="1381"/>
      <c r="BQ40" s="4153"/>
      <c r="BR40" s="1381"/>
      <c r="BS40" s="4209"/>
    </row>
    <row r="41" spans="2:71" ht="21.95" customHeight="1" thickBot="1">
      <c r="B41" s="1378"/>
      <c r="C41" s="1378"/>
      <c r="E41" s="4194"/>
      <c r="F41" s="1383"/>
      <c r="G41" s="4191"/>
      <c r="H41" s="1383"/>
      <c r="I41" s="4188"/>
      <c r="J41" s="1381"/>
      <c r="K41" s="4185"/>
      <c r="L41" s="1381"/>
      <c r="M41" s="4197"/>
      <c r="N41" s="1381"/>
      <c r="O41" s="4200"/>
      <c r="P41" s="1381"/>
      <c r="Q41" s="4173"/>
      <c r="R41" s="1381"/>
      <c r="S41" s="4176"/>
      <c r="T41" s="1381"/>
      <c r="U41" s="3685"/>
      <c r="V41" s="1382"/>
      <c r="W41" s="4182"/>
      <c r="X41" s="1381"/>
      <c r="Y41" s="4179"/>
      <c r="Z41" s="1380"/>
      <c r="AA41" s="4203"/>
      <c r="AB41" s="1381"/>
      <c r="AC41" s="4200"/>
      <c r="AD41" s="1381"/>
      <c r="AE41" s="4206"/>
      <c r="AF41" s="1381"/>
      <c r="AG41" s="4215"/>
      <c r="AH41" s="1381"/>
      <c r="AI41" s="4218"/>
      <c r="AJ41" s="1381"/>
      <c r="AK41" s="4150"/>
      <c r="AL41" s="1381"/>
      <c r="AM41" s="4153"/>
      <c r="AN41" s="1381"/>
      <c r="AO41" s="4153"/>
      <c r="AP41" s="1381"/>
      <c r="AQ41" s="4153"/>
      <c r="AR41" s="1381"/>
      <c r="AS41" s="4153"/>
      <c r="AT41" s="1381"/>
      <c r="AU41" s="4153"/>
      <c r="AV41" s="1381"/>
      <c r="AW41" s="4153"/>
      <c r="AX41" s="1381"/>
      <c r="AY41" s="4212"/>
      <c r="AZ41" s="1381"/>
      <c r="BA41" s="4153"/>
      <c r="BB41" s="1381"/>
      <c r="BC41" s="4153"/>
      <c r="BD41" s="1381"/>
      <c r="BE41" s="4153"/>
      <c r="BF41" s="1381"/>
      <c r="BG41" s="4212"/>
      <c r="BH41" s="1381"/>
      <c r="BI41" s="4153"/>
      <c r="BJ41" s="1381"/>
      <c r="BK41" s="4153"/>
      <c r="BL41" s="1381"/>
      <c r="BM41" s="4153"/>
      <c r="BN41" s="1381"/>
      <c r="BO41" s="4153"/>
      <c r="BP41" s="1381"/>
      <c r="BQ41" s="4153"/>
      <c r="BR41" s="1381"/>
      <c r="BS41" s="4209"/>
    </row>
    <row r="42" spans="2:71" ht="21.95" customHeight="1">
      <c r="B42" s="4170" t="s">
        <v>708</v>
      </c>
      <c r="C42" s="4170"/>
      <c r="E42" s="4194"/>
      <c r="F42" s="1383"/>
      <c r="G42" s="4191"/>
      <c r="H42" s="1383"/>
      <c r="I42" s="4188"/>
      <c r="J42" s="1381"/>
      <c r="K42" s="4185"/>
      <c r="L42" s="1381"/>
      <c r="M42" s="4197"/>
      <c r="N42" s="1381"/>
      <c r="O42" s="4200"/>
      <c r="P42" s="1381"/>
      <c r="Q42" s="4173"/>
      <c r="R42" s="1381"/>
      <c r="S42" s="4176"/>
      <c r="T42" s="1381"/>
      <c r="U42" s="3685"/>
      <c r="V42" s="1382"/>
      <c r="W42" s="4182"/>
      <c r="X42" s="1381"/>
      <c r="Y42" s="4179"/>
      <c r="Z42" s="1380"/>
      <c r="AA42" s="4203"/>
      <c r="AB42" s="1381"/>
      <c r="AC42" s="4200"/>
      <c r="AD42" s="1381"/>
      <c r="AE42" s="4206"/>
      <c r="AF42" s="1381"/>
      <c r="AG42" s="4215"/>
      <c r="AH42" s="1381"/>
      <c r="AI42" s="4218"/>
      <c r="AJ42" s="1381"/>
      <c r="AK42" s="4150"/>
      <c r="AL42" s="1381"/>
      <c r="AM42" s="4153"/>
      <c r="AN42" s="1381"/>
      <c r="AO42" s="4153"/>
      <c r="AP42" s="1381"/>
      <c r="AQ42" s="4153"/>
      <c r="AR42" s="1381"/>
      <c r="AS42" s="4153"/>
      <c r="AT42" s="1381"/>
      <c r="AU42" s="4153"/>
      <c r="AV42" s="1381"/>
      <c r="AW42" s="4153"/>
      <c r="AX42" s="1381"/>
      <c r="AY42" s="4212"/>
      <c r="AZ42" s="1381"/>
      <c r="BA42" s="4153"/>
      <c r="BB42" s="1381"/>
      <c r="BC42" s="4153"/>
      <c r="BD42" s="1381"/>
      <c r="BE42" s="4153"/>
      <c r="BF42" s="1381"/>
      <c r="BG42" s="4212"/>
      <c r="BH42" s="1381"/>
      <c r="BI42" s="4153"/>
      <c r="BJ42" s="1381"/>
      <c r="BK42" s="4153"/>
      <c r="BL42" s="1381"/>
      <c r="BM42" s="4153"/>
      <c r="BN42" s="1381"/>
      <c r="BO42" s="4153"/>
      <c r="BP42" s="1381"/>
      <c r="BQ42" s="4153"/>
      <c r="BR42" s="1381"/>
      <c r="BS42" s="4209"/>
    </row>
    <row r="43" spans="2:71" ht="21.95" customHeight="1">
      <c r="B43" s="1378"/>
      <c r="C43" s="1378"/>
      <c r="E43" s="4194"/>
      <c r="F43" s="1383"/>
      <c r="G43" s="4191"/>
      <c r="H43" s="1383"/>
      <c r="I43" s="4188"/>
      <c r="J43" s="1381"/>
      <c r="K43" s="4185"/>
      <c r="L43" s="1381"/>
      <c r="M43" s="4197"/>
      <c r="N43" s="1381"/>
      <c r="O43" s="4200"/>
      <c r="P43" s="1381"/>
      <c r="Q43" s="4173"/>
      <c r="R43" s="1381"/>
      <c r="S43" s="4176"/>
      <c r="T43" s="1381"/>
      <c r="U43" s="3685"/>
      <c r="V43" s="1382"/>
      <c r="W43" s="4182"/>
      <c r="X43" s="1381"/>
      <c r="Y43" s="4179"/>
      <c r="Z43" s="1380"/>
      <c r="AA43" s="4203"/>
      <c r="AB43" s="1381"/>
      <c r="AC43" s="4200"/>
      <c r="AD43" s="1381"/>
      <c r="AE43" s="4206"/>
      <c r="AF43" s="1381"/>
      <c r="AG43" s="4215"/>
      <c r="AH43" s="1381"/>
      <c r="AI43" s="4218"/>
      <c r="AJ43" s="1381"/>
      <c r="AK43" s="4150"/>
      <c r="AL43" s="1381"/>
      <c r="AM43" s="4153"/>
      <c r="AN43" s="1381"/>
      <c r="AO43" s="4153"/>
      <c r="AP43" s="1381"/>
      <c r="AQ43" s="4153"/>
      <c r="AR43" s="1381"/>
      <c r="AS43" s="4153"/>
      <c r="AT43" s="1381"/>
      <c r="AU43" s="4153"/>
      <c r="AV43" s="1381"/>
      <c r="AW43" s="4153"/>
      <c r="AX43" s="1381"/>
      <c r="AY43" s="4212"/>
      <c r="AZ43" s="1381"/>
      <c r="BA43" s="4153"/>
      <c r="BB43" s="1381"/>
      <c r="BC43" s="4153"/>
      <c r="BD43" s="1381"/>
      <c r="BE43" s="4153"/>
      <c r="BF43" s="1381"/>
      <c r="BG43" s="4212"/>
      <c r="BH43" s="1381"/>
      <c r="BI43" s="4153"/>
      <c r="BJ43" s="1381"/>
      <c r="BK43" s="4153"/>
      <c r="BL43" s="1381"/>
      <c r="BM43" s="4153"/>
      <c r="BN43" s="1381"/>
      <c r="BO43" s="4153"/>
      <c r="BP43" s="1381"/>
      <c r="BQ43" s="4153"/>
      <c r="BR43" s="1381"/>
      <c r="BS43" s="4209"/>
    </row>
    <row r="44" spans="2:71" ht="21.95" customHeight="1">
      <c r="B44" s="4171" t="s">
        <v>707</v>
      </c>
      <c r="C44" s="4171"/>
      <c r="E44" s="4194"/>
      <c r="F44" s="1383"/>
      <c r="G44" s="4191"/>
      <c r="H44" s="1383"/>
      <c r="I44" s="4188"/>
      <c r="J44" s="1381"/>
      <c r="K44" s="4185"/>
      <c r="L44" s="1381"/>
      <c r="M44" s="4197"/>
      <c r="N44" s="1381"/>
      <c r="O44" s="4200"/>
      <c r="P44" s="1381"/>
      <c r="Q44" s="4173"/>
      <c r="R44" s="1381"/>
      <c r="S44" s="4176"/>
      <c r="T44" s="1381"/>
      <c r="U44" s="3685"/>
      <c r="V44" s="1382"/>
      <c r="W44" s="4182"/>
      <c r="X44" s="1381"/>
      <c r="Y44" s="4179"/>
      <c r="Z44" s="1380"/>
      <c r="AA44" s="4203"/>
      <c r="AB44" s="1381"/>
      <c r="AC44" s="4200"/>
      <c r="AD44" s="1381"/>
      <c r="AE44" s="4206"/>
      <c r="AF44" s="1381"/>
      <c r="AG44" s="4215"/>
      <c r="AH44" s="1381"/>
      <c r="AI44" s="4218"/>
      <c r="AJ44" s="1381"/>
      <c r="AK44" s="4150"/>
      <c r="AL44" s="1381"/>
      <c r="AM44" s="4153"/>
      <c r="AN44" s="1381"/>
      <c r="AO44" s="4153"/>
      <c r="AP44" s="1381"/>
      <c r="AQ44" s="4153"/>
      <c r="AR44" s="1381"/>
      <c r="AS44" s="4153"/>
      <c r="AT44" s="1381"/>
      <c r="AU44" s="4153"/>
      <c r="AV44" s="1381"/>
      <c r="AW44" s="4153"/>
      <c r="AX44" s="1381"/>
      <c r="AY44" s="4212"/>
      <c r="AZ44" s="1381"/>
      <c r="BA44" s="4153"/>
      <c r="BB44" s="1381"/>
      <c r="BC44" s="4153"/>
      <c r="BD44" s="1381"/>
      <c r="BE44" s="4153"/>
      <c r="BF44" s="1381"/>
      <c r="BG44" s="4212"/>
      <c r="BH44" s="1381"/>
      <c r="BI44" s="4153"/>
      <c r="BJ44" s="1381"/>
      <c r="BK44" s="4153"/>
      <c r="BL44" s="1381"/>
      <c r="BM44" s="4153"/>
      <c r="BN44" s="1381"/>
      <c r="BO44" s="4153"/>
      <c r="BP44" s="1381"/>
      <c r="BQ44" s="4153"/>
      <c r="BR44" s="1381"/>
      <c r="BS44" s="4209"/>
    </row>
    <row r="45" spans="2:71" ht="21.95" customHeight="1" thickBot="1">
      <c r="B45" s="1378"/>
      <c r="C45" s="1378"/>
      <c r="E45" s="4194"/>
      <c r="F45" s="1383"/>
      <c r="G45" s="4191"/>
      <c r="H45" s="1383"/>
      <c r="I45" s="4188"/>
      <c r="J45" s="1381"/>
      <c r="K45" s="4185"/>
      <c r="L45" s="1381"/>
      <c r="M45" s="4197"/>
      <c r="N45" s="1381"/>
      <c r="O45" s="4200"/>
      <c r="P45" s="1381"/>
      <c r="Q45" s="4173"/>
      <c r="R45" s="1381"/>
      <c r="S45" s="4176"/>
      <c r="T45" s="1381"/>
      <c r="U45" s="3685"/>
      <c r="V45" s="1382"/>
      <c r="W45" s="4182"/>
      <c r="X45" s="1381"/>
      <c r="Y45" s="4179"/>
      <c r="Z45" s="1380"/>
      <c r="AA45" s="4203"/>
      <c r="AB45" s="1381"/>
      <c r="AC45" s="4200"/>
      <c r="AD45" s="1381"/>
      <c r="AE45" s="4206"/>
      <c r="AF45" s="1381"/>
      <c r="AG45" s="4215"/>
      <c r="AH45" s="1381"/>
      <c r="AI45" s="4218"/>
      <c r="AJ45" s="1381"/>
      <c r="AK45" s="4150"/>
      <c r="AL45" s="1381"/>
      <c r="AM45" s="4153"/>
      <c r="AN45" s="1381"/>
      <c r="AO45" s="4153"/>
      <c r="AP45" s="1381"/>
      <c r="AQ45" s="4153"/>
      <c r="AR45" s="1381"/>
      <c r="AS45" s="4153"/>
      <c r="AT45" s="1381"/>
      <c r="AU45" s="4153"/>
      <c r="AV45" s="1381"/>
      <c r="AW45" s="4153"/>
      <c r="AX45" s="1381"/>
      <c r="AY45" s="4212"/>
      <c r="AZ45" s="1381"/>
      <c r="BA45" s="4153"/>
      <c r="BB45" s="1381"/>
      <c r="BC45" s="4153"/>
      <c r="BD45" s="1381"/>
      <c r="BE45" s="4153"/>
      <c r="BF45" s="1381"/>
      <c r="BG45" s="4212"/>
      <c r="BH45" s="1381"/>
      <c r="BI45" s="4153"/>
      <c r="BJ45" s="1381"/>
      <c r="BK45" s="4153"/>
      <c r="BL45" s="1381"/>
      <c r="BM45" s="4153"/>
      <c r="BN45" s="1381"/>
      <c r="BO45" s="4153"/>
      <c r="BP45" s="1381"/>
      <c r="BQ45" s="4153"/>
      <c r="BR45" s="1381"/>
      <c r="BS45" s="4209"/>
    </row>
    <row r="46" spans="2:71" ht="21.95" customHeight="1">
      <c r="B46" s="4167" t="s">
        <v>706</v>
      </c>
      <c r="C46" s="4167"/>
      <c r="E46" s="4194"/>
      <c r="F46" s="1383"/>
      <c r="G46" s="4191"/>
      <c r="H46" s="1383"/>
      <c r="I46" s="4188"/>
      <c r="J46" s="1381"/>
      <c r="K46" s="4185"/>
      <c r="L46" s="1381"/>
      <c r="M46" s="4197"/>
      <c r="N46" s="1381"/>
      <c r="O46" s="4200"/>
      <c r="P46" s="1381"/>
      <c r="Q46" s="4173"/>
      <c r="R46" s="1381"/>
      <c r="S46" s="4176"/>
      <c r="T46" s="1381"/>
      <c r="U46" s="3685"/>
      <c r="V46" s="1382"/>
      <c r="W46" s="4182"/>
      <c r="X46" s="1381"/>
      <c r="Y46" s="4179"/>
      <c r="Z46" s="1380"/>
      <c r="AA46" s="4203"/>
      <c r="AB46" s="1381"/>
      <c r="AC46" s="4200"/>
      <c r="AD46" s="1381"/>
      <c r="AE46" s="4206"/>
      <c r="AF46" s="1381"/>
      <c r="AG46" s="4215"/>
      <c r="AH46" s="1381"/>
      <c r="AI46" s="4218"/>
      <c r="AJ46" s="1381"/>
      <c r="AK46" s="4150"/>
      <c r="AL46" s="1381"/>
      <c r="AM46" s="4153"/>
      <c r="AN46" s="1381"/>
      <c r="AO46" s="4153"/>
      <c r="AP46" s="1381"/>
      <c r="AQ46" s="4153"/>
      <c r="AR46" s="1381"/>
      <c r="AS46" s="4153"/>
      <c r="AT46" s="1381"/>
      <c r="AU46" s="4153"/>
      <c r="AV46" s="1381"/>
      <c r="AW46" s="4153"/>
      <c r="AX46" s="1381"/>
      <c r="AY46" s="4212"/>
      <c r="AZ46" s="1381"/>
      <c r="BA46" s="4153"/>
      <c r="BB46" s="1381"/>
      <c r="BC46" s="4153"/>
      <c r="BD46" s="1381"/>
      <c r="BE46" s="4153"/>
      <c r="BF46" s="1381"/>
      <c r="BG46" s="4212"/>
      <c r="BH46" s="1381"/>
      <c r="BI46" s="4153"/>
      <c r="BJ46" s="1381"/>
      <c r="BK46" s="4153"/>
      <c r="BL46" s="1381"/>
      <c r="BM46" s="4153"/>
      <c r="BN46" s="1381"/>
      <c r="BO46" s="4153"/>
      <c r="BP46" s="1381"/>
      <c r="BQ46" s="4153"/>
      <c r="BR46" s="1381"/>
      <c r="BS46" s="4209"/>
    </row>
    <row r="47" spans="2:71" ht="21.95" customHeight="1" thickBot="1">
      <c r="B47" s="1378"/>
      <c r="C47" s="1378"/>
      <c r="E47" s="4194"/>
      <c r="F47" s="1383"/>
      <c r="G47" s="4191"/>
      <c r="H47" s="1383"/>
      <c r="I47" s="4188"/>
      <c r="J47" s="1381"/>
      <c r="K47" s="4185"/>
      <c r="L47" s="1381"/>
      <c r="M47" s="4197"/>
      <c r="N47" s="1381"/>
      <c r="O47" s="4200"/>
      <c r="P47" s="1381"/>
      <c r="Q47" s="4173"/>
      <c r="R47" s="1381"/>
      <c r="S47" s="4176"/>
      <c r="T47" s="1381"/>
      <c r="U47" s="3685"/>
      <c r="V47" s="1382"/>
      <c r="W47" s="4182"/>
      <c r="X47" s="1381"/>
      <c r="Y47" s="4179"/>
      <c r="Z47" s="1380"/>
      <c r="AA47" s="4203"/>
      <c r="AB47" s="1381"/>
      <c r="AC47" s="4200"/>
      <c r="AD47" s="1381"/>
      <c r="AE47" s="4206"/>
      <c r="AF47" s="1381"/>
      <c r="AG47" s="4215"/>
      <c r="AH47" s="1381"/>
      <c r="AI47" s="4218"/>
      <c r="AJ47" s="1381"/>
      <c r="AK47" s="4150"/>
      <c r="AL47" s="1381"/>
      <c r="AM47" s="4153"/>
      <c r="AN47" s="1381"/>
      <c r="AO47" s="4153"/>
      <c r="AP47" s="1381"/>
      <c r="AQ47" s="4153"/>
      <c r="AR47" s="1381"/>
      <c r="AS47" s="4153"/>
      <c r="AT47" s="1381"/>
      <c r="AU47" s="4153"/>
      <c r="AV47" s="1381"/>
      <c r="AW47" s="4153"/>
      <c r="AX47" s="1381"/>
      <c r="AY47" s="4212"/>
      <c r="AZ47" s="1381"/>
      <c r="BA47" s="4153"/>
      <c r="BB47" s="1381"/>
      <c r="BC47" s="4153"/>
      <c r="BD47" s="1381"/>
      <c r="BE47" s="4153"/>
      <c r="BF47" s="1381"/>
      <c r="BG47" s="4212"/>
      <c r="BH47" s="1381"/>
      <c r="BI47" s="4153"/>
      <c r="BJ47" s="1381"/>
      <c r="BK47" s="4153"/>
      <c r="BL47" s="1381"/>
      <c r="BM47" s="4153"/>
      <c r="BN47" s="1381"/>
      <c r="BO47" s="4153"/>
      <c r="BP47" s="1381"/>
      <c r="BQ47" s="4153"/>
      <c r="BR47" s="1381"/>
      <c r="BS47" s="4209"/>
    </row>
    <row r="48" spans="2:71" ht="21.95" customHeight="1">
      <c r="B48" s="4155" t="s">
        <v>705</v>
      </c>
      <c r="C48" s="4155"/>
      <c r="E48" s="4194"/>
      <c r="F48" s="1383"/>
      <c r="G48" s="4191"/>
      <c r="H48" s="1383"/>
      <c r="I48" s="4188"/>
      <c r="J48" s="1381"/>
      <c r="K48" s="4185"/>
      <c r="L48" s="1381"/>
      <c r="M48" s="4197"/>
      <c r="N48" s="1381"/>
      <c r="O48" s="4200"/>
      <c r="P48" s="1381"/>
      <c r="Q48" s="4173"/>
      <c r="R48" s="1381"/>
      <c r="S48" s="4176"/>
      <c r="T48" s="1381"/>
      <c r="U48" s="3685"/>
      <c r="V48" s="1382"/>
      <c r="W48" s="4182"/>
      <c r="X48" s="1381"/>
      <c r="Y48" s="4179"/>
      <c r="Z48" s="1380"/>
      <c r="AA48" s="4203"/>
      <c r="AB48" s="1381"/>
      <c r="AC48" s="4200"/>
      <c r="AD48" s="1381"/>
      <c r="AE48" s="4206"/>
      <c r="AF48" s="1381"/>
      <c r="AG48" s="4215"/>
      <c r="AH48" s="1381"/>
      <c r="AI48" s="4218"/>
      <c r="AJ48" s="1381"/>
      <c r="AK48" s="4150"/>
      <c r="AL48" s="1381"/>
      <c r="AM48" s="4153"/>
      <c r="AN48" s="1381"/>
      <c r="AO48" s="4153"/>
      <c r="AP48" s="1381"/>
      <c r="AQ48" s="4153"/>
      <c r="AR48" s="1381"/>
      <c r="AS48" s="4153"/>
      <c r="AT48" s="1381"/>
      <c r="AU48" s="4153"/>
      <c r="AV48" s="1381"/>
      <c r="AW48" s="4153"/>
      <c r="AX48" s="1381"/>
      <c r="AY48" s="4212"/>
      <c r="AZ48" s="1381"/>
      <c r="BA48" s="4153"/>
      <c r="BB48" s="1381"/>
      <c r="BC48" s="4153"/>
      <c r="BD48" s="1381"/>
      <c r="BE48" s="4153"/>
      <c r="BF48" s="1381"/>
      <c r="BG48" s="4212"/>
      <c r="BH48" s="1381"/>
      <c r="BI48" s="4153"/>
      <c r="BJ48" s="1381"/>
      <c r="BK48" s="4153"/>
      <c r="BL48" s="1381"/>
      <c r="BM48" s="4153"/>
      <c r="BN48" s="1381"/>
      <c r="BO48" s="4153"/>
      <c r="BP48" s="1381"/>
      <c r="BQ48" s="4153"/>
      <c r="BR48" s="1381"/>
      <c r="BS48" s="4209"/>
    </row>
    <row r="49" spans="2:71" ht="21.95" customHeight="1" thickBot="1">
      <c r="B49" s="1378"/>
      <c r="C49" s="1378"/>
      <c r="E49" s="4194"/>
      <c r="F49" s="1383"/>
      <c r="G49" s="4191"/>
      <c r="H49" s="1383"/>
      <c r="I49" s="4188"/>
      <c r="J49" s="1381"/>
      <c r="K49" s="4185"/>
      <c r="L49" s="1381"/>
      <c r="M49" s="4197"/>
      <c r="N49" s="1381"/>
      <c r="O49" s="4200"/>
      <c r="P49" s="1381"/>
      <c r="Q49" s="4173"/>
      <c r="R49" s="1381"/>
      <c r="S49" s="4176"/>
      <c r="T49" s="1381"/>
      <c r="U49" s="3685"/>
      <c r="V49" s="1382"/>
      <c r="W49" s="4182"/>
      <c r="X49" s="1381"/>
      <c r="Y49" s="4179"/>
      <c r="Z49" s="1380"/>
      <c r="AA49" s="4203"/>
      <c r="AB49" s="1381"/>
      <c r="AC49" s="4200"/>
      <c r="AD49" s="1381"/>
      <c r="AE49" s="4206"/>
      <c r="AF49" s="1381"/>
      <c r="AG49" s="4215"/>
      <c r="AH49" s="1381"/>
      <c r="AI49" s="4218"/>
      <c r="AJ49" s="1381"/>
      <c r="AK49" s="4150"/>
      <c r="AL49" s="1381"/>
      <c r="AM49" s="4153"/>
      <c r="AN49" s="1381"/>
      <c r="AO49" s="4153"/>
      <c r="AP49" s="1381"/>
      <c r="AQ49" s="4153"/>
      <c r="AR49" s="1381"/>
      <c r="AS49" s="4153"/>
      <c r="AT49" s="1381"/>
      <c r="AU49" s="4153"/>
      <c r="AV49" s="1381"/>
      <c r="AW49" s="4153"/>
      <c r="AX49" s="1381"/>
      <c r="AY49" s="4212"/>
      <c r="AZ49" s="1381"/>
      <c r="BA49" s="4153"/>
      <c r="BB49" s="1381"/>
      <c r="BC49" s="4153"/>
      <c r="BD49" s="1381"/>
      <c r="BE49" s="4153"/>
      <c r="BF49" s="1381"/>
      <c r="BG49" s="4212"/>
      <c r="BH49" s="1381"/>
      <c r="BI49" s="4153"/>
      <c r="BJ49" s="1381"/>
      <c r="BK49" s="4153"/>
      <c r="BL49" s="1381"/>
      <c r="BM49" s="4153"/>
      <c r="BN49" s="1381"/>
      <c r="BO49" s="4153"/>
      <c r="BP49" s="1381"/>
      <c r="BQ49" s="4153"/>
      <c r="BR49" s="1381"/>
      <c r="BS49" s="4209"/>
    </row>
    <row r="50" spans="2:71" ht="21.95" customHeight="1">
      <c r="B50" s="4155" t="s">
        <v>704</v>
      </c>
      <c r="C50" s="4155"/>
      <c r="E50" s="4194"/>
      <c r="F50" s="1383"/>
      <c r="G50" s="4191"/>
      <c r="H50" s="1383"/>
      <c r="I50" s="4188"/>
      <c r="J50" s="1381"/>
      <c r="K50" s="4185"/>
      <c r="L50" s="1381"/>
      <c r="M50" s="4197"/>
      <c r="N50" s="1381"/>
      <c r="O50" s="4200"/>
      <c r="P50" s="1381"/>
      <c r="Q50" s="4173"/>
      <c r="R50" s="1381"/>
      <c r="S50" s="4176"/>
      <c r="T50" s="1381"/>
      <c r="U50" s="3685"/>
      <c r="V50" s="1382"/>
      <c r="W50" s="4182"/>
      <c r="X50" s="1381"/>
      <c r="Y50" s="4179"/>
      <c r="Z50" s="1380"/>
      <c r="AA50" s="4203"/>
      <c r="AB50" s="1381"/>
      <c r="AC50" s="4200"/>
      <c r="AD50" s="1381"/>
      <c r="AE50" s="4206"/>
      <c r="AF50" s="1381"/>
      <c r="AG50" s="4215"/>
      <c r="AH50" s="1381"/>
      <c r="AI50" s="4218"/>
      <c r="AJ50" s="1381"/>
      <c r="AK50" s="4150"/>
      <c r="AL50" s="1381"/>
      <c r="AM50" s="4153"/>
      <c r="AN50" s="1381"/>
      <c r="AO50" s="4153"/>
      <c r="AP50" s="1381"/>
      <c r="AQ50" s="4153"/>
      <c r="AR50" s="1381"/>
      <c r="AS50" s="4153"/>
      <c r="AT50" s="1381"/>
      <c r="AU50" s="4153"/>
      <c r="AV50" s="1381"/>
      <c r="AW50" s="4153"/>
      <c r="AX50" s="1381"/>
      <c r="AY50" s="4212"/>
      <c r="AZ50" s="1381"/>
      <c r="BA50" s="4153"/>
      <c r="BB50" s="1381"/>
      <c r="BC50" s="4153"/>
      <c r="BD50" s="1381"/>
      <c r="BE50" s="4153"/>
      <c r="BF50" s="1381"/>
      <c r="BG50" s="4212"/>
      <c r="BH50" s="1381"/>
      <c r="BI50" s="4153"/>
      <c r="BJ50" s="1381"/>
      <c r="BK50" s="4153"/>
      <c r="BL50" s="1381"/>
      <c r="BM50" s="4153"/>
      <c r="BN50" s="1381"/>
      <c r="BO50" s="4153"/>
      <c r="BP50" s="1381"/>
      <c r="BQ50" s="4153"/>
      <c r="BR50" s="1381"/>
      <c r="BS50" s="4209"/>
    </row>
    <row r="51" spans="2:71" ht="21.95" customHeight="1" thickBot="1">
      <c r="B51" s="1378"/>
      <c r="C51" s="1378"/>
      <c r="E51" s="4194"/>
      <c r="F51" s="1383"/>
      <c r="G51" s="4191"/>
      <c r="H51" s="1383"/>
      <c r="I51" s="4188"/>
      <c r="J51" s="1381"/>
      <c r="K51" s="4185"/>
      <c r="L51" s="1381"/>
      <c r="M51" s="4197"/>
      <c r="N51" s="1381"/>
      <c r="O51" s="4200"/>
      <c r="P51" s="1381"/>
      <c r="Q51" s="4173"/>
      <c r="R51" s="1381"/>
      <c r="S51" s="4176"/>
      <c r="T51" s="1381"/>
      <c r="U51" s="3685"/>
      <c r="V51" s="1382"/>
      <c r="W51" s="4182"/>
      <c r="X51" s="1381"/>
      <c r="Y51" s="4179"/>
      <c r="Z51" s="1380"/>
      <c r="AA51" s="4203"/>
      <c r="AB51" s="1381"/>
      <c r="AC51" s="4200"/>
      <c r="AD51" s="1381"/>
      <c r="AE51" s="4206"/>
      <c r="AF51" s="1381"/>
      <c r="AG51" s="4215"/>
      <c r="AH51" s="1381"/>
      <c r="AI51" s="4218"/>
      <c r="AJ51" s="1381"/>
      <c r="AK51" s="4150"/>
      <c r="AL51" s="1381"/>
      <c r="AM51" s="4153"/>
      <c r="AN51" s="1381"/>
      <c r="AO51" s="4153"/>
      <c r="AP51" s="1381"/>
      <c r="AQ51" s="4153"/>
      <c r="AR51" s="1381"/>
      <c r="AS51" s="4153"/>
      <c r="AT51" s="1381"/>
      <c r="AU51" s="4153"/>
      <c r="AV51" s="1381"/>
      <c r="AW51" s="4153"/>
      <c r="AX51" s="1381"/>
      <c r="AY51" s="4212"/>
      <c r="AZ51" s="1381"/>
      <c r="BA51" s="4153"/>
      <c r="BB51" s="1381"/>
      <c r="BC51" s="4153"/>
      <c r="BD51" s="1381"/>
      <c r="BE51" s="4153"/>
      <c r="BF51" s="1381"/>
      <c r="BG51" s="4212"/>
      <c r="BH51" s="1381"/>
      <c r="BI51" s="4153"/>
      <c r="BJ51" s="1381"/>
      <c r="BK51" s="4153"/>
      <c r="BL51" s="1381"/>
      <c r="BM51" s="4153"/>
      <c r="BN51" s="1381"/>
      <c r="BO51" s="4153"/>
      <c r="BP51" s="1381"/>
      <c r="BQ51" s="4153"/>
      <c r="BR51" s="1381"/>
      <c r="BS51" s="4209"/>
    </row>
    <row r="52" spans="2:71" ht="21.95" customHeight="1">
      <c r="B52" s="4155" t="s">
        <v>703</v>
      </c>
      <c r="C52" s="4155"/>
      <c r="E52" s="4194"/>
      <c r="F52" s="1383"/>
      <c r="G52" s="4191"/>
      <c r="H52" s="1383"/>
      <c r="I52" s="4188"/>
      <c r="J52" s="1381"/>
      <c r="K52" s="4185"/>
      <c r="L52" s="1381"/>
      <c r="M52" s="4197"/>
      <c r="N52" s="1381"/>
      <c r="O52" s="4200"/>
      <c r="P52" s="1381"/>
      <c r="Q52" s="4173"/>
      <c r="R52" s="1381"/>
      <c r="S52" s="4176"/>
      <c r="T52" s="1381"/>
      <c r="U52" s="3685"/>
      <c r="V52" s="1382"/>
      <c r="W52" s="4182"/>
      <c r="X52" s="1381"/>
      <c r="Y52" s="4179"/>
      <c r="Z52" s="1380"/>
      <c r="AA52" s="4203"/>
      <c r="AB52" s="1381"/>
      <c r="AC52" s="4200"/>
      <c r="AD52" s="1381"/>
      <c r="AE52" s="4206"/>
      <c r="AF52" s="1381"/>
      <c r="AG52" s="4215"/>
      <c r="AH52" s="1381"/>
      <c r="AI52" s="4218"/>
      <c r="AJ52" s="1381"/>
      <c r="AK52" s="4150"/>
      <c r="AL52" s="1381"/>
      <c r="AM52" s="4153"/>
      <c r="AN52" s="1381"/>
      <c r="AO52" s="4153"/>
      <c r="AP52" s="1381"/>
      <c r="AQ52" s="4153"/>
      <c r="AR52" s="1381"/>
      <c r="AS52" s="4153"/>
      <c r="AT52" s="1381"/>
      <c r="AU52" s="4153"/>
      <c r="AV52" s="1381"/>
      <c r="AW52" s="4153"/>
      <c r="AX52" s="1381"/>
      <c r="AY52" s="4212"/>
      <c r="AZ52" s="1381"/>
      <c r="BA52" s="4153"/>
      <c r="BB52" s="1381"/>
      <c r="BC52" s="4153"/>
      <c r="BD52" s="1381"/>
      <c r="BE52" s="4153"/>
      <c r="BF52" s="1381"/>
      <c r="BG52" s="4212"/>
      <c r="BH52" s="1381"/>
      <c r="BI52" s="4153"/>
      <c r="BJ52" s="1381"/>
      <c r="BK52" s="4153"/>
      <c r="BL52" s="1381"/>
      <c r="BM52" s="4153"/>
      <c r="BN52" s="1381"/>
      <c r="BO52" s="4153"/>
      <c r="BP52" s="1381"/>
      <c r="BQ52" s="4153"/>
      <c r="BR52" s="1381"/>
      <c r="BS52" s="4209"/>
    </row>
    <row r="53" spans="2:71" ht="21.95" customHeight="1" thickBot="1">
      <c r="B53" s="1378"/>
      <c r="C53" s="1378"/>
      <c r="E53" s="4194"/>
      <c r="F53" s="1383"/>
      <c r="G53" s="4191"/>
      <c r="H53" s="1383"/>
      <c r="I53" s="4188"/>
      <c r="J53" s="1381"/>
      <c r="K53" s="4185"/>
      <c r="L53" s="1381"/>
      <c r="M53" s="4197"/>
      <c r="N53" s="1381"/>
      <c r="O53" s="4200"/>
      <c r="P53" s="1381"/>
      <c r="Q53" s="4173"/>
      <c r="R53" s="1381"/>
      <c r="S53" s="4176"/>
      <c r="T53" s="1381"/>
      <c r="U53" s="3685"/>
      <c r="V53" s="1382"/>
      <c r="W53" s="4182"/>
      <c r="X53" s="1381"/>
      <c r="Y53" s="4179"/>
      <c r="Z53" s="1380"/>
      <c r="AA53" s="4203"/>
      <c r="AB53" s="1381"/>
      <c r="AC53" s="4200"/>
      <c r="AD53" s="1381"/>
      <c r="AE53" s="4206"/>
      <c r="AF53" s="1381"/>
      <c r="AG53" s="4215"/>
      <c r="AH53" s="1381"/>
      <c r="AI53" s="4218"/>
      <c r="AJ53" s="1381"/>
      <c r="AK53" s="4150"/>
      <c r="AL53" s="1381"/>
      <c r="AM53" s="4153"/>
      <c r="AN53" s="1381"/>
      <c r="AO53" s="4153"/>
      <c r="AP53" s="1381"/>
      <c r="AQ53" s="4153"/>
      <c r="AR53" s="1381"/>
      <c r="AS53" s="4153"/>
      <c r="AT53" s="1381"/>
      <c r="AU53" s="4153"/>
      <c r="AV53" s="1381"/>
      <c r="AW53" s="4153"/>
      <c r="AX53" s="1381"/>
      <c r="AY53" s="4212"/>
      <c r="AZ53" s="1381"/>
      <c r="BA53" s="4153"/>
      <c r="BB53" s="1381"/>
      <c r="BC53" s="4153"/>
      <c r="BD53" s="1381"/>
      <c r="BE53" s="4153"/>
      <c r="BF53" s="1381"/>
      <c r="BG53" s="4212"/>
      <c r="BH53" s="1381"/>
      <c r="BI53" s="4153"/>
      <c r="BJ53" s="1381"/>
      <c r="BK53" s="4153"/>
      <c r="BL53" s="1381"/>
      <c r="BM53" s="4153"/>
      <c r="BN53" s="1381"/>
      <c r="BO53" s="4153"/>
      <c r="BP53" s="1381"/>
      <c r="BQ53" s="4153"/>
      <c r="BR53" s="1381"/>
      <c r="BS53" s="4209"/>
    </row>
    <row r="54" spans="2:71" ht="21.95" customHeight="1">
      <c r="B54" s="4155" t="s">
        <v>702</v>
      </c>
      <c r="C54" s="4155"/>
      <c r="E54" s="4194"/>
      <c r="F54" s="1383"/>
      <c r="G54" s="4191"/>
      <c r="H54" s="1383"/>
      <c r="I54" s="4188"/>
      <c r="J54" s="1381"/>
      <c r="K54" s="4185"/>
      <c r="L54" s="1381"/>
      <c r="M54" s="4197"/>
      <c r="N54" s="1381"/>
      <c r="O54" s="4200"/>
      <c r="P54" s="1381"/>
      <c r="Q54" s="4173"/>
      <c r="R54" s="1381"/>
      <c r="S54" s="4176"/>
      <c r="T54" s="1381"/>
      <c r="U54" s="3685"/>
      <c r="V54" s="1382"/>
      <c r="W54" s="4182"/>
      <c r="X54" s="1381"/>
      <c r="Y54" s="4179"/>
      <c r="Z54" s="1380"/>
      <c r="AA54" s="4203"/>
      <c r="AB54" s="1381"/>
      <c r="AC54" s="4200"/>
      <c r="AD54" s="1381"/>
      <c r="AE54" s="4206"/>
      <c r="AF54" s="1381"/>
      <c r="AG54" s="4215"/>
      <c r="AH54" s="1381"/>
      <c r="AI54" s="4218"/>
      <c r="AJ54" s="1381"/>
      <c r="AK54" s="4150"/>
      <c r="AL54" s="1381"/>
      <c r="AM54" s="4153"/>
      <c r="AN54" s="1381"/>
      <c r="AO54" s="4153"/>
      <c r="AP54" s="1381"/>
      <c r="AQ54" s="4153"/>
      <c r="AR54" s="1381"/>
      <c r="AS54" s="4153"/>
      <c r="AT54" s="1381"/>
      <c r="AU54" s="4153"/>
      <c r="AV54" s="1381"/>
      <c r="AW54" s="4153"/>
      <c r="AX54" s="1381"/>
      <c r="AY54" s="4212"/>
      <c r="AZ54" s="1381"/>
      <c r="BA54" s="4153"/>
      <c r="BB54" s="1381"/>
      <c r="BC54" s="4153"/>
      <c r="BD54" s="1381"/>
      <c r="BE54" s="4153"/>
      <c r="BF54" s="1381"/>
      <c r="BG54" s="4212"/>
      <c r="BH54" s="1381"/>
      <c r="BI54" s="4153"/>
      <c r="BJ54" s="1381"/>
      <c r="BK54" s="4153"/>
      <c r="BL54" s="1381"/>
      <c r="BM54" s="4153"/>
      <c r="BN54" s="1381"/>
      <c r="BO54" s="4153"/>
      <c r="BP54" s="1381"/>
      <c r="BQ54" s="4153"/>
      <c r="BR54" s="1381"/>
      <c r="BS54" s="4209"/>
    </row>
    <row r="55" spans="2:71" ht="21.95" customHeight="1" thickBot="1">
      <c r="B55" s="1378"/>
      <c r="C55" s="1378"/>
      <c r="E55" s="4194"/>
      <c r="F55" s="1383"/>
      <c r="G55" s="4191"/>
      <c r="H55" s="1383"/>
      <c r="I55" s="4188"/>
      <c r="J55" s="1381"/>
      <c r="K55" s="4185"/>
      <c r="L55" s="1381"/>
      <c r="M55" s="4197"/>
      <c r="N55" s="1381"/>
      <c r="O55" s="4200"/>
      <c r="P55" s="1381"/>
      <c r="Q55" s="4173"/>
      <c r="R55" s="1381"/>
      <c r="S55" s="4176"/>
      <c r="T55" s="1381"/>
      <c r="U55" s="3685"/>
      <c r="V55" s="1382"/>
      <c r="W55" s="4182"/>
      <c r="X55" s="1381"/>
      <c r="Y55" s="4179"/>
      <c r="Z55" s="1380"/>
      <c r="AA55" s="4203"/>
      <c r="AB55" s="1381"/>
      <c r="AC55" s="4200"/>
      <c r="AD55" s="1381"/>
      <c r="AE55" s="4206"/>
      <c r="AF55" s="1381"/>
      <c r="AG55" s="4215"/>
      <c r="AH55" s="1381"/>
      <c r="AI55" s="4218"/>
      <c r="AJ55" s="1381"/>
      <c r="AK55" s="4150"/>
      <c r="AL55" s="1381"/>
      <c r="AM55" s="4153"/>
      <c r="AN55" s="1381"/>
      <c r="AO55" s="4153"/>
      <c r="AP55" s="1381"/>
      <c r="AQ55" s="4153"/>
      <c r="AR55" s="1381"/>
      <c r="AS55" s="4153"/>
      <c r="AT55" s="1381"/>
      <c r="AU55" s="4153"/>
      <c r="AV55" s="1381"/>
      <c r="AW55" s="4153"/>
      <c r="AX55" s="1381"/>
      <c r="AY55" s="4212"/>
      <c r="AZ55" s="1381"/>
      <c r="BA55" s="4153"/>
      <c r="BB55" s="1381"/>
      <c r="BC55" s="4153"/>
      <c r="BD55" s="1381"/>
      <c r="BE55" s="4153"/>
      <c r="BF55" s="1381"/>
      <c r="BG55" s="4212"/>
      <c r="BH55" s="1381"/>
      <c r="BI55" s="4153"/>
      <c r="BJ55" s="1381"/>
      <c r="BK55" s="4153"/>
      <c r="BL55" s="1381"/>
      <c r="BM55" s="4153"/>
      <c r="BN55" s="1381"/>
      <c r="BO55" s="4153"/>
      <c r="BP55" s="1381"/>
      <c r="BQ55" s="4153"/>
      <c r="BR55" s="1381"/>
      <c r="BS55" s="4209"/>
    </row>
    <row r="56" spans="2:71" ht="21.95" customHeight="1">
      <c r="B56" s="4155" t="s">
        <v>701</v>
      </c>
      <c r="C56" s="4155"/>
      <c r="E56" s="4194"/>
      <c r="F56" s="1383"/>
      <c r="G56" s="4191"/>
      <c r="H56" s="1383"/>
      <c r="I56" s="4188"/>
      <c r="J56" s="1381"/>
      <c r="K56" s="4185"/>
      <c r="L56" s="1381"/>
      <c r="M56" s="4197"/>
      <c r="N56" s="1381"/>
      <c r="O56" s="4200"/>
      <c r="P56" s="1381"/>
      <c r="Q56" s="4173"/>
      <c r="R56" s="1381"/>
      <c r="S56" s="4176"/>
      <c r="T56" s="1381"/>
      <c r="U56" s="3685"/>
      <c r="V56" s="1382"/>
      <c r="W56" s="4182"/>
      <c r="X56" s="1381"/>
      <c r="Y56" s="4179"/>
      <c r="Z56" s="1380"/>
      <c r="AA56" s="4203"/>
      <c r="AB56" s="1381"/>
      <c r="AC56" s="4200"/>
      <c r="AD56" s="1381"/>
      <c r="AE56" s="4206"/>
      <c r="AF56" s="1381"/>
      <c r="AG56" s="4215"/>
      <c r="AH56" s="1381"/>
      <c r="AI56" s="4218"/>
      <c r="AJ56" s="1381"/>
      <c r="AK56" s="4150"/>
      <c r="AL56" s="1381"/>
      <c r="AM56" s="4153"/>
      <c r="AN56" s="1381"/>
      <c r="AO56" s="4153"/>
      <c r="AP56" s="1381"/>
      <c r="AQ56" s="4153"/>
      <c r="AR56" s="1381"/>
      <c r="AS56" s="4153"/>
      <c r="AT56" s="1381"/>
      <c r="AU56" s="4153"/>
      <c r="AV56" s="1381"/>
      <c r="AW56" s="4153"/>
      <c r="AX56" s="1381"/>
      <c r="AY56" s="4212"/>
      <c r="AZ56" s="1381"/>
      <c r="BA56" s="4153"/>
      <c r="BB56" s="1381"/>
      <c r="BC56" s="4153"/>
      <c r="BD56" s="1381"/>
      <c r="BE56" s="4153"/>
      <c r="BF56" s="1381"/>
      <c r="BG56" s="4212"/>
      <c r="BH56" s="1381"/>
      <c r="BI56" s="4153"/>
      <c r="BJ56" s="1381"/>
      <c r="BK56" s="4153"/>
      <c r="BL56" s="1381"/>
      <c r="BM56" s="4153"/>
      <c r="BN56" s="1381"/>
      <c r="BO56" s="4153"/>
      <c r="BP56" s="1381"/>
      <c r="BQ56" s="4153"/>
      <c r="BR56" s="1381"/>
      <c r="BS56" s="4209"/>
    </row>
    <row r="57" spans="2:71" ht="21.95" customHeight="1" thickBot="1">
      <c r="B57" s="1378"/>
      <c r="C57" s="1378"/>
      <c r="E57" s="4194"/>
      <c r="F57" s="1383"/>
      <c r="G57" s="4191"/>
      <c r="H57" s="1383"/>
      <c r="I57" s="4188"/>
      <c r="J57" s="1381"/>
      <c r="K57" s="4185"/>
      <c r="L57" s="1381"/>
      <c r="M57" s="4197"/>
      <c r="N57" s="1381"/>
      <c r="O57" s="4200"/>
      <c r="P57" s="1381"/>
      <c r="Q57" s="4173"/>
      <c r="R57" s="1381"/>
      <c r="S57" s="4176"/>
      <c r="T57" s="1381"/>
      <c r="U57" s="3685"/>
      <c r="V57" s="1382"/>
      <c r="W57" s="4182"/>
      <c r="X57" s="1381"/>
      <c r="Y57" s="4179"/>
      <c r="Z57" s="1380"/>
      <c r="AA57" s="4203"/>
      <c r="AB57" s="1381"/>
      <c r="AC57" s="4200"/>
      <c r="AD57" s="1381"/>
      <c r="AE57" s="4206"/>
      <c r="AF57" s="1381"/>
      <c r="AG57" s="4215"/>
      <c r="AH57" s="1381"/>
      <c r="AI57" s="4218"/>
      <c r="AJ57" s="1381"/>
      <c r="AK57" s="4150"/>
      <c r="AL57" s="1381"/>
      <c r="AM57" s="4153"/>
      <c r="AN57" s="1381"/>
      <c r="AO57" s="4153"/>
      <c r="AP57" s="1381"/>
      <c r="AQ57" s="4153"/>
      <c r="AR57" s="1381"/>
      <c r="AS57" s="4153"/>
      <c r="AT57" s="1381"/>
      <c r="AU57" s="4153"/>
      <c r="AV57" s="1381"/>
      <c r="AW57" s="4153"/>
      <c r="AX57" s="1381"/>
      <c r="AY57" s="4212"/>
      <c r="AZ57" s="1381"/>
      <c r="BA57" s="4153"/>
      <c r="BB57" s="1381"/>
      <c r="BC57" s="4153"/>
      <c r="BD57" s="1381"/>
      <c r="BE57" s="4153"/>
      <c r="BF57" s="1381"/>
      <c r="BG57" s="4212"/>
      <c r="BH57" s="1381"/>
      <c r="BI57" s="4153"/>
      <c r="BJ57" s="1381"/>
      <c r="BK57" s="4153"/>
      <c r="BL57" s="1381"/>
      <c r="BM57" s="4153"/>
      <c r="BN57" s="1381"/>
      <c r="BO57" s="4153"/>
      <c r="BP57" s="1381"/>
      <c r="BQ57" s="4153"/>
      <c r="BR57" s="1381"/>
      <c r="BS57" s="4209"/>
    </row>
    <row r="58" spans="2:71" ht="21.95" customHeight="1">
      <c r="B58" s="4167" t="s">
        <v>700</v>
      </c>
      <c r="C58" s="4167"/>
      <c r="E58" s="4194"/>
      <c r="F58" s="1383"/>
      <c r="G58" s="4191"/>
      <c r="H58" s="1383"/>
      <c r="I58" s="4188"/>
      <c r="J58" s="1381"/>
      <c r="K58" s="4185"/>
      <c r="L58" s="1381"/>
      <c r="M58" s="4197"/>
      <c r="N58" s="1381"/>
      <c r="O58" s="4200"/>
      <c r="P58" s="1381"/>
      <c r="Q58" s="4173"/>
      <c r="R58" s="1381"/>
      <c r="S58" s="4176"/>
      <c r="T58" s="1381"/>
      <c r="U58" s="3685"/>
      <c r="V58" s="1382"/>
      <c r="W58" s="4182"/>
      <c r="X58" s="1381"/>
      <c r="Y58" s="4179"/>
      <c r="Z58" s="1380"/>
      <c r="AA58" s="4203"/>
      <c r="AB58" s="1381"/>
      <c r="AC58" s="4200"/>
      <c r="AD58" s="1381"/>
      <c r="AE58" s="4206"/>
      <c r="AF58" s="1381"/>
      <c r="AG58" s="4215"/>
      <c r="AH58" s="1381"/>
      <c r="AI58" s="4218"/>
      <c r="AJ58" s="1381"/>
      <c r="AK58" s="4150"/>
      <c r="AL58" s="1381"/>
      <c r="AM58" s="4153"/>
      <c r="AN58" s="1381"/>
      <c r="AO58" s="4153"/>
      <c r="AP58" s="1381"/>
      <c r="AQ58" s="4153"/>
      <c r="AR58" s="1381"/>
      <c r="AS58" s="4153"/>
      <c r="AT58" s="1381"/>
      <c r="AU58" s="4153"/>
      <c r="AV58" s="1381"/>
      <c r="AW58" s="4153"/>
      <c r="AX58" s="1381"/>
      <c r="AY58" s="4212"/>
      <c r="AZ58" s="1381"/>
      <c r="BA58" s="4153"/>
      <c r="BB58" s="1381"/>
      <c r="BC58" s="4153"/>
      <c r="BD58" s="1381"/>
      <c r="BE58" s="4153"/>
      <c r="BF58" s="1381"/>
      <c r="BG58" s="4212"/>
      <c r="BH58" s="1381"/>
      <c r="BI58" s="4153"/>
      <c r="BJ58" s="1381"/>
      <c r="BK58" s="4153"/>
      <c r="BL58" s="1381"/>
      <c r="BM58" s="4153"/>
      <c r="BN58" s="1381"/>
      <c r="BO58" s="4153"/>
      <c r="BP58" s="1381"/>
      <c r="BQ58" s="4153"/>
      <c r="BR58" s="1381"/>
      <c r="BS58" s="4209"/>
    </row>
    <row r="59" spans="2:71" ht="21.95" customHeight="1" thickBot="1">
      <c r="B59" s="1378"/>
      <c r="C59" s="1378"/>
      <c r="E59" s="4194"/>
      <c r="F59" s="1383"/>
      <c r="G59" s="4191"/>
      <c r="H59" s="1383"/>
      <c r="I59" s="4188"/>
      <c r="J59" s="1381"/>
      <c r="K59" s="4185"/>
      <c r="L59" s="1381"/>
      <c r="M59" s="4197"/>
      <c r="N59" s="1381"/>
      <c r="O59" s="4200"/>
      <c r="P59" s="1381"/>
      <c r="Q59" s="4173"/>
      <c r="R59" s="1381"/>
      <c r="S59" s="4176"/>
      <c r="T59" s="1381"/>
      <c r="U59" s="3685"/>
      <c r="V59" s="1382"/>
      <c r="W59" s="4182"/>
      <c r="X59" s="1381"/>
      <c r="Y59" s="4179"/>
      <c r="Z59" s="1380"/>
      <c r="AA59" s="4203"/>
      <c r="AB59" s="1381"/>
      <c r="AC59" s="4200"/>
      <c r="AD59" s="1381"/>
      <c r="AE59" s="4206"/>
      <c r="AF59" s="1381"/>
      <c r="AG59" s="4215"/>
      <c r="AH59" s="1381"/>
      <c r="AI59" s="4218"/>
      <c r="AJ59" s="1381"/>
      <c r="AK59" s="4150"/>
      <c r="AL59" s="1381"/>
      <c r="AM59" s="4153"/>
      <c r="AN59" s="1381"/>
      <c r="AO59" s="4153"/>
      <c r="AP59" s="1381"/>
      <c r="AQ59" s="4153"/>
      <c r="AR59" s="1381"/>
      <c r="AS59" s="4153"/>
      <c r="AT59" s="1381"/>
      <c r="AU59" s="4153"/>
      <c r="AV59" s="1381"/>
      <c r="AW59" s="4153"/>
      <c r="AX59" s="1381"/>
      <c r="AY59" s="4212"/>
      <c r="AZ59" s="1381"/>
      <c r="BA59" s="4153"/>
      <c r="BB59" s="1381"/>
      <c r="BC59" s="4153"/>
      <c r="BD59" s="1381"/>
      <c r="BE59" s="4153"/>
      <c r="BF59" s="1381"/>
      <c r="BG59" s="4212"/>
      <c r="BH59" s="1381"/>
      <c r="BI59" s="4153"/>
      <c r="BJ59" s="1381"/>
      <c r="BK59" s="4153"/>
      <c r="BL59" s="1381"/>
      <c r="BM59" s="4153"/>
      <c r="BN59" s="1381"/>
      <c r="BO59" s="4153"/>
      <c r="BP59" s="1381"/>
      <c r="BQ59" s="4153"/>
      <c r="BR59" s="1381"/>
      <c r="BS59" s="4209"/>
    </row>
    <row r="60" spans="2:71" ht="21.95" customHeight="1">
      <c r="B60" s="4155" t="s">
        <v>699</v>
      </c>
      <c r="C60" s="4155"/>
      <c r="E60" s="4194"/>
      <c r="F60" s="1383"/>
      <c r="G60" s="4191"/>
      <c r="H60" s="1383"/>
      <c r="I60" s="4188"/>
      <c r="J60" s="1381"/>
      <c r="K60" s="4185"/>
      <c r="L60" s="1381"/>
      <c r="M60" s="4197"/>
      <c r="N60" s="1381"/>
      <c r="O60" s="4200"/>
      <c r="P60" s="1381"/>
      <c r="Q60" s="4173"/>
      <c r="R60" s="1381"/>
      <c r="S60" s="4176"/>
      <c r="T60" s="1381"/>
      <c r="U60" s="3685"/>
      <c r="V60" s="1382"/>
      <c r="W60" s="4182"/>
      <c r="X60" s="1381"/>
      <c r="Y60" s="4179"/>
      <c r="Z60" s="1380"/>
      <c r="AA60" s="4203"/>
      <c r="AB60" s="1381"/>
      <c r="AC60" s="4200"/>
      <c r="AD60" s="1381"/>
      <c r="AE60" s="4206"/>
      <c r="AF60" s="1381"/>
      <c r="AG60" s="4215"/>
      <c r="AH60" s="1381"/>
      <c r="AI60" s="4218"/>
      <c r="AJ60" s="1381"/>
      <c r="AK60" s="4150"/>
      <c r="AL60" s="1381"/>
      <c r="AM60" s="4153"/>
      <c r="AN60" s="1381"/>
      <c r="AO60" s="4153"/>
      <c r="AP60" s="1381"/>
      <c r="AQ60" s="4153"/>
      <c r="AR60" s="1381"/>
      <c r="AS60" s="4153"/>
      <c r="AT60" s="1381"/>
      <c r="AU60" s="4153"/>
      <c r="AV60" s="1381"/>
      <c r="AW60" s="4153"/>
      <c r="AX60" s="1381"/>
      <c r="AY60" s="4212"/>
      <c r="AZ60" s="1381"/>
      <c r="BA60" s="4153"/>
      <c r="BB60" s="1381"/>
      <c r="BC60" s="4153"/>
      <c r="BD60" s="1381"/>
      <c r="BE60" s="4153"/>
      <c r="BF60" s="1381"/>
      <c r="BG60" s="4212"/>
      <c r="BH60" s="1381"/>
      <c r="BI60" s="4153"/>
      <c r="BJ60" s="1381"/>
      <c r="BK60" s="4153"/>
      <c r="BL60" s="1381"/>
      <c r="BM60" s="4153"/>
      <c r="BN60" s="1381"/>
      <c r="BO60" s="4153"/>
      <c r="BP60" s="1381"/>
      <c r="BQ60" s="4153"/>
      <c r="BR60" s="1381"/>
      <c r="BS60" s="4209"/>
    </row>
    <row r="61" spans="2:71" ht="21.95" customHeight="1" thickBot="1">
      <c r="B61" s="1378"/>
      <c r="C61" s="1378"/>
      <c r="E61" s="4194"/>
      <c r="F61" s="1383"/>
      <c r="G61" s="4191"/>
      <c r="H61" s="1383"/>
      <c r="I61" s="4188"/>
      <c r="J61" s="1381"/>
      <c r="K61" s="4185"/>
      <c r="L61" s="1381"/>
      <c r="M61" s="4197"/>
      <c r="N61" s="1381"/>
      <c r="O61" s="4200"/>
      <c r="P61" s="1381"/>
      <c r="Q61" s="4173"/>
      <c r="R61" s="1381"/>
      <c r="S61" s="4176"/>
      <c r="T61" s="1381"/>
      <c r="U61" s="3685"/>
      <c r="V61" s="1382"/>
      <c r="W61" s="4182"/>
      <c r="X61" s="1381"/>
      <c r="Y61" s="4179"/>
      <c r="Z61" s="1380"/>
      <c r="AA61" s="4203"/>
      <c r="AB61" s="1381"/>
      <c r="AC61" s="4200"/>
      <c r="AD61" s="1381"/>
      <c r="AE61" s="4206"/>
      <c r="AF61" s="1381"/>
      <c r="AG61" s="4215"/>
      <c r="AH61" s="1381"/>
      <c r="AI61" s="4218"/>
      <c r="AJ61" s="1381"/>
      <c r="AK61" s="4150"/>
      <c r="AL61" s="1381"/>
      <c r="AM61" s="4153"/>
      <c r="AN61" s="1381"/>
      <c r="AO61" s="4153"/>
      <c r="AP61" s="1381"/>
      <c r="AQ61" s="4153"/>
      <c r="AR61" s="1381"/>
      <c r="AS61" s="4153"/>
      <c r="AT61" s="1381"/>
      <c r="AU61" s="4153"/>
      <c r="AV61" s="1381"/>
      <c r="AW61" s="4153"/>
      <c r="AX61" s="1381"/>
      <c r="AY61" s="4212"/>
      <c r="AZ61" s="1381"/>
      <c r="BA61" s="4153"/>
      <c r="BB61" s="1381"/>
      <c r="BC61" s="4153"/>
      <c r="BD61" s="1381"/>
      <c r="BE61" s="4153"/>
      <c r="BF61" s="1381"/>
      <c r="BG61" s="4212"/>
      <c r="BH61" s="1381"/>
      <c r="BI61" s="4153"/>
      <c r="BJ61" s="1381"/>
      <c r="BK61" s="4153"/>
      <c r="BL61" s="1381"/>
      <c r="BM61" s="4153"/>
      <c r="BN61" s="1381"/>
      <c r="BO61" s="4153"/>
      <c r="BP61" s="1381"/>
      <c r="BQ61" s="4153"/>
      <c r="BR61" s="1381"/>
      <c r="BS61" s="4209"/>
    </row>
    <row r="62" spans="2:71" ht="21.95" customHeight="1">
      <c r="B62" s="4168" t="s">
        <v>698</v>
      </c>
      <c r="C62" s="4168"/>
      <c r="E62" s="4194"/>
      <c r="F62" s="1383"/>
      <c r="G62" s="4191"/>
      <c r="H62" s="1383"/>
      <c r="I62" s="4188"/>
      <c r="J62" s="1381"/>
      <c r="K62" s="4185"/>
      <c r="L62" s="1381"/>
      <c r="M62" s="4197"/>
      <c r="N62" s="1381"/>
      <c r="O62" s="4200"/>
      <c r="P62" s="1381"/>
      <c r="Q62" s="4173"/>
      <c r="R62" s="1381"/>
      <c r="S62" s="4176"/>
      <c r="T62" s="1381"/>
      <c r="U62" s="3685"/>
      <c r="V62" s="1382"/>
      <c r="W62" s="4182"/>
      <c r="X62" s="1381"/>
      <c r="Y62" s="4179"/>
      <c r="Z62" s="1380"/>
      <c r="AA62" s="4203"/>
      <c r="AB62" s="1381"/>
      <c r="AC62" s="4200"/>
      <c r="AD62" s="1381"/>
      <c r="AE62" s="4206"/>
      <c r="AF62" s="1381"/>
      <c r="AG62" s="4215"/>
      <c r="AH62" s="1381"/>
      <c r="AI62" s="4218"/>
      <c r="AJ62" s="1381"/>
      <c r="AK62" s="4150"/>
      <c r="AL62" s="1381"/>
      <c r="AM62" s="4153"/>
      <c r="AN62" s="1381"/>
      <c r="AO62" s="4153"/>
      <c r="AP62" s="1381"/>
      <c r="AQ62" s="4153"/>
      <c r="AR62" s="1381"/>
      <c r="AS62" s="4153"/>
      <c r="AT62" s="1381"/>
      <c r="AU62" s="4153"/>
      <c r="AV62" s="1381"/>
      <c r="AW62" s="4153"/>
      <c r="AX62" s="1381"/>
      <c r="AY62" s="4212"/>
      <c r="AZ62" s="1381"/>
      <c r="BA62" s="4153"/>
      <c r="BB62" s="1381"/>
      <c r="BC62" s="4153"/>
      <c r="BD62" s="1381"/>
      <c r="BE62" s="4153"/>
      <c r="BF62" s="1381"/>
      <c r="BG62" s="4212"/>
      <c r="BH62" s="1381"/>
      <c r="BI62" s="4153"/>
      <c r="BJ62" s="1381"/>
      <c r="BK62" s="4153"/>
      <c r="BL62" s="1381"/>
      <c r="BM62" s="4153"/>
      <c r="BN62" s="1381"/>
      <c r="BO62" s="4153"/>
      <c r="BP62" s="1381"/>
      <c r="BQ62" s="4153"/>
      <c r="BR62" s="1381"/>
      <c r="BS62" s="4209"/>
    </row>
    <row r="63" spans="2:71" ht="21.95" customHeight="1" thickBot="1">
      <c r="B63" s="1378"/>
      <c r="C63" s="1378"/>
      <c r="E63" s="4194"/>
      <c r="F63" s="1383"/>
      <c r="G63" s="4191"/>
      <c r="H63" s="1383"/>
      <c r="I63" s="4188"/>
      <c r="J63" s="1381"/>
      <c r="K63" s="4185"/>
      <c r="L63" s="1381"/>
      <c r="M63" s="4197"/>
      <c r="N63" s="1381"/>
      <c r="O63" s="4200"/>
      <c r="P63" s="1381"/>
      <c r="Q63" s="4173"/>
      <c r="R63" s="1381"/>
      <c r="S63" s="4176"/>
      <c r="T63" s="1381"/>
      <c r="U63" s="3685"/>
      <c r="V63" s="1382"/>
      <c r="W63" s="4182"/>
      <c r="X63" s="1381"/>
      <c r="Y63" s="4179"/>
      <c r="Z63" s="1380"/>
      <c r="AA63" s="4203"/>
      <c r="AB63" s="1381"/>
      <c r="AC63" s="4200"/>
      <c r="AD63" s="1381"/>
      <c r="AE63" s="4206"/>
      <c r="AF63" s="1381"/>
      <c r="AG63" s="4215"/>
      <c r="AH63" s="1381"/>
      <c r="AI63" s="4218"/>
      <c r="AJ63" s="1381"/>
      <c r="AK63" s="4150"/>
      <c r="AL63" s="1381"/>
      <c r="AM63" s="4153"/>
      <c r="AN63" s="1381"/>
      <c r="AO63" s="4153"/>
      <c r="AP63" s="1381"/>
      <c r="AQ63" s="4153"/>
      <c r="AR63" s="1381"/>
      <c r="AS63" s="4153"/>
      <c r="AT63" s="1381"/>
      <c r="AU63" s="4153"/>
      <c r="AV63" s="1381"/>
      <c r="AW63" s="4153"/>
      <c r="AX63" s="1381"/>
      <c r="AY63" s="4212"/>
      <c r="AZ63" s="1381"/>
      <c r="BA63" s="4153"/>
      <c r="BB63" s="1381"/>
      <c r="BC63" s="4153"/>
      <c r="BD63" s="1381"/>
      <c r="BE63" s="4153"/>
      <c r="BF63" s="1381"/>
      <c r="BG63" s="4212"/>
      <c r="BH63" s="1381"/>
      <c r="BI63" s="4153"/>
      <c r="BJ63" s="1381"/>
      <c r="BK63" s="4153"/>
      <c r="BL63" s="1381"/>
      <c r="BM63" s="4153"/>
      <c r="BN63" s="1381"/>
      <c r="BO63" s="4153"/>
      <c r="BP63" s="1381"/>
      <c r="BQ63" s="4153"/>
      <c r="BR63" s="1381"/>
      <c r="BS63" s="4209"/>
    </row>
    <row r="64" spans="2:71" ht="12.75" customHeight="1">
      <c r="B64" s="4167" t="s">
        <v>697</v>
      </c>
      <c r="C64" s="4167"/>
      <c r="E64" s="4194"/>
      <c r="G64" s="4191"/>
      <c r="I64" s="4188"/>
      <c r="K64" s="4185"/>
      <c r="M64" s="4197"/>
      <c r="O64" s="4200"/>
      <c r="Q64" s="4173"/>
      <c r="S64" s="4176"/>
      <c r="U64" s="3685"/>
      <c r="W64" s="4182"/>
      <c r="Y64" s="4179"/>
      <c r="Z64" s="1380"/>
      <c r="AA64" s="4203"/>
      <c r="AC64" s="4200"/>
      <c r="AE64" s="4206"/>
      <c r="AG64" s="4215"/>
      <c r="AI64" s="4218"/>
      <c r="AK64" s="4150"/>
      <c r="AM64" s="4153"/>
      <c r="AO64" s="4153"/>
      <c r="AQ64" s="4153"/>
      <c r="AS64" s="4153"/>
      <c r="AU64" s="4153"/>
      <c r="AW64" s="4153"/>
      <c r="AY64" s="4212"/>
      <c r="BA64" s="4153"/>
      <c r="BC64" s="4153"/>
      <c r="BE64" s="4153"/>
      <c r="BG64" s="4212"/>
      <c r="BI64" s="4153"/>
      <c r="BK64" s="4153"/>
      <c r="BM64" s="4153"/>
      <c r="BO64" s="4153"/>
      <c r="BQ64" s="4153"/>
      <c r="BS64" s="4209"/>
    </row>
    <row r="65" spans="2:71" ht="12.75" customHeight="1" thickBot="1">
      <c r="B65" s="1378"/>
      <c r="C65" s="1378"/>
      <c r="E65" s="4194"/>
      <c r="G65" s="4191"/>
      <c r="I65" s="4188"/>
      <c r="K65" s="4185"/>
      <c r="M65" s="4197"/>
      <c r="O65" s="4200"/>
      <c r="Q65" s="4173"/>
      <c r="S65" s="4176"/>
      <c r="U65" s="3685"/>
      <c r="W65" s="4182"/>
      <c r="Y65" s="4179"/>
      <c r="Z65" s="1380"/>
      <c r="AA65" s="4203"/>
      <c r="AC65" s="4200"/>
      <c r="AE65" s="4206"/>
      <c r="AG65" s="4215"/>
      <c r="AI65" s="4218"/>
      <c r="AK65" s="4150"/>
      <c r="AM65" s="4153"/>
      <c r="AO65" s="4153"/>
      <c r="AQ65" s="4153"/>
      <c r="AS65" s="4153"/>
      <c r="AU65" s="4153"/>
      <c r="AW65" s="4153"/>
      <c r="AY65" s="4212"/>
      <c r="BA65" s="4153"/>
      <c r="BC65" s="4153"/>
      <c r="BE65" s="4153"/>
      <c r="BG65" s="4212"/>
      <c r="BI65" s="4153"/>
      <c r="BK65" s="4153"/>
      <c r="BM65" s="4153"/>
      <c r="BO65" s="4153"/>
      <c r="BQ65" s="4153"/>
      <c r="BS65" s="4209"/>
    </row>
    <row r="66" spans="2:71" ht="13.5" customHeight="1">
      <c r="B66" s="4155" t="s">
        <v>696</v>
      </c>
      <c r="C66" s="4155"/>
      <c r="E66" s="4194"/>
      <c r="G66" s="4191"/>
      <c r="I66" s="4188"/>
      <c r="K66" s="4185"/>
      <c r="M66" s="4197"/>
      <c r="O66" s="4200"/>
      <c r="Q66" s="4173"/>
      <c r="S66" s="4176"/>
      <c r="U66" s="3685"/>
      <c r="W66" s="4182"/>
      <c r="Y66" s="4179"/>
      <c r="Z66" s="1380"/>
      <c r="AA66" s="4203"/>
      <c r="AC66" s="4200"/>
      <c r="AE66" s="4206"/>
      <c r="AG66" s="4215"/>
      <c r="AI66" s="4218"/>
      <c r="AK66" s="4150"/>
      <c r="AM66" s="4153"/>
      <c r="AO66" s="4153"/>
      <c r="AQ66" s="4153"/>
      <c r="AS66" s="4153"/>
      <c r="AU66" s="4153"/>
      <c r="AW66" s="4153"/>
      <c r="AY66" s="4212"/>
      <c r="BA66" s="4153"/>
      <c r="BC66" s="4153"/>
      <c r="BE66" s="4153"/>
      <c r="BG66" s="4212"/>
      <c r="BI66" s="4153"/>
      <c r="BK66" s="4153"/>
      <c r="BM66" s="4153"/>
      <c r="BO66" s="4153"/>
      <c r="BQ66" s="4153"/>
      <c r="BS66" s="4209"/>
    </row>
    <row r="67" spans="2:71" ht="13.5" customHeight="1" thickBot="1">
      <c r="B67" s="1378"/>
      <c r="C67" s="1378"/>
      <c r="E67" s="4194"/>
      <c r="G67" s="4191"/>
      <c r="I67" s="4188"/>
      <c r="K67" s="4185"/>
      <c r="M67" s="4197"/>
      <c r="O67" s="4200"/>
      <c r="Q67" s="4173"/>
      <c r="S67" s="4176"/>
      <c r="U67" s="3685"/>
      <c r="W67" s="4182"/>
      <c r="Y67" s="4179"/>
      <c r="Z67" s="1380"/>
      <c r="AA67" s="4203"/>
      <c r="AC67" s="4200"/>
      <c r="AE67" s="4206"/>
      <c r="AG67" s="4215"/>
      <c r="AI67" s="4218"/>
      <c r="AK67" s="4150"/>
      <c r="AM67" s="4153"/>
      <c r="AO67" s="4153"/>
      <c r="AQ67" s="4153"/>
      <c r="AS67" s="4153"/>
      <c r="AU67" s="4153"/>
      <c r="AW67" s="4153"/>
      <c r="AY67" s="4212"/>
      <c r="BA67" s="4153"/>
      <c r="BC67" s="4153"/>
      <c r="BE67" s="4153"/>
      <c r="BG67" s="4212"/>
      <c r="BI67" s="4153"/>
      <c r="BK67" s="4153"/>
      <c r="BM67" s="4153"/>
      <c r="BO67" s="4153"/>
      <c r="BQ67" s="4153"/>
      <c r="BS67" s="4209"/>
    </row>
    <row r="68" spans="2:71" ht="12.75" customHeight="1">
      <c r="B68" s="4155" t="s">
        <v>695</v>
      </c>
      <c r="C68" s="4155"/>
      <c r="E68" s="4194"/>
      <c r="G68" s="4191"/>
      <c r="I68" s="4188"/>
      <c r="K68" s="4185"/>
      <c r="M68" s="4197"/>
      <c r="O68" s="4200"/>
      <c r="Q68" s="4173"/>
      <c r="S68" s="4176"/>
      <c r="U68" s="3685"/>
      <c r="W68" s="4182"/>
      <c r="Y68" s="4179"/>
      <c r="Z68" s="1380"/>
      <c r="AA68" s="4203"/>
      <c r="AC68" s="4200"/>
      <c r="AE68" s="4206"/>
      <c r="AG68" s="4215"/>
      <c r="AI68" s="4218"/>
      <c r="AK68" s="4150"/>
      <c r="AM68" s="4153"/>
      <c r="AO68" s="4153"/>
      <c r="AQ68" s="4153"/>
      <c r="AS68" s="4153"/>
      <c r="AU68" s="4153"/>
      <c r="AW68" s="4153"/>
      <c r="AY68" s="4212"/>
      <c r="BA68" s="4153"/>
      <c r="BC68" s="4153"/>
      <c r="BE68" s="4153"/>
      <c r="BG68" s="4212"/>
      <c r="BI68" s="4153"/>
      <c r="BK68" s="4153"/>
      <c r="BM68" s="4153"/>
      <c r="BO68" s="4153"/>
      <c r="BQ68" s="4153"/>
      <c r="BS68" s="4209"/>
    </row>
    <row r="69" spans="2:71" ht="16.5" thickBot="1">
      <c r="B69" s="1378"/>
      <c r="C69" s="1378"/>
      <c r="E69" s="4194"/>
      <c r="G69" s="4191"/>
      <c r="I69" s="4188"/>
      <c r="K69" s="4185"/>
      <c r="M69" s="4197"/>
      <c r="O69" s="4200"/>
      <c r="Q69" s="4173"/>
      <c r="S69" s="4176"/>
      <c r="U69" s="3685"/>
      <c r="W69" s="4182"/>
      <c r="Y69" s="4179"/>
      <c r="Z69" s="1380"/>
      <c r="AA69" s="4203"/>
      <c r="AC69" s="4200"/>
      <c r="AE69" s="4206"/>
      <c r="AG69" s="4215"/>
      <c r="AI69" s="4218"/>
      <c r="AK69" s="4150"/>
      <c r="AM69" s="4153"/>
      <c r="AO69" s="4153"/>
      <c r="AQ69" s="4153"/>
      <c r="AS69" s="4153"/>
      <c r="AU69" s="4153"/>
      <c r="AW69" s="4153"/>
      <c r="AY69" s="4212"/>
      <c r="BA69" s="4153"/>
      <c r="BC69" s="4153"/>
      <c r="BE69" s="4153"/>
      <c r="BG69" s="4212"/>
      <c r="BI69" s="4153"/>
      <c r="BK69" s="4153"/>
      <c r="BM69" s="4153"/>
      <c r="BO69" s="4153"/>
      <c r="BQ69" s="4153"/>
      <c r="BS69" s="4209"/>
    </row>
    <row r="70" spans="2:71" ht="15.75" customHeight="1">
      <c r="B70" s="4155" t="s">
        <v>694</v>
      </c>
      <c r="C70" s="4155"/>
      <c r="E70" s="4194"/>
      <c r="G70" s="4191"/>
      <c r="I70" s="4188"/>
      <c r="J70" s="1379"/>
      <c r="K70" s="4185"/>
      <c r="L70" s="1379"/>
      <c r="M70" s="4197"/>
      <c r="N70" s="1379"/>
      <c r="O70" s="4200"/>
      <c r="P70" s="1379"/>
      <c r="Q70" s="4173"/>
      <c r="R70" s="1379"/>
      <c r="S70" s="4176"/>
      <c r="T70" s="1379"/>
      <c r="U70" s="3685"/>
      <c r="W70" s="4182"/>
      <c r="X70" s="1379"/>
      <c r="Y70" s="4179"/>
      <c r="Z70" s="1380"/>
      <c r="AA70" s="4203"/>
      <c r="AB70" s="1379"/>
      <c r="AC70" s="4200"/>
      <c r="AD70" s="1379"/>
      <c r="AE70" s="4206"/>
      <c r="AF70" s="1379"/>
      <c r="AG70" s="4215"/>
      <c r="AH70" s="1379"/>
      <c r="AI70" s="4218"/>
      <c r="AJ70" s="1379"/>
      <c r="AK70" s="4150"/>
      <c r="AL70" s="1379"/>
      <c r="AM70" s="4153"/>
      <c r="AN70" s="1379"/>
      <c r="AO70" s="4153"/>
      <c r="AP70" s="1379"/>
      <c r="AQ70" s="4153"/>
      <c r="AR70" s="1379"/>
      <c r="AS70" s="4153"/>
      <c r="AT70" s="1379"/>
      <c r="AU70" s="4153"/>
      <c r="AV70" s="1379"/>
      <c r="AW70" s="4153"/>
      <c r="AX70" s="1379"/>
      <c r="AY70" s="4212"/>
      <c r="AZ70" s="1379"/>
      <c r="BA70" s="4153"/>
      <c r="BB70" s="1379"/>
      <c r="BC70" s="4153"/>
      <c r="BD70" s="1379"/>
      <c r="BE70" s="4153"/>
      <c r="BF70" s="1379"/>
      <c r="BG70" s="4212"/>
      <c r="BH70" s="1379"/>
      <c r="BI70" s="4153"/>
      <c r="BJ70" s="1379"/>
      <c r="BK70" s="4153"/>
      <c r="BL70" s="1379"/>
      <c r="BM70" s="4153"/>
      <c r="BN70" s="1379"/>
      <c r="BO70" s="4153"/>
      <c r="BP70" s="1379"/>
      <c r="BQ70" s="4153"/>
      <c r="BR70" s="1379"/>
      <c r="BS70" s="4209"/>
    </row>
    <row r="71" spans="2:71" ht="15.75" customHeight="1" thickBot="1">
      <c r="B71" s="1378"/>
      <c r="C71" s="1378"/>
      <c r="E71" s="4194"/>
      <c r="G71" s="4191"/>
      <c r="I71" s="4188"/>
      <c r="J71" s="1379"/>
      <c r="K71" s="4185"/>
      <c r="L71" s="1379"/>
      <c r="M71" s="4197"/>
      <c r="N71" s="1379"/>
      <c r="O71" s="4200"/>
      <c r="P71" s="1379"/>
      <c r="Q71" s="4173"/>
      <c r="R71" s="1379"/>
      <c r="S71" s="4176"/>
      <c r="T71" s="1379"/>
      <c r="U71" s="3685"/>
      <c r="W71" s="4182"/>
      <c r="X71" s="1379"/>
      <c r="Y71" s="4179"/>
      <c r="Z71" s="1380"/>
      <c r="AA71" s="4203"/>
      <c r="AB71" s="1379"/>
      <c r="AC71" s="4200"/>
      <c r="AD71" s="1379"/>
      <c r="AE71" s="4206"/>
      <c r="AF71" s="1379"/>
      <c r="AG71" s="4215"/>
      <c r="AH71" s="1379"/>
      <c r="AI71" s="4218"/>
      <c r="AJ71" s="1379"/>
      <c r="AK71" s="4150"/>
      <c r="AL71" s="1379"/>
      <c r="AM71" s="4153"/>
      <c r="AN71" s="1379"/>
      <c r="AO71" s="4153"/>
      <c r="AP71" s="1379"/>
      <c r="AQ71" s="4153"/>
      <c r="AR71" s="1379"/>
      <c r="AS71" s="4153"/>
      <c r="AT71" s="1379"/>
      <c r="AU71" s="4153"/>
      <c r="AV71" s="1379"/>
      <c r="AW71" s="4153"/>
      <c r="AX71" s="1379"/>
      <c r="AY71" s="4212"/>
      <c r="AZ71" s="1379"/>
      <c r="BA71" s="4153"/>
      <c r="BB71" s="1379"/>
      <c r="BC71" s="4153"/>
      <c r="BD71" s="1379"/>
      <c r="BE71" s="4153"/>
      <c r="BF71" s="1379"/>
      <c r="BG71" s="4212"/>
      <c r="BH71" s="1379"/>
      <c r="BI71" s="4153"/>
      <c r="BJ71" s="1379"/>
      <c r="BK71" s="4153"/>
      <c r="BL71" s="1379"/>
      <c r="BM71" s="4153"/>
      <c r="BN71" s="1379"/>
      <c r="BO71" s="4153"/>
      <c r="BP71" s="1379"/>
      <c r="BQ71" s="4153"/>
      <c r="BR71" s="1379"/>
      <c r="BS71" s="4209"/>
    </row>
    <row r="72" spans="2:71">
      <c r="B72" s="4155" t="s">
        <v>693</v>
      </c>
      <c r="C72" s="4155"/>
      <c r="E72" s="4194"/>
      <c r="G72" s="4191"/>
      <c r="I72" s="4188"/>
      <c r="J72" s="1379"/>
      <c r="K72" s="4185"/>
      <c r="L72" s="1379"/>
      <c r="M72" s="4197"/>
      <c r="N72" s="1379"/>
      <c r="O72" s="4200"/>
      <c r="P72" s="1379"/>
      <c r="Q72" s="4173"/>
      <c r="R72" s="1379"/>
      <c r="S72" s="4176"/>
      <c r="T72" s="1379"/>
      <c r="U72" s="3685"/>
      <c r="W72" s="4182"/>
      <c r="X72" s="1379"/>
      <c r="Y72" s="4179"/>
      <c r="Z72" s="1380"/>
      <c r="AA72" s="4203"/>
      <c r="AB72" s="1379"/>
      <c r="AC72" s="4200"/>
      <c r="AD72" s="1379"/>
      <c r="AE72" s="4206"/>
      <c r="AF72" s="1379"/>
      <c r="AG72" s="4215"/>
      <c r="AH72" s="1379"/>
      <c r="AI72" s="4218"/>
      <c r="AJ72" s="1379"/>
      <c r="AK72" s="4150"/>
      <c r="AL72" s="1379"/>
      <c r="AM72" s="4153"/>
      <c r="AN72" s="1379"/>
      <c r="AO72" s="4153"/>
      <c r="AP72" s="1379"/>
      <c r="AQ72" s="4153"/>
      <c r="AR72" s="1379"/>
      <c r="AS72" s="4153"/>
      <c r="AT72" s="1379"/>
      <c r="AU72" s="4153"/>
      <c r="AV72" s="1379"/>
      <c r="AW72" s="4153"/>
      <c r="AX72" s="1379"/>
      <c r="AY72" s="4212"/>
      <c r="AZ72" s="1379"/>
      <c r="BA72" s="4153"/>
      <c r="BB72" s="1379"/>
      <c r="BC72" s="4153"/>
      <c r="BD72" s="1379"/>
      <c r="BE72" s="4153"/>
      <c r="BF72" s="1379"/>
      <c r="BG72" s="4212"/>
      <c r="BH72" s="1379"/>
      <c r="BI72" s="4153"/>
      <c r="BJ72" s="1379"/>
      <c r="BK72" s="4153"/>
      <c r="BL72" s="1379"/>
      <c r="BM72" s="4153"/>
      <c r="BN72" s="1379"/>
      <c r="BO72" s="4153"/>
      <c r="BP72" s="1379"/>
      <c r="BQ72" s="4153"/>
      <c r="BR72" s="1379"/>
      <c r="BS72" s="4209"/>
    </row>
    <row r="73" spans="2:71" ht="15.75" customHeight="1" thickBot="1">
      <c r="B73" s="1378"/>
      <c r="C73" s="1378"/>
      <c r="E73" s="4195"/>
      <c r="G73" s="4192"/>
      <c r="I73" s="4189"/>
      <c r="K73" s="4186"/>
      <c r="M73" s="4198"/>
      <c r="O73" s="4201"/>
      <c r="Q73" s="4174"/>
      <c r="S73" s="4177"/>
      <c r="U73" s="3686"/>
      <c r="W73" s="4183"/>
      <c r="Y73" s="4180"/>
      <c r="Z73" s="1380"/>
      <c r="AA73" s="4204"/>
      <c r="AC73" s="4201"/>
      <c r="AE73" s="4207"/>
      <c r="AG73" s="4216"/>
      <c r="AI73" s="4219"/>
      <c r="AK73" s="4151"/>
      <c r="AM73" s="4154"/>
      <c r="AO73" s="4154"/>
      <c r="AQ73" s="4154"/>
      <c r="AS73" s="4154"/>
      <c r="AU73" s="4154"/>
      <c r="AW73" s="4154"/>
      <c r="AY73" s="4213"/>
      <c r="BA73" s="4154"/>
      <c r="BC73" s="4154"/>
      <c r="BE73" s="4154"/>
      <c r="BG73" s="4213"/>
      <c r="BI73" s="4154"/>
      <c r="BK73" s="4154"/>
      <c r="BM73" s="4154"/>
      <c r="BO73" s="4154"/>
      <c r="BQ73" s="4154"/>
      <c r="BS73" s="4210"/>
    </row>
    <row r="74" spans="2:71" ht="15.75" customHeight="1">
      <c r="B74" s="4168" t="s">
        <v>692</v>
      </c>
      <c r="C74" s="4168"/>
      <c r="E74" s="1375"/>
      <c r="G74" s="1375"/>
      <c r="I74" s="1375"/>
      <c r="J74" s="1375"/>
      <c r="K74" s="1375"/>
      <c r="L74" s="1375"/>
      <c r="M74" s="1375"/>
      <c r="N74" s="1375"/>
      <c r="O74" s="1375"/>
      <c r="P74" s="1375"/>
      <c r="Q74" s="1375"/>
      <c r="R74" s="1375"/>
      <c r="S74" s="1375"/>
      <c r="T74" s="1375"/>
      <c r="U74" s="1375"/>
      <c r="V74" s="1375"/>
      <c r="W74" s="1375"/>
      <c r="X74" s="1375"/>
      <c r="Y74" s="1375"/>
      <c r="Z74" s="1375"/>
      <c r="AA74" s="1375"/>
      <c r="AB74" s="1375"/>
      <c r="AC74" s="1375"/>
      <c r="AD74" s="1375"/>
      <c r="AE74" s="1375"/>
      <c r="AF74" s="1375"/>
      <c r="AG74" s="1375"/>
      <c r="AH74" s="1375"/>
      <c r="AI74" s="1375"/>
      <c r="AJ74" s="1375"/>
      <c r="AK74" s="1375"/>
      <c r="AL74" s="1375"/>
      <c r="AM74" s="1375"/>
      <c r="AN74" s="1375"/>
      <c r="AO74" s="1375"/>
      <c r="AP74" s="1375"/>
      <c r="AQ74" s="1375"/>
      <c r="AR74" s="1375"/>
      <c r="AS74" s="1375"/>
      <c r="AT74" s="1375"/>
      <c r="AU74" s="1375"/>
      <c r="AV74" s="1375"/>
      <c r="AW74" s="1375"/>
      <c r="AX74" s="1375"/>
      <c r="AY74" s="1375"/>
      <c r="AZ74" s="1375"/>
      <c r="BA74" s="1375"/>
      <c r="BB74" s="1375"/>
      <c r="BC74" s="1375"/>
      <c r="BD74" s="1375"/>
      <c r="BE74" s="1375"/>
      <c r="BF74" s="1375"/>
      <c r="BG74" s="1375"/>
      <c r="BH74" s="1375"/>
      <c r="BI74" s="1375"/>
      <c r="BJ74" s="1375"/>
      <c r="BK74" s="1375"/>
      <c r="BL74" s="1375"/>
      <c r="BM74" s="1375"/>
      <c r="BN74" s="1375"/>
      <c r="BO74" s="1375"/>
      <c r="BP74" s="1375"/>
      <c r="BQ74" s="1375"/>
      <c r="BR74" s="1375"/>
    </row>
    <row r="75" spans="2:71" ht="12.75" customHeight="1" thickBot="1">
      <c r="B75" s="1378"/>
      <c r="C75" s="1378"/>
      <c r="E75" s="1377">
        <f ca="1">CELL("largeur",E75)</f>
        <v>7</v>
      </c>
      <c r="G75" s="1377">
        <f ca="1">CELL("largeur",G75)</f>
        <v>7</v>
      </c>
      <c r="I75" s="1377">
        <f ca="1">CELL("largeur",I75)</f>
        <v>7</v>
      </c>
      <c r="J75" s="1379"/>
      <c r="K75" s="1377">
        <f ca="1">CELL("largeur",K75)</f>
        <v>7</v>
      </c>
      <c r="L75" s="1379"/>
      <c r="M75" s="1377">
        <f ca="1">CELL("largeur",M75)</f>
        <v>7</v>
      </c>
      <c r="N75" s="1379"/>
      <c r="O75" s="1377">
        <f ca="1">CELL("largeur",O75)</f>
        <v>7</v>
      </c>
      <c r="P75" s="1379"/>
      <c r="Q75" s="1377">
        <f ca="1">CELL("largeur",Q75)</f>
        <v>7</v>
      </c>
      <c r="R75" s="1379"/>
      <c r="S75" s="1377">
        <f ca="1">CELL("largeur",S75)</f>
        <v>7</v>
      </c>
      <c r="T75" s="1379"/>
      <c r="U75" s="1377">
        <f ca="1">CELL("largeur",U75)</f>
        <v>7</v>
      </c>
      <c r="V75" s="1375"/>
      <c r="W75" s="1377">
        <f ca="1">CELL("largeur",W75)</f>
        <v>7</v>
      </c>
      <c r="X75" s="1379"/>
      <c r="Y75" s="1379"/>
      <c r="Z75" s="1379"/>
      <c r="AA75" s="1377">
        <f ca="1">CELL("largeur",AA75)</f>
        <v>7</v>
      </c>
      <c r="AB75" s="1379"/>
      <c r="AC75" s="1377">
        <f ca="1">CELL("largeur",AC75)</f>
        <v>7</v>
      </c>
      <c r="AD75" s="1379"/>
      <c r="AE75" s="1377">
        <f ca="1">CELL("largeur",AE75)</f>
        <v>7</v>
      </c>
      <c r="AF75" s="1379"/>
      <c r="AG75" s="1377">
        <f ca="1">CELL("largeur",AG75)</f>
        <v>7</v>
      </c>
      <c r="AH75" s="1379"/>
      <c r="AI75" s="1377">
        <f ca="1">CELL("largeur",AI75)</f>
        <v>7</v>
      </c>
      <c r="AJ75" s="1379"/>
      <c r="AK75" s="1377">
        <f ca="1">CELL("largeur",AK75)</f>
        <v>7</v>
      </c>
      <c r="AL75" s="1379"/>
      <c r="AM75" s="1377">
        <f ca="1">CELL("largeur",AM75)</f>
        <v>7</v>
      </c>
      <c r="AN75" s="1379"/>
      <c r="AO75" s="1377">
        <f ca="1">CELL("largeur",AO75)</f>
        <v>7</v>
      </c>
      <c r="AP75" s="1379"/>
      <c r="AQ75" s="1377">
        <f ca="1">CELL("largeur",AQ75)</f>
        <v>7</v>
      </c>
      <c r="AR75" s="1379"/>
      <c r="AS75" s="1377">
        <f ca="1">CELL("largeur",AS75)</f>
        <v>7</v>
      </c>
      <c r="AT75" s="1379"/>
      <c r="AU75" s="1377">
        <f ca="1">CELL("largeur",AU75)</f>
        <v>7</v>
      </c>
      <c r="AV75" s="1379"/>
      <c r="AW75" s="1377">
        <f ca="1">CELL("largeur",AW75)</f>
        <v>7</v>
      </c>
      <c r="AX75" s="1379"/>
      <c r="AY75" s="1377">
        <f ca="1">CELL("largeur",AY75)</f>
        <v>7</v>
      </c>
      <c r="AZ75" s="1379"/>
      <c r="BA75" s="1377">
        <f ca="1">CELL("largeur",BA75)</f>
        <v>7</v>
      </c>
      <c r="BB75" s="1379"/>
      <c r="BC75" s="1377">
        <f ca="1">CELL("largeur",BC75)</f>
        <v>7</v>
      </c>
      <c r="BD75" s="1379"/>
      <c r="BE75" s="1377">
        <f ca="1">CELL("largeur",BE75)</f>
        <v>7</v>
      </c>
      <c r="BF75" s="1379"/>
      <c r="BG75" s="1377">
        <f ca="1">CELL("largeur",BG75)</f>
        <v>7</v>
      </c>
      <c r="BH75" s="1379"/>
      <c r="BI75" s="1377">
        <f ca="1">CELL("largeur",BI75)</f>
        <v>7</v>
      </c>
      <c r="BJ75" s="1379"/>
      <c r="BK75" s="1377">
        <f ca="1">CELL("largeur",BK75)</f>
        <v>7</v>
      </c>
      <c r="BL75" s="1379"/>
      <c r="BM75" s="1377">
        <f ca="1">CELL("largeur",BM75)</f>
        <v>7</v>
      </c>
      <c r="BN75" s="1379"/>
      <c r="BO75" s="1377">
        <f ca="1">CELL("largeur",BO75)</f>
        <v>7</v>
      </c>
      <c r="BP75" s="1379"/>
      <c r="BQ75" s="1377">
        <f ca="1">CELL("largeur",BQ75)</f>
        <v>7</v>
      </c>
      <c r="BR75" s="1379"/>
      <c r="BS75" s="1377">
        <f ca="1">CELL("largeur",BS75)</f>
        <v>7</v>
      </c>
    </row>
    <row r="76" spans="2:71" ht="15.75" customHeight="1">
      <c r="B76" s="4168" t="s">
        <v>691</v>
      </c>
      <c r="C76" s="4168"/>
      <c r="E76" s="1375"/>
      <c r="G76" s="1375"/>
      <c r="I76" s="1375"/>
      <c r="J76" s="1375"/>
      <c r="K76" s="1375"/>
      <c r="L76" s="1375"/>
      <c r="M76" s="1375"/>
      <c r="N76" s="1375"/>
      <c r="O76" s="1375"/>
      <c r="P76" s="1375"/>
      <c r="Q76" s="1375"/>
      <c r="R76" s="1375"/>
      <c r="S76" s="1375"/>
      <c r="T76" s="1375"/>
      <c r="U76" s="1375"/>
      <c r="V76" s="1375"/>
      <c r="W76" s="1375"/>
      <c r="X76" s="1375"/>
      <c r="Y76" s="1375"/>
      <c r="Z76" s="1375"/>
      <c r="AA76" s="1375"/>
      <c r="AB76" s="1375"/>
      <c r="AC76" s="1375"/>
      <c r="AD76" s="1375"/>
      <c r="AE76" s="1375"/>
      <c r="AF76" s="1375"/>
      <c r="AG76" s="1375"/>
      <c r="AH76" s="1375"/>
      <c r="AI76" s="1375"/>
      <c r="AJ76" s="1375"/>
      <c r="AK76" s="1375"/>
      <c r="AL76" s="1375"/>
      <c r="AM76" s="1375"/>
      <c r="AN76" s="1375"/>
      <c r="AO76" s="1375"/>
      <c r="AP76" s="1375"/>
      <c r="AQ76" s="1375"/>
      <c r="AR76" s="1375"/>
      <c r="AS76" s="1375"/>
      <c r="AT76" s="1375"/>
      <c r="AU76" s="1375"/>
      <c r="AV76" s="1375"/>
      <c r="AW76" s="1375"/>
      <c r="AX76" s="1375"/>
      <c r="AY76" s="1375"/>
      <c r="AZ76" s="1375"/>
      <c r="BA76" s="1375"/>
      <c r="BB76" s="1375"/>
      <c r="BC76" s="1375"/>
      <c r="BD76" s="1375"/>
      <c r="BE76" s="1375"/>
      <c r="BF76" s="1375"/>
      <c r="BG76" s="1375"/>
      <c r="BH76" s="1375"/>
      <c r="BI76" s="1375"/>
      <c r="BJ76" s="1375"/>
      <c r="BK76" s="1375"/>
      <c r="BL76" s="1375"/>
      <c r="BM76" s="1375"/>
      <c r="BN76" s="1375"/>
      <c r="BO76" s="1375"/>
      <c r="BP76" s="1375"/>
      <c r="BQ76" s="1375"/>
      <c r="BR76" s="1375"/>
    </row>
    <row r="77" spans="2:71" ht="15.75" customHeight="1" thickBot="1">
      <c r="B77" s="1378"/>
      <c r="C77" s="1378"/>
      <c r="E77" s="1375"/>
      <c r="G77" s="1375"/>
      <c r="I77" s="1375"/>
      <c r="J77" s="1375"/>
      <c r="K77" s="1375"/>
      <c r="L77" s="1375"/>
      <c r="M77" s="1375"/>
      <c r="N77" s="1375"/>
      <c r="O77" s="1375"/>
      <c r="P77" s="1375"/>
      <c r="Q77" s="1375"/>
      <c r="R77" s="1375"/>
      <c r="S77" s="1375"/>
      <c r="T77" s="1375"/>
      <c r="U77" s="1375"/>
      <c r="V77" s="1375"/>
      <c r="W77" s="1375"/>
      <c r="X77" s="1375"/>
      <c r="Y77" s="1375"/>
      <c r="Z77" s="1375"/>
      <c r="AA77" s="1375"/>
      <c r="AB77" s="1375"/>
      <c r="AC77" s="1375"/>
      <c r="AD77" s="1375"/>
      <c r="AE77" s="1375"/>
      <c r="AF77" s="1375"/>
      <c r="AG77" s="1375"/>
      <c r="AH77" s="1375"/>
      <c r="AI77" s="1375"/>
      <c r="AJ77" s="1375"/>
      <c r="AK77" s="1375"/>
      <c r="AL77" s="1375"/>
      <c r="AM77" s="1375"/>
      <c r="AN77" s="1375"/>
      <c r="AO77" s="1375"/>
      <c r="AP77" s="1375"/>
      <c r="AQ77" s="1375"/>
      <c r="AR77" s="1375"/>
      <c r="AS77" s="1375"/>
      <c r="AT77" s="1375"/>
      <c r="AU77" s="1375"/>
      <c r="AV77" s="1375"/>
      <c r="AW77" s="1375"/>
      <c r="AX77" s="1375"/>
      <c r="AY77" s="1375"/>
      <c r="AZ77" s="1375"/>
      <c r="BA77" s="1375"/>
      <c r="BB77" s="1375"/>
      <c r="BC77" s="1375"/>
      <c r="BD77" s="1375"/>
      <c r="BE77" s="1375"/>
      <c r="BF77" s="1375"/>
      <c r="BG77" s="1375"/>
      <c r="BH77" s="1375"/>
      <c r="BI77" s="1375"/>
      <c r="BJ77" s="1375"/>
      <c r="BK77" s="1375"/>
      <c r="BL77" s="1375"/>
      <c r="BM77" s="1375"/>
      <c r="BN77" s="1375"/>
      <c r="BO77" s="1375"/>
      <c r="BP77" s="1375"/>
      <c r="BQ77" s="1375"/>
      <c r="BR77" s="1375"/>
    </row>
    <row r="78" spans="2:71" ht="13.5" customHeight="1">
      <c r="B78" s="4155" t="s">
        <v>690</v>
      </c>
      <c r="C78" s="4155"/>
      <c r="E78" s="1375"/>
      <c r="G78" s="1375"/>
      <c r="I78" s="1375"/>
      <c r="J78" s="1375"/>
      <c r="K78" s="1375"/>
      <c r="L78" s="1375"/>
      <c r="M78" s="1375"/>
      <c r="N78" s="1375"/>
      <c r="O78" s="1375"/>
      <c r="P78" s="1375"/>
      <c r="Q78" s="1375"/>
      <c r="R78" s="1375"/>
      <c r="S78" s="1375"/>
      <c r="T78" s="1375"/>
      <c r="U78" s="1375"/>
      <c r="V78" s="1375"/>
      <c r="W78" s="1375"/>
      <c r="X78" s="1375"/>
      <c r="Y78" s="1375"/>
      <c r="Z78" s="1375"/>
      <c r="AA78" s="1375"/>
      <c r="AB78" s="1375"/>
      <c r="AC78" s="1375"/>
      <c r="AD78" s="1375"/>
      <c r="AE78" s="1375"/>
      <c r="AF78" s="1375"/>
      <c r="AG78" s="1375"/>
      <c r="AH78" s="1375"/>
      <c r="AI78" s="1375"/>
      <c r="AJ78" s="1375"/>
      <c r="AK78" s="1375"/>
      <c r="AL78" s="1375"/>
      <c r="AM78" s="1375"/>
      <c r="AN78" s="1375"/>
      <c r="AO78" s="1375"/>
      <c r="AP78" s="1375"/>
      <c r="AQ78" s="1375"/>
      <c r="AR78" s="1375"/>
      <c r="AS78" s="1375"/>
      <c r="AT78" s="1375"/>
      <c r="AU78" s="1375"/>
      <c r="AV78" s="1375"/>
      <c r="AW78" s="1375"/>
      <c r="AX78" s="1375"/>
      <c r="AY78" s="1375"/>
      <c r="AZ78" s="1375"/>
      <c r="BA78" s="1375"/>
      <c r="BB78" s="1375"/>
      <c r="BC78" s="1375"/>
      <c r="BD78" s="1375"/>
      <c r="BE78" s="1375"/>
      <c r="BF78" s="1375"/>
      <c r="BG78" s="1375"/>
      <c r="BH78" s="1375"/>
      <c r="BI78" s="1375"/>
      <c r="BJ78" s="1375"/>
      <c r="BK78" s="1375"/>
      <c r="BL78" s="1375"/>
      <c r="BM78" s="1375"/>
      <c r="BN78" s="1375"/>
      <c r="BO78" s="1375"/>
      <c r="BP78" s="1375"/>
      <c r="BQ78" s="1375"/>
      <c r="BR78" s="1375"/>
    </row>
    <row r="79" spans="2:71" ht="15.75" customHeight="1" thickBot="1">
      <c r="B79" s="1378"/>
      <c r="C79" s="1378"/>
      <c r="E79" s="1375"/>
      <c r="G79" s="1375"/>
      <c r="I79" s="1375"/>
      <c r="J79" s="1375"/>
      <c r="K79" s="1375"/>
      <c r="L79" s="1375"/>
      <c r="M79" s="1375"/>
      <c r="N79" s="1375"/>
      <c r="O79" s="1375"/>
      <c r="P79" s="1375"/>
      <c r="Q79" s="1375"/>
      <c r="R79" s="1375"/>
      <c r="S79" s="1375"/>
      <c r="T79" s="1375"/>
      <c r="U79" s="1375"/>
      <c r="V79" s="1375"/>
      <c r="W79" s="1375"/>
      <c r="X79" s="1375"/>
      <c r="Y79" s="1375"/>
      <c r="Z79" s="1375"/>
      <c r="AA79" s="1375"/>
      <c r="AB79" s="1375"/>
      <c r="AC79" s="1375"/>
      <c r="AD79" s="1375"/>
      <c r="AE79" s="1375"/>
      <c r="AF79" s="1375"/>
      <c r="AG79" s="1375"/>
      <c r="AH79" s="1375"/>
      <c r="AI79" s="1375"/>
      <c r="AJ79" s="1375"/>
      <c r="AK79" s="1375"/>
      <c r="AL79" s="1375"/>
      <c r="AM79" s="1375"/>
      <c r="AN79" s="1375"/>
      <c r="AO79" s="1375"/>
      <c r="AP79" s="1375"/>
      <c r="AQ79" s="1375"/>
      <c r="AR79" s="1375"/>
      <c r="AS79" s="1375"/>
      <c r="AT79" s="1375"/>
      <c r="AU79" s="1375"/>
      <c r="AV79" s="1375"/>
      <c r="AW79" s="1375"/>
      <c r="AX79" s="1375"/>
      <c r="AY79" s="1375"/>
      <c r="AZ79" s="1375"/>
      <c r="BA79" s="1375"/>
      <c r="BB79" s="1375"/>
      <c r="BC79" s="1375"/>
      <c r="BD79" s="1375"/>
      <c r="BE79" s="1375"/>
      <c r="BF79" s="1375"/>
      <c r="BG79" s="1375"/>
      <c r="BH79" s="1375"/>
      <c r="BI79" s="1375"/>
      <c r="BJ79" s="1375"/>
      <c r="BK79" s="1375"/>
      <c r="BL79" s="1375"/>
      <c r="BM79" s="1375"/>
      <c r="BN79" s="1375"/>
      <c r="BO79" s="1375"/>
      <c r="BP79" s="1375"/>
      <c r="BQ79" s="1375"/>
      <c r="BR79" s="1375"/>
    </row>
    <row r="80" spans="2:71" ht="15.75" customHeight="1">
      <c r="B80" s="4155" t="s">
        <v>689</v>
      </c>
      <c r="C80" s="4155"/>
      <c r="E80" s="1375"/>
      <c r="G80" s="1375"/>
      <c r="I80" s="1375"/>
      <c r="J80" s="1375"/>
      <c r="K80" s="1375"/>
      <c r="L80" s="1375"/>
      <c r="M80" s="1375"/>
      <c r="N80" s="1375"/>
      <c r="O80" s="1375"/>
      <c r="P80" s="1375"/>
      <c r="Q80" s="1375"/>
      <c r="R80" s="1375"/>
      <c r="S80" s="1375"/>
      <c r="T80" s="1375"/>
      <c r="U80" s="1375"/>
      <c r="V80" s="1375"/>
      <c r="W80" s="1375"/>
      <c r="X80" s="1375"/>
      <c r="Y80" s="1375"/>
      <c r="Z80" s="1375"/>
      <c r="AA80" s="1375"/>
      <c r="AB80" s="1375"/>
      <c r="AC80" s="1375"/>
      <c r="AD80" s="1375"/>
      <c r="AE80" s="1375"/>
      <c r="AF80" s="1375"/>
      <c r="AG80" s="1375"/>
      <c r="AH80" s="1375"/>
      <c r="AI80" s="1375"/>
      <c r="AJ80" s="1375"/>
      <c r="AK80" s="1375"/>
      <c r="AL80" s="1375"/>
      <c r="AM80" s="1375"/>
      <c r="AN80" s="1375"/>
      <c r="AO80" s="1375"/>
      <c r="AP80" s="1375"/>
      <c r="AQ80" s="1375"/>
      <c r="AR80" s="1375"/>
      <c r="AS80" s="1375"/>
      <c r="AT80" s="1375"/>
      <c r="AU80" s="1375"/>
      <c r="AV80" s="1375"/>
      <c r="AW80" s="1375"/>
      <c r="AX80" s="1375"/>
      <c r="AY80" s="1375"/>
      <c r="AZ80" s="1375"/>
      <c r="BA80" s="1375"/>
      <c r="BB80" s="1375"/>
      <c r="BC80" s="1375"/>
      <c r="BD80" s="1375"/>
      <c r="BE80" s="1375"/>
      <c r="BF80" s="1375"/>
      <c r="BG80" s="1375"/>
      <c r="BH80" s="1375"/>
      <c r="BI80" s="1375"/>
      <c r="BJ80" s="1375"/>
      <c r="BK80" s="1375"/>
      <c r="BL80" s="1375"/>
      <c r="BM80" s="1375"/>
      <c r="BN80" s="1375"/>
      <c r="BO80" s="1375"/>
      <c r="BP80" s="1375"/>
      <c r="BQ80" s="1375"/>
      <c r="BR80" s="1375"/>
    </row>
    <row r="81" spans="2:70" ht="16.5" thickBot="1">
      <c r="B81" s="1378"/>
      <c r="C81" s="1378"/>
      <c r="E81" s="1375"/>
      <c r="G81" s="1375"/>
      <c r="I81" s="1375"/>
      <c r="J81" s="1375"/>
      <c r="K81" s="1375"/>
      <c r="L81" s="1375"/>
      <c r="M81" s="1375"/>
      <c r="N81" s="1375"/>
      <c r="O81" s="1375"/>
      <c r="P81" s="1375"/>
      <c r="Q81" s="1375"/>
      <c r="R81" s="1375"/>
      <c r="S81" s="1375"/>
      <c r="T81" s="1375"/>
      <c r="U81" s="1375"/>
      <c r="V81" s="1375"/>
      <c r="W81" s="1375"/>
      <c r="X81" s="1375"/>
      <c r="Y81" s="1375"/>
      <c r="Z81" s="1375"/>
      <c r="AA81" s="1375"/>
      <c r="AB81" s="1375"/>
      <c r="AC81" s="1375"/>
      <c r="AD81" s="1375"/>
      <c r="AE81" s="1375"/>
      <c r="AF81" s="1375"/>
      <c r="AG81" s="1375"/>
      <c r="AH81" s="1375"/>
      <c r="AI81" s="1375"/>
      <c r="AJ81" s="1375"/>
      <c r="AK81" s="1375"/>
      <c r="AL81" s="1375"/>
      <c r="AM81" s="1375"/>
      <c r="AN81" s="1375"/>
      <c r="AO81" s="1375"/>
      <c r="AP81" s="1375"/>
      <c r="AQ81" s="1375"/>
      <c r="AR81" s="1375"/>
      <c r="AS81" s="1375"/>
      <c r="AT81" s="1375"/>
      <c r="AU81" s="1375"/>
      <c r="AV81" s="1375"/>
      <c r="AW81" s="1375"/>
      <c r="AX81" s="1375"/>
      <c r="AY81" s="1375"/>
      <c r="AZ81" s="1375"/>
      <c r="BA81" s="1375"/>
      <c r="BB81" s="1375"/>
      <c r="BC81" s="1375"/>
      <c r="BD81" s="1375"/>
      <c r="BE81" s="1375"/>
      <c r="BF81" s="1375"/>
      <c r="BG81" s="1375"/>
      <c r="BH81" s="1375"/>
      <c r="BI81" s="1375"/>
      <c r="BJ81" s="1375"/>
      <c r="BK81" s="1375"/>
      <c r="BL81" s="1375"/>
      <c r="BM81" s="1375"/>
      <c r="BN81" s="1375"/>
      <c r="BO81" s="1375"/>
      <c r="BP81" s="1375"/>
      <c r="BQ81" s="1375"/>
      <c r="BR81" s="1375"/>
    </row>
    <row r="82" spans="2:70" ht="15.75" customHeight="1">
      <c r="B82" s="4155" t="s">
        <v>688</v>
      </c>
      <c r="C82" s="4155"/>
      <c r="E82" s="1375"/>
      <c r="G82" s="1375"/>
      <c r="I82" s="1375"/>
      <c r="J82" s="1375"/>
      <c r="K82" s="1375"/>
      <c r="L82" s="1375"/>
      <c r="M82" s="1375"/>
      <c r="N82" s="1375"/>
      <c r="O82" s="1375"/>
      <c r="P82" s="1375"/>
      <c r="Q82" s="1375"/>
      <c r="R82" s="1375"/>
      <c r="S82" s="1375"/>
      <c r="T82" s="1375"/>
      <c r="U82" s="1375"/>
      <c r="V82" s="1375"/>
      <c r="W82" s="1375"/>
      <c r="X82" s="1375"/>
      <c r="Y82" s="1375"/>
      <c r="Z82" s="1375"/>
      <c r="AA82" s="1375"/>
      <c r="AB82" s="1375"/>
      <c r="AC82" s="1375"/>
      <c r="AD82" s="1375"/>
      <c r="AE82" s="1375"/>
      <c r="AF82" s="1375"/>
      <c r="AG82" s="1375"/>
      <c r="AH82" s="1375"/>
      <c r="AI82" s="1375"/>
      <c r="AJ82" s="1375"/>
      <c r="AK82" s="1375"/>
      <c r="AL82" s="1375"/>
      <c r="AM82" s="1375"/>
      <c r="AN82" s="1375"/>
      <c r="AO82" s="1375"/>
      <c r="AP82" s="1375"/>
      <c r="AQ82" s="1375"/>
      <c r="AR82" s="1375"/>
      <c r="AS82" s="1375"/>
      <c r="AT82" s="1375"/>
      <c r="AU82" s="1375"/>
      <c r="AV82" s="1375"/>
      <c r="AW82" s="1375"/>
      <c r="AX82" s="1375"/>
      <c r="AY82" s="1375"/>
      <c r="AZ82" s="1375"/>
      <c r="BA82" s="1375"/>
      <c r="BB82" s="1375"/>
      <c r="BC82" s="1375"/>
      <c r="BD82" s="1375"/>
      <c r="BE82" s="1375"/>
      <c r="BF82" s="1375"/>
      <c r="BG82" s="1375"/>
      <c r="BH82" s="1375"/>
      <c r="BI82" s="1375"/>
      <c r="BJ82" s="1375"/>
      <c r="BK82" s="1375"/>
      <c r="BL82" s="1375"/>
      <c r="BM82" s="1375"/>
      <c r="BN82" s="1375"/>
      <c r="BO82" s="1375"/>
      <c r="BP82" s="1375"/>
      <c r="BQ82" s="1375"/>
      <c r="BR82" s="1375"/>
    </row>
    <row r="83" spans="2:70" ht="15.75" customHeight="1" thickBot="1">
      <c r="B83" s="1378"/>
      <c r="C83" s="1378"/>
      <c r="E83" s="1375"/>
      <c r="G83" s="1375"/>
      <c r="I83" s="1375"/>
      <c r="J83" s="1375"/>
      <c r="K83" s="1375"/>
      <c r="L83" s="1375"/>
      <c r="M83" s="1375"/>
      <c r="N83" s="1375"/>
      <c r="O83" s="1375"/>
      <c r="P83" s="1375"/>
      <c r="Q83" s="1375"/>
      <c r="R83" s="1375"/>
      <c r="S83" s="1375"/>
      <c r="T83" s="1375"/>
      <c r="U83" s="1375"/>
      <c r="V83" s="1375"/>
      <c r="W83" s="1375"/>
      <c r="X83" s="1375"/>
      <c r="Y83" s="1375"/>
      <c r="Z83" s="1375"/>
      <c r="AA83" s="1375"/>
      <c r="AB83" s="1375"/>
      <c r="AC83" s="1375"/>
      <c r="AD83" s="1375"/>
      <c r="AE83" s="1375"/>
      <c r="AF83" s="1375"/>
      <c r="AG83" s="1375"/>
      <c r="AH83" s="1375"/>
      <c r="AI83" s="1375"/>
      <c r="AJ83" s="1375"/>
      <c r="AK83" s="1375"/>
      <c r="AL83" s="1375"/>
      <c r="AM83" s="1375"/>
      <c r="AN83" s="1375"/>
      <c r="AO83" s="1375"/>
      <c r="AP83" s="1375"/>
      <c r="AQ83" s="1375"/>
      <c r="AR83" s="1375"/>
      <c r="AS83" s="1375"/>
      <c r="AT83" s="1375"/>
      <c r="AU83" s="1375"/>
      <c r="AV83" s="1375"/>
      <c r="AW83" s="1375"/>
      <c r="AX83" s="1375"/>
      <c r="AY83" s="1375"/>
      <c r="AZ83" s="1375"/>
      <c r="BA83" s="1375"/>
      <c r="BB83" s="1375"/>
      <c r="BC83" s="1375"/>
      <c r="BD83" s="1375"/>
      <c r="BE83" s="1375"/>
      <c r="BF83" s="1375"/>
      <c r="BG83" s="1375"/>
      <c r="BH83" s="1375"/>
      <c r="BI83" s="1375"/>
      <c r="BJ83" s="1375"/>
      <c r="BK83" s="1375"/>
      <c r="BL83" s="1375"/>
      <c r="BM83" s="1375"/>
      <c r="BN83" s="1375"/>
      <c r="BO83" s="1375"/>
      <c r="BP83" s="1375"/>
      <c r="BQ83" s="1375"/>
      <c r="BR83" s="1375"/>
    </row>
    <row r="84" spans="2:70">
      <c r="B84" s="4155" t="s">
        <v>687</v>
      </c>
      <c r="C84" s="4155"/>
    </row>
    <row r="85" spans="2:70" ht="15.75" customHeight="1"/>
    <row r="86" spans="2:70" ht="15.75" customHeight="1">
      <c r="B86" s="1377">
        <f ca="1">CELL("largeur",B86)</f>
        <v>11</v>
      </c>
      <c r="C86" s="1377">
        <f ca="1">CELL("largeur",C86)</f>
        <v>11</v>
      </c>
    </row>
    <row r="87" spans="2:70" ht="15.75" customHeight="1"/>
  </sheetData>
  <mergeCells count="70">
    <mergeCell ref="BM15:BM73"/>
    <mergeCell ref="BO15:BO73"/>
    <mergeCell ref="BQ15:BQ73"/>
    <mergeCell ref="AW15:AW73"/>
    <mergeCell ref="AY15:AY73"/>
    <mergeCell ref="AA15:AA73"/>
    <mergeCell ref="AC15:AC73"/>
    <mergeCell ref="AE15:AE73"/>
    <mergeCell ref="BS15:BS73"/>
    <mergeCell ref="BA15:BA73"/>
    <mergeCell ref="BC15:BC73"/>
    <mergeCell ref="BE15:BE73"/>
    <mergeCell ref="BG15:BG73"/>
    <mergeCell ref="BI15:BI73"/>
    <mergeCell ref="BK15:BK73"/>
    <mergeCell ref="AO15:AO73"/>
    <mergeCell ref="AQ15:AQ73"/>
    <mergeCell ref="AS15:AS73"/>
    <mergeCell ref="AU15:AU73"/>
    <mergeCell ref="AG15:AG73"/>
    <mergeCell ref="AI15:AI73"/>
    <mergeCell ref="Q15:Q73"/>
    <mergeCell ref="S15:S73"/>
    <mergeCell ref="B68:C68"/>
    <mergeCell ref="B72:C72"/>
    <mergeCell ref="Y15:Y73"/>
    <mergeCell ref="U15:U73"/>
    <mergeCell ref="W15:W73"/>
    <mergeCell ref="B70:C70"/>
    <mergeCell ref="K15:K73"/>
    <mergeCell ref="I15:I73"/>
    <mergeCell ref="G15:G73"/>
    <mergeCell ref="E15:E73"/>
    <mergeCell ref="M15:M73"/>
    <mergeCell ref="O15:O73"/>
    <mergeCell ref="B76:C76"/>
    <mergeCell ref="B54:C54"/>
    <mergeCell ref="B56:C56"/>
    <mergeCell ref="B78:C78"/>
    <mergeCell ref="B62:C62"/>
    <mergeCell ref="B58:C58"/>
    <mergeCell ref="B74:C74"/>
    <mergeCell ref="B64:C64"/>
    <mergeCell ref="B38:C38"/>
    <mergeCell ref="B42:C42"/>
    <mergeCell ref="B44:C44"/>
    <mergeCell ref="B48:C48"/>
    <mergeCell ref="B50:C50"/>
    <mergeCell ref="B60:C60"/>
    <mergeCell ref="B24:C24"/>
    <mergeCell ref="B30:C30"/>
    <mergeCell ref="B40:C40"/>
    <mergeCell ref="B46:C46"/>
    <mergeCell ref="B52:C52"/>
    <mergeCell ref="AK15:AK73"/>
    <mergeCell ref="AM15:AM73"/>
    <mergeCell ref="B66:C66"/>
    <mergeCell ref="B84:C84"/>
    <mergeCell ref="B14:C14"/>
    <mergeCell ref="B16:C16"/>
    <mergeCell ref="B20:C20"/>
    <mergeCell ref="B22:C22"/>
    <mergeCell ref="B26:C26"/>
    <mergeCell ref="B28:C28"/>
    <mergeCell ref="B32:C32"/>
    <mergeCell ref="B34:C34"/>
    <mergeCell ref="B36:C36"/>
    <mergeCell ref="B80:C80"/>
    <mergeCell ref="B82:C82"/>
    <mergeCell ref="B18:C18"/>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D22312-FEF6-4478-9187-F21074578A5E}">
  <sheetPr>
    <pageSetUpPr fitToPage="1"/>
  </sheetPr>
  <dimension ref="A1:AX107"/>
  <sheetViews>
    <sheetView showZeros="0" zoomScale="75" zoomScaleNormal="75" workbookViewId="0">
      <selection activeCell="T11" sqref="T11"/>
    </sheetView>
  </sheetViews>
  <sheetFormatPr baseColWidth="10" defaultRowHeight="15.75"/>
  <cols>
    <col min="1" max="1" width="4.42578125" style="27" customWidth="1"/>
    <col min="2" max="2" width="12.7109375" style="27" customWidth="1"/>
    <col min="3" max="3" width="37.140625" style="27" customWidth="1"/>
    <col min="4" max="4" width="16.7109375" style="27" customWidth="1"/>
    <col min="5" max="5" width="12.5703125" style="27" customWidth="1"/>
    <col min="6" max="6" width="5" style="27" customWidth="1"/>
    <col min="7" max="7" width="61" style="27" customWidth="1"/>
    <col min="8" max="19" width="7.7109375" style="27" customWidth="1"/>
    <col min="20" max="20" width="13" style="27" customWidth="1"/>
    <col min="21" max="24" width="12.5703125" style="27" customWidth="1"/>
    <col min="25" max="25" width="4.28515625" style="27" customWidth="1"/>
    <col min="26" max="27" width="11.42578125" style="27"/>
    <col min="28" max="28" width="4.5703125" style="27" customWidth="1"/>
    <col min="29" max="39" width="11.42578125" style="27"/>
    <col min="40" max="49" width="11.7109375" style="27" customWidth="1"/>
    <col min="50" max="16384" width="11.42578125" style="27"/>
  </cols>
  <sheetData>
    <row r="1" spans="1:27" s="1376" customFormat="1" ht="55.5" customHeight="1">
      <c r="A1" s="1695" t="s">
        <v>834</v>
      </c>
      <c r="B1" s="4224" t="s">
        <v>846</v>
      </c>
      <c r="C1" s="4225"/>
      <c r="D1" s="4225"/>
      <c r="E1" s="4225"/>
      <c r="F1" s="4225"/>
      <c r="G1" s="4225"/>
      <c r="H1" s="4225"/>
      <c r="I1" s="4225"/>
      <c r="J1" s="4225"/>
      <c r="K1" s="4225"/>
      <c r="L1" s="4225"/>
      <c r="M1" s="4225"/>
      <c r="N1" s="4225"/>
      <c r="O1" s="4225"/>
      <c r="P1" s="4225"/>
      <c r="Q1" s="4225"/>
      <c r="R1" s="4225"/>
      <c r="S1" s="4225"/>
      <c r="T1" s="4225"/>
      <c r="U1" s="4225"/>
      <c r="V1" s="4225"/>
      <c r="W1" s="4225"/>
      <c r="X1" s="4225"/>
      <c r="Y1" s="4225"/>
      <c r="Z1" s="4225"/>
      <c r="AA1" s="4226"/>
    </row>
    <row r="2" spans="1:27" s="1376" customFormat="1" ht="55.5" customHeight="1">
      <c r="A2" s="1696"/>
      <c r="B2" s="4227" t="s">
        <v>845</v>
      </c>
      <c r="C2" s="4227"/>
      <c r="D2" s="4227"/>
      <c r="E2" s="4227"/>
      <c r="F2" s="4227"/>
      <c r="G2" s="4227"/>
      <c r="H2" s="4227"/>
      <c r="I2" s="4227"/>
      <c r="J2" s="4227"/>
      <c r="K2" s="4227"/>
      <c r="L2" s="4227"/>
      <c r="M2" s="4227"/>
      <c r="N2" s="4227"/>
      <c r="O2" s="4227"/>
      <c r="P2" s="4227"/>
      <c r="Q2" s="4227"/>
      <c r="R2" s="4227"/>
      <c r="S2" s="4227"/>
      <c r="T2" s="4227"/>
      <c r="U2" s="4227"/>
      <c r="V2" s="4227"/>
      <c r="W2" s="4227"/>
      <c r="X2" s="4227"/>
      <c r="Y2" s="4227"/>
      <c r="Z2" s="4227"/>
      <c r="AA2" s="4227"/>
    </row>
    <row r="3" spans="1:27" s="1376" customFormat="1" ht="55.5" customHeight="1">
      <c r="A3" s="1696"/>
      <c r="B3" s="1567"/>
      <c r="C3" s="1567" t="s">
        <v>844</v>
      </c>
      <c r="D3" s="1567"/>
      <c r="E3" s="1567"/>
      <c r="F3" s="1565"/>
      <c r="G3" s="1565"/>
      <c r="H3" s="1565"/>
      <c r="I3" s="1565"/>
      <c r="J3" s="1565"/>
      <c r="K3" s="1565"/>
      <c r="L3" s="1565"/>
      <c r="M3" s="1565"/>
      <c r="N3" s="1565"/>
      <c r="O3" s="1565"/>
      <c r="P3" s="1565"/>
      <c r="Q3" s="1565"/>
      <c r="R3" s="1565"/>
      <c r="S3" s="1565"/>
      <c r="T3" s="1565"/>
      <c r="U3" s="1565"/>
      <c r="V3" s="1565"/>
      <c r="W3" s="1565"/>
      <c r="X3" s="1565"/>
      <c r="Y3" s="1565"/>
      <c r="Z3" s="1565"/>
      <c r="AA3" s="1565"/>
    </row>
    <row r="4" spans="1:27" s="1376" customFormat="1" ht="55.5" customHeight="1">
      <c r="A4" s="1696"/>
      <c r="B4" s="1567"/>
      <c r="C4" s="1567"/>
      <c r="D4" s="1567" t="s">
        <v>843</v>
      </c>
      <c r="E4" s="1567"/>
      <c r="F4" s="1565"/>
      <c r="G4" s="1565"/>
      <c r="H4" s="1565"/>
      <c r="I4" s="1565"/>
      <c r="J4" s="1565"/>
      <c r="K4" s="1565"/>
      <c r="L4" s="1565"/>
      <c r="M4" s="1565"/>
      <c r="N4" s="1565"/>
      <c r="O4" s="1565"/>
      <c r="P4" s="1565"/>
      <c r="Q4" s="1565"/>
      <c r="R4" s="1565"/>
      <c r="S4" s="1565"/>
      <c r="T4" s="1565"/>
      <c r="U4" s="1565"/>
      <c r="V4" s="1565"/>
      <c r="W4" s="1565"/>
      <c r="X4" s="1565"/>
      <c r="Y4" s="1565"/>
      <c r="Z4" s="1565"/>
      <c r="AA4" s="1565"/>
    </row>
    <row r="5" spans="1:27" s="1376" customFormat="1" ht="55.5" customHeight="1">
      <c r="A5" s="1696"/>
      <c r="B5" s="1567"/>
      <c r="C5" s="1567"/>
      <c r="D5" s="1567"/>
      <c r="E5" s="1567"/>
      <c r="F5" s="1565"/>
      <c r="G5" s="1565"/>
      <c r="H5" s="1565"/>
      <c r="I5" s="1565"/>
      <c r="J5" s="1565"/>
      <c r="K5" s="1565"/>
      <c r="L5" s="1565"/>
      <c r="M5" s="1565"/>
      <c r="N5" s="1565"/>
      <c r="O5" s="1565"/>
      <c r="P5" s="1565"/>
      <c r="Q5" s="1565"/>
      <c r="R5" s="1565"/>
      <c r="S5" s="1565"/>
      <c r="T5" s="1565"/>
      <c r="U5" s="1565"/>
      <c r="V5" s="1565"/>
      <c r="W5" s="1565"/>
      <c r="X5" s="1565"/>
      <c r="Y5" s="1565"/>
      <c r="Z5" s="1565"/>
      <c r="AA5" s="1565"/>
    </row>
    <row r="6" spans="1:27" s="1376" customFormat="1" ht="55.5" customHeight="1">
      <c r="A6" s="1696"/>
      <c r="B6" s="1567"/>
      <c r="C6" s="1567" t="s">
        <v>842</v>
      </c>
      <c r="D6" s="1567"/>
      <c r="E6" s="1567"/>
      <c r="F6" s="1565"/>
      <c r="G6" s="1565"/>
      <c r="H6" s="1565"/>
      <c r="I6" s="1565"/>
      <c r="J6" s="1565"/>
      <c r="K6" s="1565"/>
      <c r="L6" s="1565"/>
      <c r="M6" s="1565"/>
      <c r="N6" s="1565"/>
      <c r="O6" s="1565"/>
      <c r="P6" s="1565"/>
      <c r="Q6" s="1565"/>
      <c r="R6" s="1565"/>
      <c r="S6" s="1565"/>
      <c r="T6" s="1565"/>
      <c r="U6" s="1565"/>
      <c r="V6" s="1565"/>
      <c r="W6" s="1565"/>
      <c r="X6" s="1565"/>
      <c r="Y6" s="1565"/>
      <c r="Z6" s="1565"/>
      <c r="AA6" s="1565"/>
    </row>
    <row r="7" spans="1:27" s="1376" customFormat="1" ht="55.5" customHeight="1">
      <c r="A7" s="1696"/>
      <c r="B7" s="1567"/>
      <c r="C7" s="1567"/>
      <c r="D7" s="1567" t="s">
        <v>841</v>
      </c>
      <c r="E7" s="1567"/>
      <c r="F7" s="1565"/>
      <c r="G7" s="1565"/>
      <c r="H7" s="1565"/>
      <c r="I7" s="1565"/>
      <c r="J7" s="1565"/>
      <c r="K7" s="1565"/>
      <c r="L7" s="1565"/>
      <c r="M7" s="1565"/>
      <c r="N7" s="1565"/>
      <c r="O7" s="1565"/>
      <c r="P7" s="1565"/>
      <c r="Q7" s="1565"/>
      <c r="R7" s="1565"/>
      <c r="S7" s="1565"/>
      <c r="T7" s="1565"/>
      <c r="U7" s="1565"/>
      <c r="V7" s="1565"/>
      <c r="W7" s="1565"/>
      <c r="X7" s="1565"/>
      <c r="Y7" s="1565"/>
      <c r="Z7" s="1565"/>
      <c r="AA7" s="1565"/>
    </row>
    <row r="8" spans="1:27" s="1376" customFormat="1" ht="55.5" customHeight="1">
      <c r="A8" s="1696"/>
      <c r="B8" s="1567"/>
      <c r="C8" s="1567"/>
      <c r="D8" s="1567" t="s">
        <v>840</v>
      </c>
      <c r="E8" s="1567"/>
      <c r="F8" s="1565"/>
      <c r="G8" s="1565"/>
      <c r="H8" s="1565"/>
      <c r="I8" s="1565"/>
      <c r="J8" s="1565"/>
      <c r="K8" s="1565"/>
      <c r="L8" s="1565"/>
      <c r="M8" s="1565"/>
      <c r="N8" s="1565"/>
      <c r="O8" s="1565"/>
      <c r="P8" s="1565"/>
      <c r="Q8" s="1565"/>
      <c r="R8" s="1565"/>
      <c r="S8" s="1565"/>
      <c r="T8" s="1565"/>
      <c r="U8" s="1565"/>
      <c r="V8" s="1565"/>
      <c r="W8" s="1565"/>
      <c r="X8" s="1565"/>
      <c r="Y8" s="1565"/>
      <c r="Z8" s="1565"/>
      <c r="AA8" s="1565"/>
    </row>
    <row r="9" spans="1:27" s="1376" customFormat="1" ht="55.5" customHeight="1">
      <c r="A9" s="1696"/>
      <c r="B9" s="1567"/>
      <c r="C9" s="1567"/>
      <c r="D9" s="1567" t="s">
        <v>839</v>
      </c>
      <c r="E9" s="1567"/>
      <c r="F9" s="1565"/>
      <c r="G9" s="1565"/>
      <c r="H9" s="1565"/>
      <c r="I9" s="1565"/>
      <c r="J9" s="1565"/>
      <c r="K9" s="1565"/>
      <c r="L9" s="1565"/>
      <c r="M9" s="1565"/>
      <c r="N9" s="1565"/>
      <c r="O9" s="1565"/>
      <c r="P9" s="1565"/>
      <c r="Q9" s="1565"/>
      <c r="R9" s="1565"/>
      <c r="S9" s="1565"/>
      <c r="T9" s="1565"/>
      <c r="U9" s="1565"/>
      <c r="V9" s="1565"/>
      <c r="W9" s="1565"/>
      <c r="X9" s="1565"/>
      <c r="Y9" s="1565"/>
      <c r="Z9" s="1565"/>
      <c r="AA9" s="1565"/>
    </row>
    <row r="10" spans="1:27" s="1376" customFormat="1" ht="55.5" customHeight="1">
      <c r="A10" s="1696"/>
      <c r="B10" s="1567"/>
      <c r="C10" s="1567"/>
      <c r="D10" s="1567"/>
      <c r="E10" s="1567"/>
      <c r="F10" s="1565"/>
      <c r="G10" s="1565"/>
      <c r="H10" s="1565"/>
      <c r="I10" s="1565"/>
      <c r="J10" s="1565"/>
      <c r="K10" s="1565"/>
      <c r="L10" s="1565"/>
      <c r="M10" s="1565"/>
      <c r="N10" s="1565"/>
      <c r="O10" s="1565"/>
      <c r="P10" s="1565"/>
      <c r="Q10" s="1565"/>
      <c r="R10" s="1565"/>
      <c r="S10" s="1565"/>
      <c r="T10" s="1565"/>
      <c r="U10" s="1565"/>
      <c r="V10" s="1565"/>
      <c r="W10" s="1565"/>
      <c r="X10" s="1565"/>
      <c r="Y10" s="1565"/>
      <c r="Z10" s="1565"/>
      <c r="AA10" s="1565"/>
    </row>
    <row r="11" spans="1:27" s="1376" customFormat="1" ht="55.5" customHeight="1">
      <c r="A11" s="1696"/>
      <c r="B11" s="1567"/>
      <c r="C11" s="1567" t="s">
        <v>838</v>
      </c>
      <c r="D11" s="1567"/>
      <c r="E11" s="1567"/>
      <c r="F11" s="1565"/>
      <c r="G11" s="1565"/>
      <c r="H11" s="1565"/>
      <c r="I11" s="1565"/>
      <c r="J11" s="1565"/>
      <c r="K11" s="1565"/>
      <c r="L11" s="1565"/>
      <c r="M11" s="1565"/>
      <c r="N11" s="1565"/>
      <c r="O11" s="1565"/>
      <c r="P11" s="1565"/>
      <c r="Q11" s="1565"/>
      <c r="R11" s="1565"/>
      <c r="S11" s="1565"/>
      <c r="T11" s="1565"/>
      <c r="U11" s="1565"/>
      <c r="V11" s="1565"/>
      <c r="W11" s="1565"/>
      <c r="X11" s="1565"/>
      <c r="Y11" s="1565"/>
      <c r="Z11" s="1565"/>
      <c r="AA11" s="1565"/>
    </row>
    <row r="12" spans="1:27" s="1376" customFormat="1" ht="55.5" customHeight="1">
      <c r="A12" s="1696"/>
      <c r="B12" s="1567"/>
      <c r="C12" s="1567" t="s">
        <v>837</v>
      </c>
      <c r="D12" s="1567"/>
      <c r="E12" s="1567"/>
      <c r="F12" s="1565"/>
      <c r="G12" s="1565"/>
      <c r="H12" s="1565"/>
      <c r="I12" s="1565"/>
      <c r="J12" s="1565"/>
      <c r="K12" s="1565"/>
      <c r="L12" s="1565"/>
      <c r="M12" s="1565"/>
      <c r="N12" s="1565"/>
      <c r="O12" s="1565"/>
      <c r="P12" s="1565"/>
      <c r="Q12" s="1565"/>
      <c r="R12" s="1565"/>
      <c r="S12" s="1565"/>
      <c r="T12" s="1565"/>
      <c r="U12" s="1565"/>
      <c r="V12" s="1565"/>
      <c r="W12" s="1565"/>
      <c r="X12" s="1565"/>
      <c r="Y12" s="1565"/>
      <c r="Z12" s="1565"/>
      <c r="AA12" s="1565"/>
    </row>
    <row r="13" spans="1:27" s="1376" customFormat="1" ht="55.5" customHeight="1">
      <c r="A13" s="1696"/>
      <c r="B13" s="1565"/>
      <c r="C13" s="1567"/>
      <c r="D13" s="1565"/>
      <c r="E13" s="1565"/>
      <c r="F13" s="1565"/>
      <c r="G13" s="1565"/>
      <c r="H13" s="1565"/>
      <c r="I13" s="1565"/>
      <c r="J13" s="1565"/>
      <c r="K13" s="1565"/>
      <c r="L13" s="1565"/>
      <c r="M13" s="1565"/>
      <c r="N13" s="1565"/>
      <c r="O13" s="1565"/>
      <c r="P13" s="1565"/>
      <c r="Q13" s="1565"/>
      <c r="R13" s="1565"/>
      <c r="S13" s="1565"/>
      <c r="T13" s="1565"/>
      <c r="U13" s="1565"/>
      <c r="V13" s="1565"/>
      <c r="W13" s="1565"/>
      <c r="X13" s="1565"/>
      <c r="Y13" s="1565"/>
      <c r="Z13" s="1565"/>
      <c r="AA13" s="1565"/>
    </row>
    <row r="14" spans="1:27" s="1376" customFormat="1" ht="55.5" customHeight="1">
      <c r="A14" s="1696"/>
      <c r="B14" s="1565"/>
      <c r="C14" s="1567" t="s">
        <v>836</v>
      </c>
      <c r="D14" s="1565"/>
      <c r="E14" s="1565"/>
      <c r="F14" s="1565"/>
      <c r="G14" s="1565"/>
      <c r="H14" s="1565"/>
      <c r="I14" s="1565"/>
      <c r="J14" s="1565"/>
      <c r="K14" s="1565"/>
      <c r="L14" s="1565"/>
      <c r="M14" s="1565"/>
      <c r="N14" s="1565"/>
      <c r="O14" s="1565"/>
      <c r="P14" s="1565"/>
      <c r="Q14" s="1565"/>
      <c r="R14" s="1565"/>
      <c r="S14" s="1565"/>
      <c r="T14" s="1565"/>
      <c r="U14" s="1565"/>
      <c r="V14" s="1565"/>
      <c r="W14" s="1565"/>
      <c r="X14" s="1565"/>
      <c r="Y14" s="1565"/>
      <c r="Z14" s="1565"/>
      <c r="AA14" s="1565"/>
    </row>
    <row r="15" spans="1:27" s="1376" customFormat="1" ht="55.5" customHeight="1">
      <c r="A15" s="1696"/>
      <c r="B15" s="1565"/>
      <c r="C15" s="1567" t="s">
        <v>835</v>
      </c>
      <c r="D15" s="1565"/>
      <c r="E15" s="1565"/>
      <c r="F15" s="1565"/>
      <c r="G15" s="1565"/>
      <c r="H15" s="1565"/>
      <c r="I15" s="1565"/>
      <c r="J15" s="1565"/>
      <c r="K15" s="1565"/>
      <c r="L15" s="1565"/>
      <c r="M15" s="1565"/>
      <c r="N15" s="1565"/>
      <c r="O15" s="1565"/>
      <c r="P15" s="1565"/>
      <c r="Q15" s="1565"/>
      <c r="R15" s="1565"/>
      <c r="S15" s="1565"/>
      <c r="T15" s="1565"/>
      <c r="U15" s="1565"/>
      <c r="V15" s="1565"/>
      <c r="W15" s="1565"/>
      <c r="X15" s="1565"/>
      <c r="Y15" s="1565"/>
      <c r="Z15" s="1565"/>
      <c r="AA15" s="1565"/>
    </row>
    <row r="16" spans="1:27" s="1376" customFormat="1" ht="55.5" customHeight="1" thickBot="1">
      <c r="A16" s="1696"/>
      <c r="B16" s="1565"/>
      <c r="C16" s="1565"/>
      <c r="D16" s="1565"/>
      <c r="E16" s="1565"/>
      <c r="F16" s="1565"/>
      <c r="G16" s="1565"/>
      <c r="H16" s="1565"/>
      <c r="I16" s="1565"/>
      <c r="J16" s="1565"/>
      <c r="K16" s="1565"/>
      <c r="L16" s="1565"/>
      <c r="M16" s="1565"/>
      <c r="N16" s="1565"/>
      <c r="O16" s="1565"/>
      <c r="P16" s="1565"/>
      <c r="Q16" s="1565"/>
      <c r="R16" s="1565"/>
      <c r="S16" s="1565"/>
      <c r="T16" s="1565"/>
      <c r="U16" s="1565"/>
      <c r="V16" s="1565"/>
      <c r="W16" s="1565"/>
      <c r="X16" s="1565"/>
      <c r="Y16" s="1565"/>
      <c r="Z16" s="1565"/>
      <c r="AA16" s="1565"/>
    </row>
    <row r="17" spans="1:50" ht="24" customHeight="1" thickBot="1">
      <c r="A17" s="1695" t="s">
        <v>834</v>
      </c>
      <c r="B17" s="1694" t="s">
        <v>833</v>
      </c>
      <c r="C17" s="1693"/>
      <c r="D17" s="1693"/>
      <c r="E17" s="1693"/>
      <c r="F17" s="1692" t="s">
        <v>832</v>
      </c>
      <c r="G17" s="1691">
        <f ca="1">NOW()</f>
        <v>44608.74733564815</v>
      </c>
      <c r="H17" s="1691"/>
      <c r="I17" s="1691"/>
      <c r="J17" s="1691"/>
      <c r="K17" s="1691"/>
      <c r="L17" s="1691"/>
      <c r="M17" s="1691"/>
      <c r="N17" s="1691"/>
      <c r="O17" s="1691"/>
      <c r="P17" s="1691"/>
      <c r="Q17" s="1691"/>
      <c r="R17" s="1691"/>
      <c r="S17" s="1691"/>
      <c r="T17" s="4234" t="s">
        <v>831</v>
      </c>
      <c r="U17" s="4235"/>
      <c r="V17" s="4235"/>
      <c r="W17" s="4235"/>
      <c r="X17" s="4235"/>
      <c r="Y17" s="4235"/>
      <c r="Z17" s="4235"/>
      <c r="AA17" s="4235"/>
      <c r="AB17" s="4235"/>
      <c r="AC17" s="4235"/>
      <c r="AD17" s="4235"/>
      <c r="AE17" s="4235"/>
      <c r="AF17" s="4235"/>
      <c r="AG17" s="4235"/>
      <c r="AH17" s="4235"/>
      <c r="AI17" s="4235"/>
      <c r="AJ17" s="4235"/>
      <c r="AK17" s="4235"/>
      <c r="AL17" s="4235"/>
      <c r="AN17" s="4236" t="str">
        <f>U20</f>
        <v>NOM DU PLAT</v>
      </c>
      <c r="AO17" s="4237"/>
      <c r="AP17" s="4237"/>
      <c r="AQ17" s="4237"/>
      <c r="AR17" s="4237"/>
      <c r="AS17" s="4237"/>
      <c r="AT17" s="4237"/>
      <c r="AU17" s="4237"/>
      <c r="AV17" s="4240" t="s">
        <v>10</v>
      </c>
      <c r="AW17" s="4242">
        <f>AJ20</f>
        <v>1</v>
      </c>
      <c r="AX17" s="1690"/>
    </row>
    <row r="18" spans="1:50" ht="18" customHeight="1">
      <c r="A18" s="4244" t="str">
        <f>SUBSTITUTE(ADDRESS(1,COLUMN(),4),"1","")</f>
        <v>A</v>
      </c>
      <c r="B18" s="1620"/>
      <c r="C18" s="1620"/>
      <c r="D18" s="1620"/>
      <c r="E18" s="1620"/>
      <c r="F18" s="1689" t="s">
        <v>830</v>
      </c>
      <c r="G18" s="1688"/>
      <c r="H18" s="1687"/>
      <c r="I18" s="1687"/>
      <c r="J18" s="1687"/>
      <c r="K18" s="1687"/>
      <c r="L18" s="1687"/>
      <c r="M18" s="1687"/>
      <c r="N18" s="1687"/>
      <c r="O18" s="1687"/>
      <c r="P18" s="1687"/>
      <c r="Q18" s="1687"/>
      <c r="R18" s="1687"/>
      <c r="S18" s="1687"/>
      <c r="T18" s="1682" t="s">
        <v>165</v>
      </c>
      <c r="U18" s="557"/>
      <c r="V18" s="1686"/>
      <c r="W18" s="1686" t="s">
        <v>829</v>
      </c>
      <c r="X18" s="557" t="s">
        <v>828</v>
      </c>
      <c r="Y18" s="557"/>
      <c r="Z18" s="557"/>
      <c r="AA18" s="557"/>
      <c r="AB18" s="23"/>
      <c r="AC18" s="23"/>
      <c r="AD18" s="23"/>
      <c r="AE18" s="1685"/>
      <c r="AF18" s="31"/>
      <c r="AG18" s="31"/>
      <c r="AH18" s="31"/>
      <c r="AI18" s="31"/>
      <c r="AJ18" s="31"/>
      <c r="AK18" s="1684" t="s">
        <v>827</v>
      </c>
      <c r="AL18" s="4245" t="s">
        <v>5</v>
      </c>
      <c r="AN18" s="4238"/>
      <c r="AO18" s="4239"/>
      <c r="AP18" s="4239"/>
      <c r="AQ18" s="4239"/>
      <c r="AR18" s="4239"/>
      <c r="AS18" s="4239"/>
      <c r="AT18" s="4239"/>
      <c r="AU18" s="4239"/>
      <c r="AV18" s="4241"/>
      <c r="AW18" s="4243"/>
    </row>
    <row r="19" spans="1:50" ht="15.75" customHeight="1">
      <c r="A19" s="4244"/>
      <c r="B19" s="1683"/>
      <c r="C19" s="1683"/>
      <c r="D19" s="1683"/>
      <c r="E19" s="1683"/>
      <c r="F19" s="4247"/>
      <c r="G19" s="4248"/>
      <c r="H19" s="21"/>
      <c r="I19" s="21"/>
      <c r="J19" s="21"/>
      <c r="K19" s="21"/>
      <c r="L19" s="21"/>
      <c r="M19" s="21"/>
      <c r="N19" s="21"/>
      <c r="O19" s="21"/>
      <c r="P19" s="21"/>
      <c r="Q19" s="21"/>
      <c r="R19" s="21"/>
      <c r="S19" s="21"/>
      <c r="T19" s="1682" t="s">
        <v>826</v>
      </c>
      <c r="U19" s="1681"/>
      <c r="V19" s="22"/>
      <c r="W19" s="22"/>
      <c r="X19" s="22"/>
      <c r="Y19" s="22"/>
      <c r="Z19" s="22"/>
      <c r="AA19" s="22"/>
      <c r="AB19" s="23"/>
      <c r="AC19" s="22"/>
      <c r="AD19" s="22"/>
      <c r="AE19" s="22"/>
      <c r="AF19" s="23"/>
      <c r="AG19" s="22"/>
      <c r="AH19" s="22"/>
      <c r="AI19" s="22"/>
      <c r="AJ19" s="23"/>
      <c r="AK19" s="1680" t="s">
        <v>572</v>
      </c>
      <c r="AL19" s="3742"/>
      <c r="AN19" s="4251" t="s">
        <v>188</v>
      </c>
      <c r="AO19" s="4252"/>
      <c r="AP19" s="4252"/>
      <c r="AQ19" s="4252"/>
      <c r="AR19" s="4252"/>
      <c r="AS19" s="4252"/>
      <c r="AT19" s="4252"/>
      <c r="AU19" s="4252"/>
      <c r="AV19" s="4252"/>
      <c r="AW19" s="4253"/>
    </row>
    <row r="20" spans="1:50" ht="30.75" customHeight="1">
      <c r="A20" s="4257" t="str">
        <f>U20</f>
        <v>NOM DU PLAT</v>
      </c>
      <c r="B20" s="4259" t="s">
        <v>825</v>
      </c>
      <c r="C20" s="4260"/>
      <c r="D20" s="4260"/>
      <c r="E20" s="4261"/>
      <c r="F20" s="4247"/>
      <c r="G20" s="4248"/>
      <c r="H20" s="21"/>
      <c r="I20" s="21"/>
      <c r="J20" s="21"/>
      <c r="K20" s="21"/>
      <c r="L20" s="21"/>
      <c r="M20" s="21"/>
      <c r="N20" s="21"/>
      <c r="O20" s="21"/>
      <c r="P20" s="21"/>
      <c r="Q20" s="21"/>
      <c r="R20" s="21"/>
      <c r="S20" s="21"/>
      <c r="T20" s="1674" t="s">
        <v>3</v>
      </c>
      <c r="U20" s="4262" t="s">
        <v>824</v>
      </c>
      <c r="V20" s="4262"/>
      <c r="W20" s="4262"/>
      <c r="X20" s="4262"/>
      <c r="Y20" s="4262"/>
      <c r="Z20" s="4262"/>
      <c r="AA20" s="4262"/>
      <c r="AB20" s="4262"/>
      <c r="AC20" s="4262"/>
      <c r="AD20" s="4262"/>
      <c r="AE20" s="4262"/>
      <c r="AF20" s="4262"/>
      <c r="AG20" s="4262"/>
      <c r="AH20" s="4262"/>
      <c r="AI20" s="4292" t="s">
        <v>10</v>
      </c>
      <c r="AJ20" s="3750">
        <v>1</v>
      </c>
      <c r="AK20" s="3751"/>
      <c r="AL20" s="3742"/>
      <c r="AN20" s="4254"/>
      <c r="AO20" s="4255"/>
      <c r="AP20" s="4255"/>
      <c r="AQ20" s="4255"/>
      <c r="AR20" s="4255"/>
      <c r="AS20" s="4255"/>
      <c r="AT20" s="4255"/>
      <c r="AU20" s="4255"/>
      <c r="AV20" s="4255"/>
      <c r="AW20" s="4256"/>
    </row>
    <row r="21" spans="1:50" ht="21" customHeight="1">
      <c r="A21" s="4257"/>
      <c r="B21" s="4259"/>
      <c r="C21" s="4260"/>
      <c r="D21" s="4260"/>
      <c r="E21" s="4261"/>
      <c r="F21" s="4247"/>
      <c r="G21" s="4248"/>
      <c r="H21" s="21"/>
      <c r="I21" s="21"/>
      <c r="J21" s="21"/>
      <c r="K21" s="21"/>
      <c r="L21" s="21"/>
      <c r="M21" s="21"/>
      <c r="N21" s="21"/>
      <c r="O21" s="21"/>
      <c r="P21" s="21"/>
      <c r="Q21" s="21"/>
      <c r="R21" s="21"/>
      <c r="S21" s="21"/>
      <c r="T21" s="1679" t="s">
        <v>295</v>
      </c>
      <c r="U21" s="38"/>
      <c r="V21" s="31" t="s">
        <v>823</v>
      </c>
      <c r="W21" s="31"/>
      <c r="X21" s="1678"/>
      <c r="Y21" s="31"/>
      <c r="Z21" s="31"/>
      <c r="AA21" s="31"/>
      <c r="AB21" s="31"/>
      <c r="AC21" s="31"/>
      <c r="AD21" s="31"/>
      <c r="AE21" s="31"/>
      <c r="AF21" s="31"/>
      <c r="AG21" s="31"/>
      <c r="AH21" s="31"/>
      <c r="AI21" s="4292"/>
      <c r="AJ21" s="3750"/>
      <c r="AK21" s="3751"/>
      <c r="AL21" s="3742"/>
      <c r="AN21" s="4293" t="s">
        <v>183</v>
      </c>
      <c r="AO21" s="4287"/>
      <c r="AP21" s="4287"/>
      <c r="AQ21" s="4295">
        <v>3.125E-2</v>
      </c>
      <c r="AR21" s="4287" t="s">
        <v>182</v>
      </c>
      <c r="AS21" s="4287"/>
      <c r="AT21" s="4287"/>
      <c r="AU21" s="4297">
        <v>8.3333333333333329E-2</v>
      </c>
      <c r="AV21" s="4299" t="s">
        <v>135</v>
      </c>
      <c r="AW21" s="4280">
        <f>AU21+AQ21</f>
        <v>0.11458333333333333</v>
      </c>
    </row>
    <row r="22" spans="1:50" ht="16.5" customHeight="1" thickBot="1">
      <c r="A22" s="4257"/>
      <c r="B22" s="1677" t="str">
        <f>SUBSTITUTE(ADDRESS(1,COLUMN(),4),"1","")</f>
        <v>B</v>
      </c>
      <c r="C22" s="1677" t="str">
        <f>SUBSTITUTE(ADDRESS(1,COLUMN(),4),"1","")</f>
        <v>C</v>
      </c>
      <c r="D22" s="1677" t="str">
        <f>SUBSTITUTE(ADDRESS(1,COLUMN(),4),"1","")</f>
        <v>D</v>
      </c>
      <c r="E22" s="1677" t="str">
        <f>SUBSTITUTE(ADDRESS(1,COLUMN(),4),"1","")</f>
        <v>E</v>
      </c>
      <c r="F22" s="4247"/>
      <c r="G22" s="4248"/>
      <c r="H22" s="21"/>
      <c r="I22" s="21"/>
      <c r="J22" s="21"/>
      <c r="K22" s="21"/>
      <c r="L22" s="21"/>
      <c r="M22" s="21"/>
      <c r="N22" s="21"/>
      <c r="O22" s="21"/>
      <c r="P22" s="21"/>
      <c r="Q22" s="21"/>
      <c r="R22" s="21"/>
      <c r="S22" s="21"/>
      <c r="T22" s="1676"/>
      <c r="U22" s="31"/>
      <c r="V22" s="31"/>
      <c r="W22" s="17"/>
      <c r="X22" s="17"/>
      <c r="Y22" s="31"/>
      <c r="Z22" s="31"/>
      <c r="AA22" s="31"/>
      <c r="AB22" s="31"/>
      <c r="AC22" s="31"/>
      <c r="AD22" s="31"/>
      <c r="AE22" s="31"/>
      <c r="AF22" s="31"/>
      <c r="AG22" s="31"/>
      <c r="AH22" s="31"/>
      <c r="AI22" s="4282" t="s">
        <v>687</v>
      </c>
      <c r="AJ22" s="4282"/>
      <c r="AK22" s="4283"/>
      <c r="AL22" s="3742"/>
      <c r="AN22" s="4294"/>
      <c r="AO22" s="4288"/>
      <c r="AP22" s="4288"/>
      <c r="AQ22" s="4296"/>
      <c r="AR22" s="4288"/>
      <c r="AS22" s="4288"/>
      <c r="AT22" s="4288"/>
      <c r="AU22" s="4298"/>
      <c r="AV22" s="4300"/>
      <c r="AW22" s="4281"/>
    </row>
    <row r="23" spans="1:50" ht="15.75" customHeight="1">
      <c r="A23" s="4257"/>
      <c r="B23" s="4284" t="s">
        <v>822</v>
      </c>
      <c r="C23" s="4285"/>
      <c r="D23" s="4285"/>
      <c r="E23" s="4286"/>
      <c r="F23" s="4247"/>
      <c r="G23" s="4248"/>
      <c r="H23" s="21"/>
      <c r="I23" s="21"/>
      <c r="J23" s="21"/>
      <c r="K23" s="21"/>
      <c r="L23" s="21"/>
      <c r="M23" s="21"/>
      <c r="N23" s="21"/>
      <c r="O23" s="21"/>
      <c r="P23" s="21"/>
      <c r="Q23" s="21"/>
      <c r="R23" s="21"/>
      <c r="S23" s="21"/>
      <c r="T23" s="1674" t="s">
        <v>821</v>
      </c>
      <c r="U23" s="31" t="s">
        <v>820</v>
      </c>
      <c r="V23" s="31"/>
      <c r="W23" s="17"/>
      <c r="X23" s="17"/>
      <c r="Y23" s="31"/>
      <c r="Z23" s="31"/>
      <c r="AA23" s="31"/>
      <c r="AB23" s="31"/>
      <c r="AC23" s="31"/>
      <c r="AD23" s="31"/>
      <c r="AE23" s="31"/>
      <c r="AF23" s="31"/>
      <c r="AG23" s="31"/>
      <c r="AH23" s="31"/>
      <c r="AI23" s="4282"/>
      <c r="AJ23" s="4282"/>
      <c r="AK23" s="4283"/>
      <c r="AL23" s="3742"/>
      <c r="AN23" s="1597">
        <v>0</v>
      </c>
      <c r="AO23" s="187"/>
      <c r="AP23" s="110"/>
      <c r="AQ23" s="110"/>
      <c r="AR23" s="110"/>
      <c r="AS23" s="110"/>
      <c r="AT23" s="110"/>
      <c r="AU23" s="110"/>
      <c r="AV23" s="110"/>
      <c r="AW23" s="167"/>
    </row>
    <row r="24" spans="1:50" ht="15.75" customHeight="1">
      <c r="A24" s="4257"/>
      <c r="B24" s="1675"/>
      <c r="C24" s="1675"/>
      <c r="D24" s="1675"/>
      <c r="E24" s="1675"/>
      <c r="F24" s="4247"/>
      <c r="G24" s="4248"/>
      <c r="H24" s="21"/>
      <c r="I24" s="21"/>
      <c r="J24" s="21"/>
      <c r="K24" s="21"/>
      <c r="L24" s="21"/>
      <c r="M24" s="21"/>
      <c r="N24" s="21"/>
      <c r="O24" s="21"/>
      <c r="P24" s="21"/>
      <c r="Q24" s="21"/>
      <c r="R24" s="21"/>
      <c r="S24" s="21"/>
      <c r="T24" s="1674"/>
      <c r="U24" s="31"/>
      <c r="V24" s="31"/>
      <c r="W24" s="4301" t="s">
        <v>819</v>
      </c>
      <c r="X24" s="4301"/>
      <c r="Y24" s="31"/>
      <c r="Z24" s="31"/>
      <c r="AA24" s="31"/>
      <c r="AB24" s="31"/>
      <c r="AC24" s="31"/>
      <c r="AD24" s="31"/>
      <c r="AE24" s="31"/>
      <c r="AF24" s="31"/>
      <c r="AG24" s="31"/>
      <c r="AH24" s="31"/>
      <c r="AI24" s="1673"/>
      <c r="AJ24" s="1673"/>
      <c r="AK24" s="1673"/>
      <c r="AL24" s="3742"/>
      <c r="AN24" s="1597"/>
      <c r="AO24" s="187"/>
      <c r="AP24" s="110"/>
      <c r="AQ24" s="110"/>
      <c r="AR24" s="110"/>
      <c r="AS24" s="110"/>
      <c r="AT24" s="110"/>
      <c r="AU24" s="110"/>
      <c r="AV24" s="110"/>
      <c r="AW24" s="167"/>
    </row>
    <row r="25" spans="1:50" ht="15.75" customHeight="1" thickBot="1">
      <c r="A25" s="4257"/>
      <c r="B25" s="40" t="s">
        <v>19</v>
      </c>
      <c r="C25" s="40"/>
      <c r="D25" s="41"/>
      <c r="E25" s="1675"/>
      <c r="F25" s="4247"/>
      <c r="G25" s="4248"/>
      <c r="H25" s="21"/>
      <c r="I25" s="21"/>
      <c r="J25" s="21"/>
      <c r="K25" s="21"/>
      <c r="L25" s="21"/>
      <c r="M25" s="21"/>
      <c r="N25" s="21"/>
      <c r="O25" s="21"/>
      <c r="P25" s="21"/>
      <c r="Q25" s="21"/>
      <c r="R25" s="21"/>
      <c r="S25" s="21"/>
      <c r="T25" s="1674"/>
      <c r="U25" s="31"/>
      <c r="V25" s="31"/>
      <c r="W25" s="4302"/>
      <c r="X25" s="4302"/>
      <c r="Y25" s="31"/>
      <c r="Z25" s="31"/>
      <c r="AA25" s="31"/>
      <c r="AB25" s="31"/>
      <c r="AC25" s="31"/>
      <c r="AD25" s="31"/>
      <c r="AE25" s="31"/>
      <c r="AF25" s="31"/>
      <c r="AG25" s="31"/>
      <c r="AH25" s="31"/>
      <c r="AI25" s="1673"/>
      <c r="AJ25" s="1673"/>
      <c r="AK25" s="1673"/>
      <c r="AL25" s="3742"/>
      <c r="AN25" s="1597"/>
      <c r="AO25" s="187"/>
      <c r="AP25" s="110"/>
      <c r="AQ25" s="110"/>
      <c r="AR25" s="110"/>
      <c r="AS25" s="110"/>
      <c r="AT25" s="110"/>
      <c r="AU25" s="110"/>
      <c r="AV25" s="110"/>
      <c r="AW25" s="167"/>
    </row>
    <row r="26" spans="1:50" ht="25.5" customHeight="1">
      <c r="A26" s="4257"/>
      <c r="B26" s="1528" t="str">
        <f>B91</f>
        <v>B92</v>
      </c>
      <c r="E26" s="41" t="s">
        <v>20</v>
      </c>
      <c r="F26" s="4247"/>
      <c r="G26" s="4248"/>
      <c r="H26" s="21"/>
      <c r="I26" s="21"/>
      <c r="J26" s="21"/>
      <c r="K26" s="21"/>
      <c r="L26" s="21"/>
      <c r="M26" s="21"/>
      <c r="N26" s="21"/>
      <c r="O26" s="21"/>
      <c r="P26" s="21"/>
      <c r="Q26" s="21"/>
      <c r="R26" s="21"/>
      <c r="S26" s="21"/>
      <c r="T26" s="4263" t="s">
        <v>21</v>
      </c>
      <c r="U26" s="4264"/>
      <c r="V26" s="4265"/>
      <c r="W26" s="4266">
        <f>AK36</f>
        <v>53.75</v>
      </c>
      <c r="X26" s="4267"/>
      <c r="Y26" s="4270" t="str">
        <f>C27</f>
        <v>Kg d'agneau</v>
      </c>
      <c r="Z26" s="4271"/>
      <c r="AA26" s="4271"/>
      <c r="AB26" s="4329" t="s">
        <v>23</v>
      </c>
      <c r="AC26" s="4329"/>
      <c r="AD26" s="4328">
        <f>$AK$31</f>
        <v>600</v>
      </c>
      <c r="AE26" s="4289" t="s">
        <v>16</v>
      </c>
      <c r="AF26" s="4289"/>
      <c r="AG26" s="1672"/>
      <c r="AH26" s="1672"/>
      <c r="AI26" s="1672"/>
      <c r="AJ26" s="1672"/>
      <c r="AK26" s="1671" t="str">
        <f ca="1">MID(CELL("filename",AK26),FIND("[",CELL("filename",AK26)),300)</f>
        <v>[ff-2-A-collectivite.poids.portion.xlsx]Comprendre pour Transmettre</v>
      </c>
      <c r="AL26" s="3742"/>
      <c r="AN26" s="1597">
        <v>1</v>
      </c>
      <c r="AO26" s="187"/>
      <c r="AP26" s="110"/>
      <c r="AQ26" s="110"/>
      <c r="AR26" s="110"/>
      <c r="AS26" s="110"/>
      <c r="AT26" s="110"/>
      <c r="AU26" s="110"/>
      <c r="AV26" s="110"/>
      <c r="AW26" s="167"/>
    </row>
    <row r="27" spans="1:50" ht="15.75" customHeight="1" thickBot="1">
      <c r="A27" s="4257"/>
      <c r="B27" s="4290">
        <v>2</v>
      </c>
      <c r="C27" s="4291" t="s">
        <v>818</v>
      </c>
      <c r="D27" s="1668">
        <v>10</v>
      </c>
      <c r="E27" s="1670" t="s">
        <v>25</v>
      </c>
      <c r="F27" s="4247"/>
      <c r="G27" s="4248"/>
      <c r="H27" s="21"/>
      <c r="I27" s="21"/>
      <c r="J27" s="21"/>
      <c r="K27" s="21"/>
      <c r="L27" s="21"/>
      <c r="M27" s="21"/>
      <c r="N27" s="21"/>
      <c r="O27" s="21"/>
      <c r="P27" s="21"/>
      <c r="Q27" s="21"/>
      <c r="R27" s="21"/>
      <c r="S27" s="21"/>
      <c r="T27" s="4263"/>
      <c r="U27" s="4264"/>
      <c r="V27" s="4265"/>
      <c r="W27" s="4268"/>
      <c r="X27" s="4269"/>
      <c r="Y27" s="4270"/>
      <c r="Z27" s="4271"/>
      <c r="AA27" s="4271"/>
      <c r="AB27" s="4329"/>
      <c r="AC27" s="4329"/>
      <c r="AD27" s="4328"/>
      <c r="AE27" s="4289"/>
      <c r="AF27" s="4289"/>
      <c r="AG27" s="1661"/>
      <c r="AH27" s="1661"/>
      <c r="AI27" s="1661"/>
      <c r="AJ27" s="1661"/>
      <c r="AK27" s="1669"/>
      <c r="AL27" s="3742"/>
      <c r="AN27" s="1597">
        <v>2</v>
      </c>
      <c r="AO27" s="187"/>
      <c r="AP27" s="110"/>
      <c r="AQ27" s="110"/>
      <c r="AR27" s="110"/>
      <c r="AS27" s="110"/>
      <c r="AT27" s="110"/>
      <c r="AU27" s="110"/>
      <c r="AV27" s="110"/>
      <c r="AW27" s="167"/>
    </row>
    <row r="28" spans="1:50" ht="15.75" customHeight="1" thickBot="1">
      <c r="A28" s="4257"/>
      <c r="B28" s="4290"/>
      <c r="C28" s="4291"/>
      <c r="D28" s="1668" t="s">
        <v>28</v>
      </c>
      <c r="E28" s="722">
        <f>(B27/D27)*1000</f>
        <v>200</v>
      </c>
      <c r="F28" s="4249"/>
      <c r="G28" s="4250"/>
      <c r="H28" s="21"/>
      <c r="I28" s="21"/>
      <c r="J28" s="21"/>
      <c r="K28" s="21"/>
      <c r="L28" s="21"/>
      <c r="M28" s="21"/>
      <c r="N28" s="21"/>
      <c r="O28" s="21"/>
      <c r="P28" s="21"/>
      <c r="Q28" s="21"/>
      <c r="R28" s="21"/>
      <c r="S28" s="21"/>
      <c r="T28" s="50" t="str">
        <f>SUBSTITUTE(ADDRESS(1,COLUMN(),4),"1","")</f>
        <v>T</v>
      </c>
      <c r="U28" s="51" t="s">
        <v>817</v>
      </c>
      <c r="V28" s="51"/>
      <c r="W28" s="51"/>
      <c r="X28" s="51"/>
      <c r="Y28" s="51"/>
      <c r="Z28" s="51"/>
      <c r="AA28" s="1667"/>
      <c r="AB28" s="1666" t="s">
        <v>35</v>
      </c>
      <c r="AC28" s="1665"/>
      <c r="AD28" s="1663">
        <f>(AK33/AD26)*1000</f>
        <v>89.583333333333329</v>
      </c>
      <c r="AE28" s="1664" t="s">
        <v>36</v>
      </c>
      <c r="AF28" s="1663">
        <f>(AK36/AD26)*1000</f>
        <v>89.583333333333329</v>
      </c>
      <c r="AG28" s="1662" t="s">
        <v>37</v>
      </c>
      <c r="AH28" s="1661"/>
      <c r="AI28" s="1661"/>
      <c r="AJ28" s="1660" t="s">
        <v>816</v>
      </c>
      <c r="AK28" s="1659" t="s">
        <v>815</v>
      </c>
      <c r="AL28" s="3742"/>
      <c r="AN28" s="1597">
        <v>3</v>
      </c>
      <c r="AO28" s="187"/>
      <c r="AP28" s="110"/>
      <c r="AQ28" s="110"/>
      <c r="AR28" s="110"/>
      <c r="AS28" s="110"/>
      <c r="AT28" s="110"/>
      <c r="AU28" s="110"/>
      <c r="AV28" s="110"/>
      <c r="AW28" s="167"/>
    </row>
    <row r="29" spans="1:50" ht="15.75" customHeight="1">
      <c r="A29" s="4257"/>
      <c r="B29" s="4305" t="s">
        <v>40</v>
      </c>
      <c r="C29" s="4274" t="s">
        <v>41</v>
      </c>
      <c r="D29" s="4274" t="s">
        <v>42</v>
      </c>
      <c r="E29" s="4276" t="s">
        <v>43</v>
      </c>
      <c r="F29" s="50" t="str">
        <f>SUBSTITUTE(ADDRESS(1,COLUMN(),4),"1","")</f>
        <v>F</v>
      </c>
      <c r="G29" s="1658" t="s">
        <v>814</v>
      </c>
      <c r="H29" s="1657" t="s">
        <v>45</v>
      </c>
      <c r="I29" s="1657"/>
      <c r="J29" s="1657"/>
      <c r="K29" s="1657"/>
      <c r="L29" s="1657"/>
      <c r="M29" s="1657"/>
      <c r="N29" s="1657"/>
      <c r="O29" s="1657"/>
      <c r="P29" s="1657"/>
      <c r="Q29" s="1657"/>
      <c r="R29" s="1657"/>
      <c r="S29" s="1657"/>
      <c r="T29" s="3785" t="s">
        <v>46</v>
      </c>
      <c r="U29" s="3786" t="s">
        <v>47</v>
      </c>
      <c r="V29" s="3793" t="s">
        <v>48</v>
      </c>
      <c r="W29" s="3794"/>
      <c r="X29" s="4279"/>
      <c r="Y29" s="1656" t="s">
        <v>792</v>
      </c>
      <c r="Z29" s="4274" t="s">
        <v>49</v>
      </c>
      <c r="AA29" s="3786"/>
      <c r="AB29" s="4313" t="s">
        <v>813</v>
      </c>
      <c r="AC29" s="4314"/>
      <c r="AD29" s="4314"/>
      <c r="AE29" s="4314"/>
      <c r="AF29" s="4314"/>
      <c r="AG29" s="4314"/>
      <c r="AH29" s="4314"/>
      <c r="AI29" s="4314"/>
      <c r="AJ29" s="4314"/>
      <c r="AK29" s="4315"/>
      <c r="AL29" s="3742"/>
      <c r="AN29" s="1597">
        <v>4</v>
      </c>
      <c r="AO29" s="187"/>
      <c r="AP29" s="110"/>
      <c r="AQ29" s="110"/>
      <c r="AR29" s="110"/>
      <c r="AS29" s="110"/>
      <c r="AT29" s="110"/>
      <c r="AU29" s="110"/>
      <c r="AV29" s="110"/>
      <c r="AW29" s="167"/>
    </row>
    <row r="30" spans="1:50" ht="18.75" customHeight="1">
      <c r="A30" s="4257"/>
      <c r="B30" s="4305"/>
      <c r="C30" s="4274"/>
      <c r="D30" s="4274"/>
      <c r="E30" s="4277"/>
      <c r="F30" s="61"/>
      <c r="G30" s="4272" t="s">
        <v>44</v>
      </c>
      <c r="H30" s="1655" t="s">
        <v>53</v>
      </c>
      <c r="I30" s="65">
        <f>AE31</f>
        <v>100</v>
      </c>
      <c r="J30" s="1654" t="s">
        <v>54</v>
      </c>
      <c r="K30" s="67">
        <f>AF31</f>
        <v>100</v>
      </c>
      <c r="L30" s="1654" t="s">
        <v>2</v>
      </c>
      <c r="M30" s="67">
        <f>AG31</f>
        <v>100</v>
      </c>
      <c r="N30" s="1654" t="s">
        <v>55</v>
      </c>
      <c r="O30" s="67">
        <f>AH31</f>
        <v>100</v>
      </c>
      <c r="P30" s="1654" t="s">
        <v>56</v>
      </c>
      <c r="Q30" s="67">
        <f>AI31</f>
        <v>100</v>
      </c>
      <c r="R30" s="1654" t="s">
        <v>57</v>
      </c>
      <c r="S30" s="67">
        <f>AJ31</f>
        <v>100</v>
      </c>
      <c r="T30" s="3785"/>
      <c r="U30" s="3786"/>
      <c r="V30" s="3793" t="s">
        <v>40</v>
      </c>
      <c r="W30" s="4274" t="s">
        <v>41</v>
      </c>
      <c r="X30" s="4306" t="s">
        <v>20</v>
      </c>
      <c r="Y30" s="4308" t="s">
        <v>794</v>
      </c>
      <c r="Z30" s="4316">
        <f>SUM(AA33:AA38)</f>
        <v>64.5</v>
      </c>
      <c r="AA30" s="4317"/>
      <c r="AB30" s="1617"/>
      <c r="AC30" s="17"/>
      <c r="AD30" s="575" t="s">
        <v>58</v>
      </c>
      <c r="AE30" s="1653" t="s">
        <v>53</v>
      </c>
      <c r="AF30" s="1650" t="s">
        <v>54</v>
      </c>
      <c r="AG30" s="1652" t="s">
        <v>2</v>
      </c>
      <c r="AH30" s="1651" t="s">
        <v>55</v>
      </c>
      <c r="AI30" s="1650" t="s">
        <v>56</v>
      </c>
      <c r="AJ30" s="1650" t="s">
        <v>57</v>
      </c>
      <c r="AK30" s="1649" t="s">
        <v>23</v>
      </c>
      <c r="AL30" s="4246"/>
      <c r="AN30" s="1597">
        <v>5</v>
      </c>
      <c r="AO30" s="1648"/>
      <c r="AP30" s="1647"/>
      <c r="AQ30" s="1647"/>
      <c r="AR30" s="1647"/>
      <c r="AS30" s="1647"/>
      <c r="AT30" s="1647"/>
      <c r="AU30" s="1647"/>
      <c r="AV30" s="1647"/>
      <c r="AW30" s="1646"/>
    </row>
    <row r="31" spans="1:50" ht="18" customHeight="1">
      <c r="A31" s="4257"/>
      <c r="B31" s="4305"/>
      <c r="C31" s="4274"/>
      <c r="D31" s="4274"/>
      <c r="E31" s="4278"/>
      <c r="F31" s="61"/>
      <c r="G31" s="4273"/>
      <c r="H31" s="1644">
        <f>I31/I30</f>
        <v>0.06</v>
      </c>
      <c r="I31" s="1643">
        <f>($Z$30/$W$26)*AE36</f>
        <v>6</v>
      </c>
      <c r="J31" s="1642">
        <f>K31/K30</f>
        <v>8.4000000000000005E-2</v>
      </c>
      <c r="K31" s="1641">
        <f>($Z$30/$W$26)*AF36</f>
        <v>8.4</v>
      </c>
      <c r="L31" s="1642">
        <f>M31/M30</f>
        <v>0.13200000000000001</v>
      </c>
      <c r="M31" s="1641">
        <f>($Z$30/$W$26)*AG36</f>
        <v>13.2</v>
      </c>
      <c r="N31" s="1642">
        <f>O31/O30</f>
        <v>0.16500000000000001</v>
      </c>
      <c r="O31" s="1641">
        <f>($Z$30/$W$26)*AH36</f>
        <v>16.5</v>
      </c>
      <c r="P31" s="1642">
        <f>Q31/Q30</f>
        <v>0.12</v>
      </c>
      <c r="Q31" s="1641">
        <f>($Z$30/$W$26)*AI36</f>
        <v>12</v>
      </c>
      <c r="R31" s="1642">
        <f>S31/S30</f>
        <v>8.4000000000000005E-2</v>
      </c>
      <c r="S31" s="1641">
        <f>($Z$30/$W$26)*AJ36</f>
        <v>8.4</v>
      </c>
      <c r="T31" s="3785"/>
      <c r="U31" s="4002"/>
      <c r="V31" s="3799"/>
      <c r="W31" s="4275"/>
      <c r="X31" s="4307"/>
      <c r="Y31" s="4308"/>
      <c r="Z31" s="1640" t="s">
        <v>62</v>
      </c>
      <c r="AA31" s="1639">
        <f>(Z30/W26)*1</f>
        <v>1.2</v>
      </c>
      <c r="AB31" s="1617"/>
      <c r="AC31" s="17"/>
      <c r="AD31" s="575" t="s">
        <v>190</v>
      </c>
      <c r="AE31" s="1635">
        <v>100</v>
      </c>
      <c r="AF31" s="1635">
        <v>100</v>
      </c>
      <c r="AG31" s="1638">
        <v>100</v>
      </c>
      <c r="AH31" s="1637">
        <v>100</v>
      </c>
      <c r="AI31" s="1636">
        <v>100</v>
      </c>
      <c r="AJ31" s="1635">
        <v>100</v>
      </c>
      <c r="AK31" s="1634">
        <f>SUM(AE31:AJ31)</f>
        <v>600</v>
      </c>
      <c r="AL31" s="4246"/>
      <c r="AN31" s="1597">
        <v>6</v>
      </c>
      <c r="AO31" s="187"/>
      <c r="AP31" s="110"/>
      <c r="AQ31" s="110"/>
      <c r="AR31" s="110"/>
      <c r="AS31" s="110"/>
      <c r="AT31" s="110"/>
      <c r="AU31" s="110"/>
      <c r="AV31" s="110"/>
      <c r="AW31" s="1366"/>
    </row>
    <row r="32" spans="1:50" ht="26.25" customHeight="1">
      <c r="A32" s="4257"/>
      <c r="B32" s="1528" t="str">
        <f>B97</f>
        <v>B100</v>
      </c>
      <c r="C32" s="1527"/>
      <c r="D32" s="1527"/>
      <c r="E32" s="1528" t="str">
        <f>D97</f>
        <v>D99</v>
      </c>
      <c r="F32" s="91"/>
      <c r="G32" s="92" t="s">
        <v>66</v>
      </c>
      <c r="H32" s="93" t="s">
        <v>36</v>
      </c>
      <c r="I32" s="94" t="s">
        <v>37</v>
      </c>
      <c r="J32" s="95" t="s">
        <v>36</v>
      </c>
      <c r="K32" s="94" t="s">
        <v>37</v>
      </c>
      <c r="L32" s="95" t="s">
        <v>36</v>
      </c>
      <c r="M32" s="94" t="s">
        <v>37</v>
      </c>
      <c r="N32" s="95" t="s">
        <v>36</v>
      </c>
      <c r="O32" s="94" t="s">
        <v>37</v>
      </c>
      <c r="P32" s="95" t="s">
        <v>36</v>
      </c>
      <c r="Q32" s="94" t="s">
        <v>37</v>
      </c>
      <c r="R32" s="95" t="s">
        <v>36</v>
      </c>
      <c r="S32" s="94" t="s">
        <v>37</v>
      </c>
      <c r="T32" s="1633">
        <f>P66</f>
        <v>0</v>
      </c>
      <c r="U32" s="1633">
        <f>Q66</f>
        <v>0</v>
      </c>
      <c r="V32" s="1631" t="str">
        <f>J97</f>
        <v>J100</v>
      </c>
      <c r="W32" s="100"/>
      <c r="X32" s="1631" t="str">
        <f>$L$97</f>
        <v>L100</v>
      </c>
      <c r="Y32" s="1632"/>
      <c r="Z32" s="102"/>
      <c r="AA32" s="1631" t="str">
        <f>P97</f>
        <v>P100</v>
      </c>
      <c r="AB32" s="1617"/>
      <c r="AC32" s="17"/>
      <c r="AD32" s="575" t="s">
        <v>510</v>
      </c>
      <c r="AE32" s="621">
        <v>50</v>
      </c>
      <c r="AF32" s="621">
        <v>70</v>
      </c>
      <c r="AG32" s="877">
        <v>110</v>
      </c>
      <c r="AH32" s="1630">
        <f>(AG32*AK34%)+AG32</f>
        <v>137.5</v>
      </c>
      <c r="AI32" s="621">
        <v>100</v>
      </c>
      <c r="AJ32" s="621">
        <v>70</v>
      </c>
      <c r="AK32" s="1615" t="s">
        <v>68</v>
      </c>
      <c r="AL32" s="4246"/>
      <c r="AN32" s="1597">
        <v>7</v>
      </c>
      <c r="AO32" s="187"/>
      <c r="AP32" s="110"/>
      <c r="AQ32" s="110"/>
      <c r="AR32" s="110"/>
      <c r="AS32" s="110"/>
      <c r="AT32" s="110"/>
      <c r="AU32" s="110"/>
      <c r="AV32" s="110"/>
      <c r="AW32" s="1366"/>
    </row>
    <row r="33" spans="1:49" ht="26.25" thickBot="1">
      <c r="A33" s="4257"/>
      <c r="B33" s="1627"/>
      <c r="C33" s="1626" t="s">
        <v>768</v>
      </c>
      <c r="D33" s="1625">
        <v>2</v>
      </c>
      <c r="E33" s="1515">
        <f>IF(ISTEXT(B33),0,IF(ISBLANK(B33),D33,(D33*B33)))</f>
        <v>2</v>
      </c>
      <c r="F33" s="1607">
        <v>1</v>
      </c>
      <c r="G33" s="1606"/>
      <c r="H33" s="111">
        <f>($U33/$AK$33)*$AE$33</f>
        <v>5</v>
      </c>
      <c r="I33" s="112">
        <f>($X33/$AK$36)*$AE$36</f>
        <v>5</v>
      </c>
      <c r="J33" s="113">
        <f>($U33/$AK$33)*$AF$33</f>
        <v>7</v>
      </c>
      <c r="K33" s="114">
        <f>($X33/$AK$36)*$AF$36</f>
        <v>7.0000000000000009</v>
      </c>
      <c r="L33" s="113">
        <f>($U33/$AK$33)*$AG$33</f>
        <v>11</v>
      </c>
      <c r="M33" s="114">
        <f>($X33/$AK$36)*$AG$36</f>
        <v>11</v>
      </c>
      <c r="N33" s="113">
        <f>($U33/$AK$33)*$AH$33</f>
        <v>13.75</v>
      </c>
      <c r="O33" s="114">
        <f>($X33/$AK$36)*$AH$36</f>
        <v>13.750000000000002</v>
      </c>
      <c r="P33" s="113">
        <f>($U33/$AK$33)*$AI$33</f>
        <v>10</v>
      </c>
      <c r="Q33" s="114">
        <f>($X33/$AK$36)*$AI$36</f>
        <v>10</v>
      </c>
      <c r="R33" s="112">
        <f>($U33/$AK$33)*$AJ$33</f>
        <v>7</v>
      </c>
      <c r="S33" s="115">
        <f>($X33/$AK$36)*$AJ$36</f>
        <v>7.0000000000000009</v>
      </c>
      <c r="T33" s="116"/>
      <c r="U33" s="117">
        <f>IF(E33=0,0,((X33-(X33*T33%))))</f>
        <v>53.75</v>
      </c>
      <c r="V33" s="118">
        <f>IF(ISTEXT(B33),B33,(B33/B$27)*W$26)</f>
        <v>0</v>
      </c>
      <c r="W33" s="119" t="str">
        <f>C33</f>
        <v>AGNEAU : Sauté d'agneau sans os- épaule - collier</v>
      </c>
      <c r="X33" s="117">
        <f>(E33/B27)*W26</f>
        <v>53.75</v>
      </c>
      <c r="Y33" s="1605"/>
      <c r="Z33" s="120">
        <v>1</v>
      </c>
      <c r="AA33" s="121">
        <f>IF(Y33="U",Z33*V33,X33*Z33)</f>
        <v>53.75</v>
      </c>
      <c r="AB33" s="1603"/>
      <c r="AC33" s="110"/>
      <c r="AD33" s="575" t="s">
        <v>812</v>
      </c>
      <c r="AE33" s="124">
        <f t="shared" ref="AE33:AJ33" si="0">(AE32*AE31)/1000</f>
        <v>5</v>
      </c>
      <c r="AF33" s="124">
        <f t="shared" si="0"/>
        <v>7</v>
      </c>
      <c r="AG33" s="124">
        <f t="shared" si="0"/>
        <v>11</v>
      </c>
      <c r="AH33" s="1629">
        <f t="shared" si="0"/>
        <v>13.75</v>
      </c>
      <c r="AI33" s="124">
        <f t="shared" si="0"/>
        <v>10</v>
      </c>
      <c r="AJ33" s="124">
        <f t="shared" si="0"/>
        <v>7</v>
      </c>
      <c r="AK33" s="1628">
        <f>SUM(AE33:AJ33)</f>
        <v>53.75</v>
      </c>
      <c r="AL33" s="4246"/>
      <c r="AN33" s="1597">
        <v>8</v>
      </c>
      <c r="AO33" s="187"/>
      <c r="AP33" s="110"/>
      <c r="AQ33" s="110"/>
      <c r="AR33" s="110"/>
      <c r="AS33" s="110"/>
      <c r="AT33" s="110"/>
      <c r="AU33" s="110"/>
      <c r="AV33" s="110"/>
      <c r="AW33" s="1366"/>
    </row>
    <row r="34" spans="1:49" ht="19.5" thickBot="1">
      <c r="A34" s="4257"/>
      <c r="B34" s="1627" t="s">
        <v>327</v>
      </c>
      <c r="C34" s="1626" t="s">
        <v>802</v>
      </c>
      <c r="D34" s="1625"/>
      <c r="E34" s="1522">
        <f>IF(ISTEXT(B34),0,IF(ISBLANK(B34),D34,(D34*B34)))</f>
        <v>0</v>
      </c>
      <c r="F34" s="1614">
        <v>2</v>
      </c>
      <c r="G34" s="1606"/>
      <c r="H34" s="132">
        <f>($U34/$AK$33)*$AE$33</f>
        <v>0</v>
      </c>
      <c r="I34" s="133">
        <f>($X34/$AK$36)*$AE$36</f>
        <v>0</v>
      </c>
      <c r="J34" s="134">
        <f>($U34/$AK$33)*$AF$33</f>
        <v>0</v>
      </c>
      <c r="K34" s="135">
        <f>($X34/$AK$36)*$AF$36</f>
        <v>0</v>
      </c>
      <c r="L34" s="134">
        <f>($U34/$AK$33)*$AG$33</f>
        <v>0</v>
      </c>
      <c r="M34" s="135">
        <f>($X34/$AK$36)*$AG$36</f>
        <v>0</v>
      </c>
      <c r="N34" s="134">
        <f>($U34/$AK$33)*$AH$33</f>
        <v>0</v>
      </c>
      <c r="O34" s="135">
        <f>($X34/$AK$36)*$AH$36</f>
        <v>0</v>
      </c>
      <c r="P34" s="134">
        <f>($U34/$AK$33)*$AI$33</f>
        <v>0</v>
      </c>
      <c r="Q34" s="135">
        <f>($X34/$AK$36)*$AI$36</f>
        <v>0</v>
      </c>
      <c r="R34" s="133">
        <f>($U34/$AK$33)*$AJ$33</f>
        <v>0</v>
      </c>
      <c r="S34" s="136">
        <f>($X34/$AK$36)*$AJ$36</f>
        <v>0</v>
      </c>
      <c r="T34" s="116">
        <v>0</v>
      </c>
      <c r="U34" s="137">
        <f>IF(E34=0,0,((X34-(X34*T34%))))</f>
        <v>0</v>
      </c>
      <c r="V34" s="138" t="str">
        <f>IF(ISTEXT(B34),B34,(B34/B$27)*W$26)</f>
        <v>PM</v>
      </c>
      <c r="W34" s="139" t="str">
        <f>C34</f>
        <v>bouquet garni</v>
      </c>
      <c r="X34" s="137">
        <f>(E34/B27)*W26</f>
        <v>0</v>
      </c>
      <c r="Y34" s="1605"/>
      <c r="Z34" s="120"/>
      <c r="AA34" s="1624">
        <f>IF(Y34="U",Z34*V34,X34*Z34)</f>
        <v>0</v>
      </c>
      <c r="AB34" s="1612"/>
      <c r="AC34" s="1623"/>
      <c r="AD34" s="1622" t="s">
        <v>72</v>
      </c>
      <c r="AE34" s="1621"/>
      <c r="AF34" s="1620"/>
      <c r="AG34" s="1620"/>
      <c r="AH34" s="1620"/>
      <c r="AI34" s="1620"/>
      <c r="AJ34" s="1619" t="s">
        <v>509</v>
      </c>
      <c r="AK34" s="1618">
        <v>25</v>
      </c>
      <c r="AL34" s="4246"/>
      <c r="AN34" s="1597">
        <v>9</v>
      </c>
      <c r="AO34" s="187"/>
      <c r="AP34" s="110"/>
      <c r="AQ34" s="110"/>
      <c r="AR34" s="110"/>
      <c r="AS34" s="110"/>
      <c r="AT34" s="110"/>
      <c r="AU34" s="110"/>
      <c r="AV34" s="110"/>
      <c r="AW34" s="1366"/>
    </row>
    <row r="35" spans="1:49" ht="18.75">
      <c r="A35" s="4257"/>
      <c r="B35" s="1609">
        <v>2</v>
      </c>
      <c r="C35" s="1608" t="s">
        <v>83</v>
      </c>
      <c r="D35" s="1516"/>
      <c r="E35" s="1515">
        <f>IF(ISTEXT(B35),0,IF(ISBLANK(B35),D35,(D35*B35)))</f>
        <v>0</v>
      </c>
      <c r="F35" s="1607">
        <v>3</v>
      </c>
      <c r="G35" s="1606"/>
      <c r="H35" s="111">
        <f>($U35/$AK$33)*$AE$33</f>
        <v>0</v>
      </c>
      <c r="I35" s="112">
        <f>($X35/$AK$36)*$AE$36</f>
        <v>0</v>
      </c>
      <c r="J35" s="113">
        <f>($U35/$AK$33)*$AF$33</f>
        <v>0</v>
      </c>
      <c r="K35" s="114">
        <f>($X35/$AK$36)*$AF$36</f>
        <v>0</v>
      </c>
      <c r="L35" s="113">
        <f>($U35/$AK$33)*$AG$33</f>
        <v>0</v>
      </c>
      <c r="M35" s="114">
        <f>($X35/$AK$36)*$AG$36</f>
        <v>0</v>
      </c>
      <c r="N35" s="113">
        <f>($U35/$AK$33)*$AH$33</f>
        <v>0</v>
      </c>
      <c r="O35" s="114">
        <f>($X35/$AK$36)*$AH$36</f>
        <v>0</v>
      </c>
      <c r="P35" s="113">
        <f>($U35/$AK$33)*$AI$33</f>
        <v>0</v>
      </c>
      <c r="Q35" s="114">
        <f>($X35/$AK$36)*$AI$36</f>
        <v>0</v>
      </c>
      <c r="R35" s="112">
        <f>($U35/$AK$33)*$AJ$33</f>
        <v>0</v>
      </c>
      <c r="S35" s="115">
        <f>($X35/$AK$36)*$AJ$36</f>
        <v>0</v>
      </c>
      <c r="T35" s="116"/>
      <c r="U35" s="117">
        <f>IF(E35=0,0,((X35-(X35*T35%))))</f>
        <v>0</v>
      </c>
      <c r="V35" s="148">
        <f>IF(ISTEXT(B35),B35,(B35/B$27)*W$26)</f>
        <v>53.75</v>
      </c>
      <c r="W35" s="119" t="str">
        <f>C35</f>
        <v>œufs</v>
      </c>
      <c r="X35" s="117">
        <f>(E35/B27)*W26</f>
        <v>0</v>
      </c>
      <c r="Y35" s="1605"/>
      <c r="Z35" s="120">
        <v>1</v>
      </c>
      <c r="AA35" s="121">
        <f>IF(Y35="U",Z35*V35,X35*Z35)</f>
        <v>0</v>
      </c>
      <c r="AB35" s="1617"/>
      <c r="AC35" s="17"/>
      <c r="AD35" s="575" t="s">
        <v>811</v>
      </c>
      <c r="AE35" s="722">
        <f>AE32/(100-AC34)*100</f>
        <v>50</v>
      </c>
      <c r="AF35" s="722">
        <f>AF32/(100-AC34)*100</f>
        <v>70</v>
      </c>
      <c r="AG35" s="722">
        <f>AG32/(100-AC34)*100</f>
        <v>110.00000000000001</v>
      </c>
      <c r="AH35" s="1616">
        <f>AH32/(100-AC34)*100</f>
        <v>137.5</v>
      </c>
      <c r="AI35" s="722">
        <f>AI32/(100-AC34)*100</f>
        <v>100</v>
      </c>
      <c r="AJ35" s="722">
        <f>AJ32/(100-AC34)*100</f>
        <v>70</v>
      </c>
      <c r="AK35" s="1615" t="s">
        <v>75</v>
      </c>
      <c r="AL35" s="4246"/>
      <c r="AN35" s="1597">
        <v>10</v>
      </c>
      <c r="AO35" s="187"/>
      <c r="AP35" s="110"/>
      <c r="AQ35" s="110"/>
      <c r="AR35" s="110"/>
      <c r="AS35" s="110"/>
      <c r="AT35" s="110"/>
      <c r="AU35" s="110"/>
      <c r="AV35" s="110"/>
      <c r="AW35" s="1366"/>
    </row>
    <row r="36" spans="1:49" ht="18" customHeight="1">
      <c r="A36" s="4257"/>
      <c r="B36" s="1609">
        <v>2</v>
      </c>
      <c r="C36" s="1608" t="s">
        <v>83</v>
      </c>
      <c r="D36" s="1516">
        <v>0.05</v>
      </c>
      <c r="E36" s="1522">
        <f>IF(ISTEXT(B36),0,IF(ISBLANK(B36),D36,(D36*B36)))</f>
        <v>0.1</v>
      </c>
      <c r="F36" s="1614">
        <v>4</v>
      </c>
      <c r="G36" s="1606"/>
      <c r="H36" s="132">
        <f>($U36/$AK$33)*$AE$33</f>
        <v>0.25</v>
      </c>
      <c r="I36" s="133">
        <f>($X36/$AK$36)*$AE$36</f>
        <v>0.25</v>
      </c>
      <c r="J36" s="134">
        <f>($U36/$AK$33)*$AF$33</f>
        <v>0.35000000000000003</v>
      </c>
      <c r="K36" s="135">
        <f>($X36/$AK$36)*$AF$36</f>
        <v>0.35000000000000009</v>
      </c>
      <c r="L36" s="134">
        <f>($U36/$AK$33)*$AG$33</f>
        <v>0.55000000000000004</v>
      </c>
      <c r="M36" s="135">
        <f>($X36/$AK$36)*$AG$36</f>
        <v>0.55000000000000004</v>
      </c>
      <c r="N36" s="134">
        <f>($U36/$AK$33)*$AH$33</f>
        <v>0.6875</v>
      </c>
      <c r="O36" s="135">
        <f>($X36/$AK$36)*$AH$36</f>
        <v>0.68750000000000011</v>
      </c>
      <c r="P36" s="134">
        <f>($U36/$AK$33)*$AI$33</f>
        <v>0.5</v>
      </c>
      <c r="Q36" s="135">
        <f>($X36/$AK$36)*$AI$36</f>
        <v>0.5</v>
      </c>
      <c r="R36" s="133">
        <f>($U36/$AK$33)*$AJ$33</f>
        <v>0.35000000000000003</v>
      </c>
      <c r="S36" s="136">
        <f>($X36/$AK$36)*$AJ$36</f>
        <v>0.35000000000000009</v>
      </c>
      <c r="T36" s="116"/>
      <c r="U36" s="137">
        <f>IF(E36=0,0,((X36-(X36*T36%))))</f>
        <v>2.6875</v>
      </c>
      <c r="V36" s="138">
        <f>IF(ISTEXT(B36),B36,(B36/B$27)*W$26)</f>
        <v>53.75</v>
      </c>
      <c r="W36" s="139" t="str">
        <f>C36</f>
        <v>œufs</v>
      </c>
      <c r="X36" s="137">
        <f>(E36/B27)*W26</f>
        <v>2.6875</v>
      </c>
      <c r="Y36" s="1605"/>
      <c r="Z36" s="152">
        <v>1</v>
      </c>
      <c r="AA36" s="1613">
        <f>IF(Y36="U",Z36*V36,X36*Z36)</f>
        <v>2.6875</v>
      </c>
      <c r="AB36" s="1612"/>
      <c r="AD36" s="575" t="s">
        <v>507</v>
      </c>
      <c r="AE36" s="721">
        <f>AE33/(100-AC34)*100</f>
        <v>5</v>
      </c>
      <c r="AF36" s="721">
        <f>AF33/(100-AC34)*100</f>
        <v>7.0000000000000009</v>
      </c>
      <c r="AG36" s="721">
        <f>AG33/(100-AC34)*100</f>
        <v>11</v>
      </c>
      <c r="AH36" s="1611">
        <f>AH33/(100-AC34)*100</f>
        <v>13.750000000000002</v>
      </c>
      <c r="AI36" s="721">
        <f>AI33/(100-AC34)*100</f>
        <v>10</v>
      </c>
      <c r="AJ36" s="721">
        <f>AJ33/(100-AC34)*100</f>
        <v>7.0000000000000009</v>
      </c>
      <c r="AK36" s="1610">
        <f>SUM(AE36:AJ36)</f>
        <v>53.75</v>
      </c>
      <c r="AL36" s="4246"/>
      <c r="AN36" s="1597">
        <v>11</v>
      </c>
      <c r="AO36" s="187"/>
      <c r="AP36" s="110"/>
      <c r="AQ36" s="110"/>
      <c r="AR36" s="110"/>
      <c r="AS36" s="110"/>
      <c r="AT36" s="110"/>
      <c r="AU36" s="110"/>
      <c r="AV36" s="110"/>
      <c r="AW36" s="1366"/>
    </row>
    <row r="37" spans="1:49" ht="18" customHeight="1">
      <c r="A37" s="4257"/>
      <c r="B37" s="1609"/>
      <c r="C37" s="1608" t="s">
        <v>494</v>
      </c>
      <c r="D37" s="1516">
        <v>0.3</v>
      </c>
      <c r="E37" s="1515">
        <f>IF(ISTEXT(B37),0,IF(ISBLANK(B37),D37,(D37*B37)))</f>
        <v>0.3</v>
      </c>
      <c r="F37" s="1607">
        <v>5</v>
      </c>
      <c r="G37" s="1606"/>
      <c r="H37" s="111">
        <f>($U37/$AK$33)*$AE$33</f>
        <v>0.75</v>
      </c>
      <c r="I37" s="112">
        <f>($X37/$AK$36)*$AE$36</f>
        <v>0.75</v>
      </c>
      <c r="J37" s="113">
        <f>($U37/$AK$33)*$AF$33</f>
        <v>1.05</v>
      </c>
      <c r="K37" s="114">
        <f>($X37/$AK$36)*$AF$36</f>
        <v>1.05</v>
      </c>
      <c r="L37" s="113">
        <f>($U37/$AK$33)*$AG$33</f>
        <v>1.65</v>
      </c>
      <c r="M37" s="114">
        <f>($X37/$AK$36)*$AG$36</f>
        <v>1.65</v>
      </c>
      <c r="N37" s="113">
        <f>($U37/$AK$33)*$AH$33</f>
        <v>2.0625</v>
      </c>
      <c r="O37" s="114">
        <f>($X37/$AK$36)*$AH$36</f>
        <v>2.0625</v>
      </c>
      <c r="P37" s="113">
        <f>($U37/$AK$33)*$AI$33</f>
        <v>1.5</v>
      </c>
      <c r="Q37" s="114">
        <f>($X37/$AK$36)*$AI$36</f>
        <v>1.5</v>
      </c>
      <c r="R37" s="112">
        <f>($U37/$AK$33)*$AJ$33</f>
        <v>1.05</v>
      </c>
      <c r="S37" s="115">
        <f>($X37/$AK$36)*$AJ$36</f>
        <v>1.05</v>
      </c>
      <c r="T37" s="116"/>
      <c r="U37" s="117">
        <f>IF(E37=0,0,((X37-(X37*T37%))))</f>
        <v>8.0625</v>
      </c>
      <c r="V37" s="148">
        <f>IF(ISTEXT(B37),B37,(B37/B$27)*W$26)</f>
        <v>0</v>
      </c>
      <c r="W37" s="119" t="str">
        <f>C37</f>
        <v>blancs d'œufs</v>
      </c>
      <c r="X37" s="117">
        <f>(E37/B27)*W26</f>
        <v>8.0625</v>
      </c>
      <c r="Y37" s="1605"/>
      <c r="Z37" s="120">
        <v>1</v>
      </c>
      <c r="AA37" s="1604">
        <f>IF(Y37="U",Z37*V37,X37*Z37)</f>
        <v>8.0625</v>
      </c>
      <c r="AB37" s="1603"/>
      <c r="AC37" s="110"/>
      <c r="AD37" s="575" t="s">
        <v>78</v>
      </c>
      <c r="AE37" s="1601">
        <f t="shared" ref="AE37:AJ37" si="1">IF(ISBLANK(AE35),0,1/AE35*1000)</f>
        <v>20</v>
      </c>
      <c r="AF37" s="1601">
        <f t="shared" si="1"/>
        <v>14.285714285714285</v>
      </c>
      <c r="AG37" s="1601">
        <f t="shared" si="1"/>
        <v>9.0909090909090899</v>
      </c>
      <c r="AH37" s="1602">
        <f t="shared" si="1"/>
        <v>7.2727272727272725</v>
      </c>
      <c r="AI37" s="1601">
        <f t="shared" si="1"/>
        <v>10</v>
      </c>
      <c r="AJ37" s="1601">
        <f t="shared" si="1"/>
        <v>14.285714285714285</v>
      </c>
      <c r="AK37" s="1600" t="str">
        <f>ADDRESS(ROW(AK36),COLUMN(AK36),4)</f>
        <v>AK36</v>
      </c>
      <c r="AL37" s="4246"/>
      <c r="AN37" s="1597">
        <v>12</v>
      </c>
      <c r="AO37" s="187"/>
      <c r="AP37" s="110"/>
      <c r="AQ37" s="110"/>
      <c r="AR37" s="110"/>
      <c r="AS37" s="110"/>
      <c r="AT37" s="110"/>
      <c r="AU37" s="110"/>
      <c r="AV37" s="110"/>
      <c r="AW37" s="1366"/>
    </row>
    <row r="38" spans="1:49" ht="18" customHeight="1">
      <c r="A38" s="4257"/>
      <c r="B38" s="214"/>
      <c r="C38" s="215"/>
      <c r="D38" s="216"/>
      <c r="E38" s="217"/>
      <c r="F38" s="218"/>
      <c r="G38" s="219"/>
      <c r="H38" s="220"/>
      <c r="I38" s="221"/>
      <c r="J38" s="222"/>
      <c r="K38" s="223"/>
      <c r="L38" s="222"/>
      <c r="M38" s="223"/>
      <c r="N38" s="222"/>
      <c r="O38" s="223"/>
      <c r="P38" s="222"/>
      <c r="Q38" s="223"/>
      <c r="R38" s="221"/>
      <c r="S38" s="224"/>
      <c r="T38" s="219"/>
      <c r="U38" s="225"/>
      <c r="V38" s="226"/>
      <c r="W38" s="227"/>
      <c r="X38" s="225"/>
      <c r="Y38" s="1599"/>
      <c r="Z38" s="228"/>
      <c r="AA38" s="1598"/>
      <c r="AB38" s="1597" t="s">
        <v>810</v>
      </c>
      <c r="AC38" s="212" t="s">
        <v>108</v>
      </c>
      <c r="AD38" s="4311" t="s">
        <v>111</v>
      </c>
      <c r="AE38" s="4311"/>
      <c r="AF38" s="4311"/>
      <c r="AG38" s="4311"/>
      <c r="AH38" s="4311"/>
      <c r="AI38" s="4311"/>
      <c r="AJ38" s="4311"/>
      <c r="AK38" s="1366"/>
      <c r="AL38" s="4309"/>
      <c r="AN38" s="1597">
        <v>46</v>
      </c>
      <c r="AO38" s="1596"/>
      <c r="AP38" s="1595"/>
      <c r="AQ38" s="1595"/>
      <c r="AR38" s="1595"/>
      <c r="AS38" s="1595"/>
      <c r="AT38" s="1595"/>
      <c r="AU38" s="1595"/>
      <c r="AV38" s="1595"/>
      <c r="AW38" s="1594"/>
    </row>
    <row r="39" spans="1:49" ht="24" thickBot="1">
      <c r="A39" s="4258"/>
      <c r="B39" s="1593"/>
      <c r="C39" s="1592"/>
      <c r="D39" s="1591"/>
      <c r="E39" s="1590">
        <f>SUM(E32:E37)</f>
        <v>2.4</v>
      </c>
      <c r="F39" s="1589"/>
      <c r="G39" s="1583"/>
      <c r="H39" s="1588">
        <f>SUM(H31:H37)</f>
        <v>6.06</v>
      </c>
      <c r="I39" s="1585">
        <f>SUM(I31:I37)</f>
        <v>12</v>
      </c>
      <c r="J39" s="1587">
        <f>SUM(J32:J37)</f>
        <v>8.4</v>
      </c>
      <c r="K39" s="1586">
        <f t="shared" ref="K39:S39" si="2">SUM(K31:K37)</f>
        <v>16.8</v>
      </c>
      <c r="L39" s="1587">
        <f t="shared" si="2"/>
        <v>13.332000000000001</v>
      </c>
      <c r="M39" s="1586">
        <f t="shared" si="2"/>
        <v>26.4</v>
      </c>
      <c r="N39" s="1587">
        <f t="shared" si="2"/>
        <v>16.664999999999999</v>
      </c>
      <c r="O39" s="1586">
        <f t="shared" si="2"/>
        <v>33</v>
      </c>
      <c r="P39" s="1587">
        <f t="shared" si="2"/>
        <v>12.12</v>
      </c>
      <c r="Q39" s="1586">
        <f t="shared" si="2"/>
        <v>24</v>
      </c>
      <c r="R39" s="1585">
        <f t="shared" si="2"/>
        <v>8.484</v>
      </c>
      <c r="S39" s="1584">
        <f t="shared" si="2"/>
        <v>16.8</v>
      </c>
      <c r="T39" s="1583"/>
      <c r="U39" s="1580">
        <f>SUM(U32:U37)</f>
        <v>64.5</v>
      </c>
      <c r="V39" s="1582"/>
      <c r="W39" s="1581"/>
      <c r="X39" s="1580">
        <f>SUM(X32:X37)</f>
        <v>64.5</v>
      </c>
      <c r="Y39" s="1579"/>
      <c r="Z39" s="1578"/>
      <c r="AA39" s="1577">
        <f>SUM(AA33:AA37)</f>
        <v>64.5</v>
      </c>
      <c r="AB39" s="1575">
        <v>30</v>
      </c>
      <c r="AC39" s="1576" t="s">
        <v>108</v>
      </c>
      <c r="AD39" s="4312" t="s">
        <v>113</v>
      </c>
      <c r="AE39" s="4312"/>
      <c r="AF39" s="4312"/>
      <c r="AG39" s="4312"/>
      <c r="AH39" s="4312"/>
      <c r="AI39" s="4312"/>
      <c r="AJ39" s="4312"/>
      <c r="AK39" s="1362"/>
      <c r="AL39" s="4310"/>
      <c r="AN39" s="1575">
        <v>47</v>
      </c>
      <c r="AO39" s="1574"/>
      <c r="AP39" s="1573"/>
      <c r="AQ39" s="1572"/>
      <c r="AR39" s="1572"/>
      <c r="AS39" s="1572"/>
      <c r="AT39" s="1572"/>
      <c r="AU39" s="1572"/>
      <c r="AV39" s="1572"/>
      <c r="AW39" s="1571"/>
    </row>
    <row r="40" spans="1:49" s="1376" customFormat="1" ht="46.5">
      <c r="A40" s="1400"/>
      <c r="B40" s="1400"/>
      <c r="C40" s="1570"/>
      <c r="D40" s="1400"/>
      <c r="E40" s="1400"/>
      <c r="F40" s="1400"/>
      <c r="G40" s="1400"/>
      <c r="H40" s="1400"/>
      <c r="I40" s="1400"/>
      <c r="J40" s="1400"/>
      <c r="K40" s="1400"/>
      <c r="L40" s="1400"/>
      <c r="M40" s="1400"/>
    </row>
    <row r="41" spans="1:49" s="1376" customFormat="1" ht="36">
      <c r="B41" s="4325" t="s">
        <v>809</v>
      </c>
      <c r="C41" s="4326"/>
      <c r="D41" s="4326"/>
      <c r="E41" s="4326"/>
      <c r="F41" s="4326"/>
      <c r="G41" s="4326"/>
      <c r="H41" s="4326"/>
      <c r="I41" s="4326"/>
      <c r="J41" s="4326"/>
      <c r="K41" s="4326"/>
      <c r="L41" s="4326"/>
      <c r="M41" s="4326"/>
      <c r="N41" s="4326"/>
      <c r="O41" s="4326"/>
      <c r="P41" s="4326"/>
      <c r="Q41" s="4326"/>
      <c r="R41" s="4326"/>
      <c r="S41" s="4326"/>
      <c r="T41" s="4326"/>
      <c r="U41" s="4326"/>
      <c r="V41" s="4327"/>
    </row>
    <row r="42" spans="1:49" s="1376" customFormat="1" ht="46.5">
      <c r="B42" s="1400"/>
      <c r="C42" s="1570"/>
      <c r="D42" s="1400"/>
      <c r="E42" s="1400"/>
      <c r="F42" s="1400"/>
      <c r="G42" s="1400"/>
      <c r="H42" s="1400"/>
      <c r="I42" s="1400"/>
      <c r="J42" s="1400"/>
      <c r="K42" s="1400"/>
      <c r="L42" s="1400"/>
      <c r="M42" s="1400"/>
      <c r="N42" s="1569"/>
      <c r="O42" s="1569"/>
      <c r="P42" s="1569"/>
      <c r="Q42" s="1400"/>
      <c r="R42" s="1400"/>
      <c r="S42" s="1400"/>
      <c r="T42" s="1400"/>
      <c r="U42" s="1400"/>
      <c r="V42" s="1400"/>
    </row>
    <row r="43" spans="1:49" s="1376" customFormat="1" ht="55.5" customHeight="1">
      <c r="A43" s="1568"/>
      <c r="B43" s="1565"/>
      <c r="C43" s="1567" t="s">
        <v>808</v>
      </c>
      <c r="D43" s="1565"/>
      <c r="E43" s="1565"/>
      <c r="F43" s="1565"/>
      <c r="G43" s="1565"/>
      <c r="H43" s="1566" t="s">
        <v>807</v>
      </c>
      <c r="I43" s="1565"/>
      <c r="J43" s="1565"/>
      <c r="K43" s="1566" t="s">
        <v>806</v>
      </c>
      <c r="L43" s="1565"/>
      <c r="M43" s="1565"/>
      <c r="N43" s="1565"/>
      <c r="O43" s="1565"/>
      <c r="P43" s="1565"/>
      <c r="Q43" s="1565"/>
      <c r="R43" s="1565"/>
      <c r="S43" s="1565"/>
      <c r="T43" s="1565"/>
      <c r="U43" s="1565"/>
      <c r="V43" s="1565"/>
    </row>
    <row r="44" spans="1:49" s="1376" customFormat="1" ht="55.5" customHeight="1">
      <c r="A44" s="1568"/>
      <c r="B44" s="1565"/>
      <c r="C44" s="1567" t="s">
        <v>805</v>
      </c>
      <c r="D44" s="1565"/>
      <c r="E44" s="1565"/>
      <c r="F44" s="1565"/>
      <c r="G44" s="1565"/>
      <c r="H44" s="1566" t="s">
        <v>804</v>
      </c>
      <c r="I44" s="1565"/>
      <c r="J44" s="1565"/>
      <c r="K44" s="1566" t="s">
        <v>803</v>
      </c>
      <c r="L44" s="1565"/>
      <c r="M44" s="1565"/>
      <c r="N44" s="1565"/>
      <c r="O44" s="1565"/>
      <c r="P44" s="1565"/>
      <c r="Q44" s="1565"/>
      <c r="R44" s="1565"/>
      <c r="S44" s="1565"/>
      <c r="T44" s="1565"/>
      <c r="U44" s="1565"/>
      <c r="V44" s="1565"/>
    </row>
    <row r="45" spans="1:49" s="1376" customFormat="1" ht="46.5" customHeight="1">
      <c r="B45" s="4303" t="s">
        <v>422</v>
      </c>
      <c r="C45" s="4303"/>
      <c r="D45" s="1400"/>
      <c r="E45" s="1400"/>
      <c r="F45" s="1400"/>
      <c r="G45" s="1400"/>
      <c r="H45" s="1400"/>
      <c r="I45" s="1400"/>
      <c r="J45" s="1400"/>
      <c r="K45" s="1400"/>
      <c r="L45" s="1400"/>
      <c r="M45" s="1400"/>
      <c r="N45" s="1400"/>
      <c r="O45" s="1400"/>
      <c r="P45" s="1400"/>
      <c r="Q45" s="1400"/>
      <c r="R45" s="1400"/>
      <c r="S45" s="1400"/>
      <c r="T45" s="1400"/>
      <c r="U45" s="4304" t="s">
        <v>422</v>
      </c>
      <c r="V45" s="4304"/>
    </row>
    <row r="46" spans="1:49" s="1376" customFormat="1" ht="46.5" customHeight="1">
      <c r="B46" s="4303"/>
      <c r="C46" s="4303"/>
      <c r="D46" s="1400"/>
      <c r="E46" s="1400"/>
      <c r="F46" s="1400"/>
      <c r="G46" s="1400"/>
      <c r="H46" s="1400"/>
      <c r="I46" s="1400"/>
      <c r="J46" s="1400"/>
      <c r="K46" s="1400"/>
      <c r="L46" s="1400"/>
      <c r="M46" s="1400"/>
      <c r="N46" s="1400"/>
      <c r="O46" s="1400"/>
      <c r="P46" s="1400"/>
      <c r="Q46" s="1400"/>
      <c r="R46" s="1400"/>
      <c r="S46" s="1400"/>
      <c r="T46" s="1400"/>
      <c r="U46" s="4304"/>
      <c r="V46" s="4304"/>
    </row>
    <row r="47" spans="1:49" s="1376" customFormat="1" ht="26.25" customHeight="1">
      <c r="B47" s="4318" t="s">
        <v>40</v>
      </c>
      <c r="C47" s="4319" t="s">
        <v>41</v>
      </c>
      <c r="D47" s="4319" t="s">
        <v>42</v>
      </c>
      <c r="E47" s="4320" t="s">
        <v>795</v>
      </c>
      <c r="F47" s="1400"/>
      <c r="G47" s="1400"/>
      <c r="H47" s="1400"/>
      <c r="I47" s="1400"/>
      <c r="J47" s="1400"/>
      <c r="K47" s="1400"/>
      <c r="L47" s="1400"/>
      <c r="M47" s="1400"/>
      <c r="N47" s="1400"/>
      <c r="O47" s="1400"/>
      <c r="P47" s="1400"/>
      <c r="Q47" s="1400"/>
      <c r="R47" s="1400"/>
      <c r="S47" s="1400"/>
      <c r="T47" s="1400"/>
      <c r="U47" s="1564"/>
      <c r="V47" s="1564"/>
    </row>
    <row r="48" spans="1:49" s="1376" customFormat="1" ht="26.25" customHeight="1">
      <c r="B48" s="4318"/>
      <c r="C48" s="4319"/>
      <c r="D48" s="4319"/>
      <c r="E48" s="4321"/>
      <c r="F48" s="1400"/>
      <c r="G48" s="1400"/>
      <c r="H48" s="1400"/>
      <c r="I48" s="1400"/>
      <c r="J48" s="1400"/>
      <c r="K48" s="1400"/>
      <c r="L48" s="1400"/>
      <c r="M48" s="1400"/>
      <c r="N48" s="1400"/>
      <c r="O48" s="1400"/>
      <c r="P48" s="1400"/>
      <c r="Q48" s="1400"/>
      <c r="R48" s="1400"/>
      <c r="S48" s="1400"/>
      <c r="T48" s="1400"/>
      <c r="U48" s="1400"/>
      <c r="V48" s="1400"/>
    </row>
    <row r="49" spans="1:22" s="1376" customFormat="1" ht="26.25" customHeight="1">
      <c r="B49" s="4318"/>
      <c r="C49" s="4319"/>
      <c r="D49" s="4319"/>
      <c r="E49" s="4322"/>
      <c r="F49" s="1400"/>
      <c r="G49" s="1400"/>
      <c r="H49" s="1400"/>
      <c r="I49" s="1400"/>
      <c r="J49" s="1400"/>
      <c r="K49" s="1400"/>
      <c r="L49" s="1400"/>
      <c r="M49" s="1400"/>
      <c r="N49" s="1400"/>
      <c r="O49" s="1400"/>
      <c r="P49" s="1400"/>
      <c r="Q49" s="1400"/>
      <c r="R49" s="1400"/>
      <c r="S49" s="1400"/>
      <c r="T49" s="1400"/>
      <c r="U49" s="1400"/>
      <c r="V49" s="1400"/>
    </row>
    <row r="50" spans="1:22" s="1376" customFormat="1" ht="42">
      <c r="B50" s="1518"/>
      <c r="C50" s="1517" t="str">
        <f>C33</f>
        <v>AGNEAU : Sauté d'agneau sans os- épaule - collier</v>
      </c>
      <c r="D50" s="1516">
        <f>D35</f>
        <v>0</v>
      </c>
      <c r="E50" s="1563">
        <f>E35</f>
        <v>0</v>
      </c>
      <c r="F50" s="1400"/>
      <c r="H50" s="1400"/>
      <c r="I50" s="1400"/>
      <c r="J50" s="1400"/>
      <c r="K50" s="1400"/>
      <c r="L50" s="1400"/>
      <c r="M50" s="1400"/>
      <c r="N50" s="1400"/>
      <c r="O50" s="1400"/>
      <c r="P50" s="1400"/>
      <c r="Q50" s="1400"/>
      <c r="R50" s="1400"/>
      <c r="S50" s="1400"/>
      <c r="T50" s="1400"/>
      <c r="U50" s="1400"/>
      <c r="V50" s="1400"/>
    </row>
    <row r="51" spans="1:22" s="1376" customFormat="1" ht="28.5">
      <c r="B51" s="1528" t="str">
        <f>ADDRESS(ROW(B52),COLUMN(B52),4)</f>
        <v>B52</v>
      </c>
      <c r="C51" s="1517"/>
      <c r="D51" s="1528" t="str">
        <f>ADDRESS(ROW(D52),COLUMN(D52),4)</f>
        <v>D52</v>
      </c>
      <c r="E51" s="1528" t="str">
        <f>ADDRESS(ROW(E52),COLUMN(E52),4)</f>
        <v>E52</v>
      </c>
      <c r="F51" s="1400"/>
      <c r="G51" s="1562" t="str">
        <f>E51</f>
        <v>E52</v>
      </c>
      <c r="H51" s="1400"/>
      <c r="I51" s="1400"/>
      <c r="J51" s="1400"/>
      <c r="K51" s="1400"/>
      <c r="L51" s="1400"/>
      <c r="M51" s="1400"/>
      <c r="N51" s="1400"/>
      <c r="O51" s="1400"/>
      <c r="P51" s="1400"/>
      <c r="Q51" s="1400"/>
      <c r="R51" s="1400"/>
      <c r="S51" s="1400"/>
      <c r="T51" s="1400"/>
      <c r="U51" s="1400"/>
      <c r="V51" s="1400"/>
    </row>
    <row r="52" spans="1:22" s="1376" customFormat="1" ht="31.5">
      <c r="B52" s="1561" t="s">
        <v>327</v>
      </c>
      <c r="C52" s="1517" t="s">
        <v>802</v>
      </c>
      <c r="D52" s="1516">
        <v>0</v>
      </c>
      <c r="E52" s="1515">
        <f>IF(ISTEXT(B52),0,IF(ISBLANK(B52),D52,(D52*B52)))</f>
        <v>0</v>
      </c>
      <c r="F52" s="1400"/>
      <c r="G52" s="1553" t="str">
        <f ca="1">_xlfn.FORMULATEXT(E52)</f>
        <v>=SI(ESTTEXTE(B52);0;SI(ESTVIDE(B52);D52;(D52*B52)))</v>
      </c>
      <c r="H52" s="1400"/>
      <c r="I52" s="1400"/>
      <c r="J52" s="1400"/>
      <c r="K52" s="1400"/>
      <c r="L52" s="1400"/>
      <c r="M52" s="1400"/>
      <c r="N52" s="1400"/>
      <c r="O52" s="1400"/>
      <c r="P52" s="1400"/>
      <c r="Q52" s="1400"/>
      <c r="R52" s="1400"/>
      <c r="S52" s="1400"/>
      <c r="T52" s="1400"/>
      <c r="U52" s="1400"/>
      <c r="V52" s="1400"/>
    </row>
    <row r="53" spans="1:22" s="1376" customFormat="1" ht="31.5">
      <c r="B53" s="1561">
        <v>2</v>
      </c>
      <c r="C53" s="1517" t="s">
        <v>83</v>
      </c>
      <c r="D53" s="1516"/>
      <c r="E53" s="1515">
        <f>IF(ISTEXT(B53),0,IF(ISBLANK(B53),D53,(D53*B53)))</f>
        <v>0</v>
      </c>
      <c r="F53" s="1400"/>
      <c r="G53" s="1507" t="s">
        <v>801</v>
      </c>
      <c r="H53" s="1400"/>
      <c r="I53" s="1400"/>
      <c r="J53" s="1400"/>
      <c r="K53" s="1400"/>
      <c r="L53" s="1400"/>
      <c r="M53" s="1400"/>
      <c r="N53" s="1400"/>
      <c r="O53" s="1400"/>
      <c r="P53" s="1400"/>
      <c r="Q53" s="1400"/>
      <c r="R53" s="1400"/>
      <c r="S53" s="1400"/>
      <c r="T53" s="1400"/>
      <c r="U53" s="1400"/>
      <c r="V53" s="1400"/>
    </row>
    <row r="54" spans="1:22" s="1376" customFormat="1" ht="31.5">
      <c r="B54" s="1561">
        <v>2</v>
      </c>
      <c r="C54" s="1517" t="s">
        <v>83</v>
      </c>
      <c r="D54" s="1516">
        <v>0.05</v>
      </c>
      <c r="E54" s="1515">
        <f>IF(ISTEXT(B54),0,IF(ISBLANK(B54),D54,(D54*B54)))</f>
        <v>0.1</v>
      </c>
      <c r="F54" s="1400"/>
      <c r="G54" s="1507" t="s">
        <v>800</v>
      </c>
      <c r="H54" s="1400"/>
      <c r="I54" s="1400"/>
      <c r="J54" s="1400"/>
      <c r="K54" s="1400"/>
      <c r="L54" s="1400"/>
      <c r="M54" s="1400"/>
      <c r="N54" s="1400"/>
      <c r="O54" s="1400"/>
      <c r="P54" s="1400"/>
      <c r="Q54" s="1400"/>
      <c r="R54" s="1400"/>
      <c r="S54" s="1400"/>
      <c r="T54" s="1400"/>
      <c r="U54" s="1400"/>
      <c r="V54" s="1400"/>
    </row>
    <row r="55" spans="1:22" s="1376" customFormat="1" ht="28.5" customHeight="1">
      <c r="B55" s="1400"/>
      <c r="C55" s="1400"/>
      <c r="D55" s="1400"/>
      <c r="E55" s="1400"/>
      <c r="F55" s="1400"/>
      <c r="G55" s="1507" t="s">
        <v>799</v>
      </c>
      <c r="H55" s="1400"/>
      <c r="I55" s="1400"/>
      <c r="J55" s="1400"/>
      <c r="K55" s="1400"/>
      <c r="L55" s="1400"/>
      <c r="M55" s="1400"/>
      <c r="N55" s="1400"/>
      <c r="O55" s="1400"/>
      <c r="P55" s="1400"/>
      <c r="Q55" s="1400"/>
      <c r="R55" s="1400"/>
      <c r="S55" s="1400"/>
      <c r="T55" s="1400"/>
      <c r="U55" s="1400"/>
      <c r="V55" s="1400"/>
    </row>
    <row r="56" spans="1:22" s="1376" customFormat="1" ht="47.1" customHeight="1">
      <c r="B56" s="1400"/>
      <c r="C56" s="1400"/>
      <c r="D56" s="1400"/>
      <c r="E56" s="1400"/>
      <c r="F56" s="1400"/>
      <c r="G56" s="1400"/>
      <c r="H56" s="1400"/>
      <c r="I56" s="1400"/>
      <c r="J56" s="1400"/>
      <c r="K56" s="1400"/>
      <c r="L56" s="1400"/>
      <c r="M56" s="1400"/>
      <c r="N56" s="1400"/>
      <c r="O56" s="1400"/>
      <c r="P56" s="1400"/>
      <c r="Q56" s="1400"/>
      <c r="R56" s="1400"/>
      <c r="S56" s="1400"/>
      <c r="T56" s="1400"/>
      <c r="U56" s="1400"/>
      <c r="V56" s="1400"/>
    </row>
    <row r="57" spans="1:22" s="1376" customFormat="1" ht="47.1" customHeight="1" thickBot="1">
      <c r="B57" s="1400"/>
      <c r="C57" s="1400"/>
      <c r="D57" s="1400"/>
      <c r="E57" s="1400"/>
      <c r="F57" s="1400"/>
      <c r="G57" s="1400"/>
      <c r="H57" s="1400"/>
      <c r="I57" s="1400"/>
      <c r="J57" s="1400"/>
      <c r="K57" s="1400"/>
      <c r="L57" s="1400"/>
      <c r="M57" s="1400"/>
      <c r="N57" s="1400"/>
      <c r="O57" s="1400"/>
      <c r="P57" s="1400"/>
      <c r="Q57" s="1400"/>
      <c r="R57" s="1400"/>
      <c r="S57" s="1400"/>
      <c r="T57" s="1400"/>
      <c r="U57" s="1400"/>
      <c r="V57" s="1400"/>
    </row>
    <row r="58" spans="1:22" s="1376" customFormat="1" ht="47.1" customHeight="1">
      <c r="A58" s="1560"/>
      <c r="B58" s="4323" t="s">
        <v>59</v>
      </c>
      <c r="C58" s="4323"/>
      <c r="D58" s="1542"/>
      <c r="E58" s="1542"/>
      <c r="F58" s="1542"/>
      <c r="G58" s="1542"/>
      <c r="H58" s="1542"/>
      <c r="I58" s="1542"/>
      <c r="J58" s="1542"/>
      <c r="K58" s="1542"/>
      <c r="L58" s="1542"/>
      <c r="M58" s="1542"/>
      <c r="N58" s="1542"/>
      <c r="O58" s="1542"/>
      <c r="P58" s="1542"/>
      <c r="Q58" s="1542"/>
      <c r="R58" s="1542"/>
      <c r="S58" s="1542"/>
      <c r="T58" s="1542"/>
      <c r="U58" s="4324" t="s">
        <v>59</v>
      </c>
      <c r="V58" s="4324"/>
    </row>
    <row r="59" spans="1:22" s="1376" customFormat="1" ht="47.1" customHeight="1">
      <c r="A59" s="1559"/>
      <c r="B59" s="4303"/>
      <c r="C59" s="4303"/>
      <c r="D59" s="1400"/>
      <c r="E59" s="1400"/>
      <c r="F59" s="1400"/>
      <c r="G59" s="1400"/>
      <c r="H59" s="1400"/>
      <c r="I59" s="1400"/>
      <c r="J59" s="1400"/>
      <c r="K59" s="1400"/>
      <c r="L59" s="1400"/>
      <c r="M59" s="1400"/>
      <c r="N59" s="1400"/>
      <c r="O59" s="1400"/>
      <c r="P59" s="1400"/>
      <c r="Q59" s="1400"/>
      <c r="R59" s="1400"/>
      <c r="S59" s="1400"/>
      <c r="T59" s="1400"/>
      <c r="U59" s="4304"/>
      <c r="V59" s="4304"/>
    </row>
    <row r="60" spans="1:22" s="1376" customFormat="1" ht="23.25" customHeight="1">
      <c r="B60" s="1400"/>
      <c r="C60" s="1400"/>
      <c r="D60" s="1400"/>
      <c r="E60" s="1400"/>
      <c r="F60" s="1400"/>
      <c r="G60" s="1400"/>
      <c r="H60" s="1400"/>
      <c r="I60" s="1400"/>
      <c r="J60" s="1400"/>
      <c r="K60" s="1400"/>
      <c r="L60" s="1400"/>
      <c r="M60" s="1400"/>
      <c r="N60" s="1400"/>
      <c r="O60" s="1400"/>
      <c r="P60" s="1400"/>
      <c r="Q60" s="1400"/>
      <c r="R60" s="1400"/>
      <c r="S60" s="1400"/>
      <c r="T60" s="1400"/>
      <c r="U60" s="1400"/>
      <c r="V60" s="1400"/>
    </row>
    <row r="61" spans="1:22" s="1376" customFormat="1" ht="15.75" customHeight="1">
      <c r="B61" s="1400"/>
      <c r="C61" s="4334" t="s">
        <v>795</v>
      </c>
      <c r="D61" s="4339" t="s">
        <v>46</v>
      </c>
      <c r="E61" s="4319" t="s">
        <v>47</v>
      </c>
      <c r="F61" s="1400"/>
      <c r="G61" s="1400"/>
      <c r="H61" s="1400"/>
      <c r="I61" s="1400"/>
      <c r="J61" s="4340" t="s">
        <v>48</v>
      </c>
      <c r="K61" s="4340"/>
      <c r="L61" s="4340"/>
      <c r="M61" s="4340"/>
      <c r="N61" s="4340"/>
      <c r="O61" s="4340"/>
      <c r="P61" s="1400"/>
      <c r="Q61" s="1400"/>
      <c r="R61" s="1400"/>
      <c r="S61" s="1400"/>
      <c r="T61" s="1400"/>
      <c r="U61" s="1400"/>
      <c r="V61" s="1400"/>
    </row>
    <row r="62" spans="1:22" s="1376" customFormat="1" ht="15.75" customHeight="1">
      <c r="B62" s="1400"/>
      <c r="C62" s="4335"/>
      <c r="D62" s="4339"/>
      <c r="E62" s="4319"/>
      <c r="F62" s="1400"/>
      <c r="G62" s="1400"/>
      <c r="H62" s="1400"/>
      <c r="I62" s="1400"/>
      <c r="J62" s="4340"/>
      <c r="K62" s="4340"/>
      <c r="L62" s="4340"/>
      <c r="M62" s="4340"/>
      <c r="N62" s="4340"/>
      <c r="O62" s="4340"/>
      <c r="P62" s="1400"/>
      <c r="Q62" s="1400"/>
      <c r="R62" s="1400"/>
      <c r="S62" s="1400"/>
      <c r="T62" s="1400"/>
      <c r="U62" s="1400"/>
      <c r="V62" s="1400"/>
    </row>
    <row r="63" spans="1:22" s="1376" customFormat="1" ht="15.75" customHeight="1">
      <c r="B63" s="1400"/>
      <c r="C63" s="4336"/>
      <c r="D63" s="4339"/>
      <c r="E63" s="4319"/>
      <c r="F63" s="1400"/>
      <c r="G63" s="1400"/>
      <c r="H63" s="1400"/>
      <c r="I63" s="1400"/>
      <c r="J63" s="1558" t="s">
        <v>40</v>
      </c>
      <c r="K63" s="4231" t="s">
        <v>41</v>
      </c>
      <c r="L63" s="4231"/>
      <c r="M63" s="4231"/>
      <c r="N63" s="4231" t="s">
        <v>20</v>
      </c>
      <c r="O63" s="4231"/>
      <c r="P63" s="1400"/>
      <c r="Q63" s="1400"/>
      <c r="R63" s="1400"/>
      <c r="S63" s="1400"/>
      <c r="T63" s="1400"/>
      <c r="U63" s="1400"/>
      <c r="V63" s="1400"/>
    </row>
    <row r="64" spans="1:22" s="1376" customFormat="1" ht="28.5">
      <c r="B64" s="1400"/>
      <c r="C64" s="1557" t="str">
        <f>ADDRESS(ROW(C65),COLUMN(C65),4)</f>
        <v>C65</v>
      </c>
      <c r="D64" s="1557" t="str">
        <f>ADDRESS(ROW(D65),COLUMN(D65),4)</f>
        <v>D65</v>
      </c>
      <c r="E64" s="1557" t="str">
        <f>ADDRESS(ROW(E65),COLUMN(E65),4)</f>
        <v>E65</v>
      </c>
      <c r="F64" s="1400"/>
      <c r="G64" s="1400"/>
      <c r="H64" s="1400"/>
      <c r="I64" s="1400"/>
      <c r="J64" s="1556"/>
      <c r="K64" s="4230"/>
      <c r="L64" s="4230"/>
      <c r="M64" s="4230"/>
      <c r="N64" s="4232" t="str">
        <f>ADDRESS(ROW(N65),COLUMN(N65),4)</f>
        <v>N65</v>
      </c>
      <c r="O64" s="4232"/>
      <c r="P64" s="1400"/>
      <c r="Q64" s="1400"/>
      <c r="R64" s="1400"/>
      <c r="S64" s="1400"/>
      <c r="T64" s="1400"/>
      <c r="U64" s="1400"/>
      <c r="V64" s="1400"/>
    </row>
    <row r="65" spans="2:22" s="1376" customFormat="1" ht="31.5">
      <c r="B65" s="1400"/>
      <c r="C65" s="1522">
        <f>E33</f>
        <v>2</v>
      </c>
      <c r="D65" s="1555">
        <v>35</v>
      </c>
      <c r="E65" s="1554">
        <f>IF(C65=0,0,((N65-(N65*D65%))))</f>
        <v>34.9375</v>
      </c>
      <c r="G65" s="1553" t="str">
        <f ca="1">_xlfn.FORMULATEXT(E65)</f>
        <v>=SI(C65=0;0;((N65-(N65*D65%))))</v>
      </c>
      <c r="H65" s="1400"/>
      <c r="I65" s="1400"/>
      <c r="J65" s="1552">
        <f>V33</f>
        <v>0</v>
      </c>
      <c r="K65" s="4229" t="str">
        <f>W33</f>
        <v>AGNEAU : Sauté d'agneau sans os- épaule - collier</v>
      </c>
      <c r="L65" s="4229"/>
      <c r="M65" s="4229"/>
      <c r="N65" s="4233">
        <f>X33</f>
        <v>53.75</v>
      </c>
      <c r="O65" s="4233"/>
      <c r="P65" s="1400"/>
      <c r="Q65" s="1400"/>
      <c r="R65" s="1400"/>
      <c r="S65" s="1400"/>
      <c r="T65" s="1400"/>
      <c r="U65" s="1400"/>
      <c r="V65" s="1400"/>
    </row>
    <row r="66" spans="2:22" s="1376" customFormat="1" ht="31.5">
      <c r="B66" s="1400"/>
      <c r="C66" s="1400"/>
      <c r="D66" s="1551"/>
      <c r="E66" s="1550"/>
      <c r="F66" s="1400"/>
      <c r="G66" s="1507" t="s">
        <v>798</v>
      </c>
      <c r="H66" s="1400"/>
      <c r="I66" s="1400"/>
      <c r="J66" s="1400"/>
      <c r="K66" s="1400"/>
      <c r="L66" s="1400"/>
      <c r="M66" s="1400"/>
      <c r="N66" s="1400"/>
      <c r="O66" s="1400"/>
      <c r="P66" s="1400"/>
      <c r="Q66" s="1400"/>
      <c r="R66" s="1400"/>
      <c r="S66" s="1400"/>
      <c r="T66" s="1400"/>
      <c r="U66" s="1400"/>
      <c r="V66" s="1400"/>
    </row>
    <row r="67" spans="2:22" s="1376" customFormat="1" ht="45.75" customHeight="1">
      <c r="B67" s="1400"/>
      <c r="C67" s="1400"/>
      <c r="D67" s="1400"/>
      <c r="E67" s="1400"/>
      <c r="F67" s="1400"/>
      <c r="G67" s="1400"/>
      <c r="H67" s="1400"/>
      <c r="I67" s="1400"/>
      <c r="J67" s="1400"/>
      <c r="K67" s="1400"/>
      <c r="L67" s="1400"/>
      <c r="M67" s="1400"/>
      <c r="N67" s="1400"/>
      <c r="O67" s="1400"/>
      <c r="P67" s="1400"/>
      <c r="Q67" s="1400"/>
      <c r="R67" s="1400"/>
      <c r="S67" s="1400"/>
      <c r="T67" s="1400"/>
      <c r="U67" s="1400"/>
      <c r="V67" s="1400"/>
    </row>
    <row r="68" spans="2:22" s="1376" customFormat="1" ht="16.5" thickBot="1">
      <c r="B68" s="1400"/>
      <c r="C68" s="1400"/>
      <c r="D68" s="1400"/>
      <c r="E68" s="1400"/>
      <c r="F68" s="1400"/>
      <c r="G68" s="1400"/>
      <c r="H68" s="1400"/>
      <c r="I68" s="1400"/>
      <c r="J68" s="1400"/>
      <c r="K68" s="1400"/>
      <c r="L68" s="1400"/>
      <c r="M68" s="1400"/>
      <c r="N68" s="1400"/>
      <c r="O68" s="1400"/>
      <c r="P68" s="1400"/>
      <c r="Q68" s="1400"/>
      <c r="R68" s="1400"/>
      <c r="S68" s="1400"/>
      <c r="T68" s="1400"/>
      <c r="U68" s="1400"/>
      <c r="V68" s="1400"/>
    </row>
    <row r="69" spans="2:22" s="1376" customFormat="1" ht="47.1" customHeight="1">
      <c r="B69" s="4323" t="s">
        <v>60</v>
      </c>
      <c r="C69" s="4323"/>
      <c r="D69" s="1542"/>
      <c r="E69" s="1542"/>
      <c r="F69" s="1542"/>
      <c r="G69" s="1542"/>
      <c r="H69" s="1542"/>
      <c r="I69" s="1542"/>
      <c r="J69" s="1542"/>
      <c r="K69" s="1542"/>
      <c r="L69" s="1542"/>
      <c r="M69" s="1542"/>
      <c r="N69" s="1542"/>
      <c r="O69" s="1542"/>
      <c r="P69" s="1542"/>
      <c r="Q69" s="1542"/>
      <c r="R69" s="1542"/>
      <c r="S69" s="1542"/>
      <c r="T69" s="1542"/>
      <c r="U69" s="4324" t="s">
        <v>60</v>
      </c>
      <c r="V69" s="4324"/>
    </row>
    <row r="70" spans="2:22" s="1376" customFormat="1" ht="47.1" customHeight="1">
      <c r="B70" s="4303"/>
      <c r="C70" s="4303"/>
      <c r="D70" s="1400"/>
      <c r="E70" s="1400"/>
      <c r="F70" s="1400"/>
      <c r="G70" s="1400"/>
      <c r="H70" s="1400"/>
      <c r="I70" s="1400"/>
      <c r="J70" s="1400"/>
      <c r="K70" s="1400"/>
      <c r="L70" s="1400"/>
      <c r="M70" s="1400"/>
      <c r="N70" s="1400"/>
      <c r="O70" s="1400"/>
      <c r="P70" s="1400"/>
      <c r="Q70" s="1400"/>
      <c r="R70" s="1400"/>
      <c r="S70" s="1400"/>
      <c r="T70" s="1400"/>
      <c r="U70" s="4304"/>
      <c r="V70" s="4304"/>
    </row>
    <row r="71" spans="2:22" s="1376" customFormat="1">
      <c r="B71" s="1400"/>
      <c r="C71" s="1400"/>
      <c r="D71" s="1400"/>
      <c r="E71" s="1400"/>
      <c r="F71" s="1400"/>
      <c r="G71" s="1400"/>
      <c r="H71" s="1400"/>
      <c r="I71" s="1400"/>
      <c r="J71" s="1400"/>
      <c r="K71" s="1400"/>
      <c r="L71" s="1400"/>
      <c r="M71" s="1400"/>
      <c r="N71" s="1400"/>
      <c r="O71" s="1400"/>
      <c r="P71" s="1400"/>
      <c r="Q71" s="1400"/>
      <c r="R71" s="1400"/>
      <c r="S71" s="1400"/>
      <c r="T71" s="1400"/>
      <c r="U71" s="1400"/>
      <c r="V71" s="1400"/>
    </row>
    <row r="72" spans="2:22" s="1376" customFormat="1" ht="29.25" thickBot="1">
      <c r="B72" s="1400"/>
      <c r="C72" s="1400"/>
      <c r="D72" s="1400"/>
      <c r="E72" s="1400"/>
      <c r="F72" s="1400"/>
      <c r="G72" s="1400"/>
      <c r="H72" s="1400"/>
      <c r="I72" s="1400"/>
      <c r="J72" s="4232" t="str">
        <f>ADDRESS(ROW(J73),COLUMN(J73),4)</f>
        <v>J73</v>
      </c>
      <c r="K72" s="4232"/>
      <c r="L72" s="1400"/>
      <c r="M72" s="1400"/>
      <c r="N72" s="1400"/>
      <c r="O72" s="1400"/>
      <c r="P72" s="1400"/>
      <c r="Q72" s="1400"/>
      <c r="R72" s="1400"/>
      <c r="S72" s="1400"/>
      <c r="T72" s="1400"/>
      <c r="U72" s="1400"/>
      <c r="V72" s="1400"/>
    </row>
    <row r="73" spans="2:22" s="1376" customFormat="1" ht="15.75" customHeight="1">
      <c r="B73" s="1541" t="s">
        <v>19</v>
      </c>
      <c r="C73" s="40"/>
      <c r="D73" s="40"/>
      <c r="E73" s="1400"/>
      <c r="F73" s="1400"/>
      <c r="G73" s="1400"/>
      <c r="H73" s="4352" t="s">
        <v>21</v>
      </c>
      <c r="I73" s="4352"/>
      <c r="J73" s="4266">
        <f>W26</f>
        <v>53.75</v>
      </c>
      <c r="K73" s="4267"/>
      <c r="L73" s="4353" t="str">
        <f>C75</f>
        <v>Kg d'agneau</v>
      </c>
      <c r="M73" s="4353"/>
      <c r="N73" s="4353"/>
      <c r="O73" s="1400"/>
      <c r="P73" s="1400"/>
      <c r="Q73" s="1400"/>
      <c r="R73" s="1400"/>
      <c r="S73" s="1400"/>
      <c r="T73" s="1400"/>
      <c r="U73" s="1400"/>
      <c r="V73" s="1400"/>
    </row>
    <row r="74" spans="2:22" s="1376" customFormat="1" ht="21" customHeight="1">
      <c r="B74" s="1528" t="str">
        <f>ADDRESS(ROW(B75),COLUMN(B75),4)</f>
        <v>B75</v>
      </c>
      <c r="C74" s="40"/>
      <c r="D74" s="40"/>
      <c r="E74" s="1400"/>
      <c r="F74" s="1400"/>
      <c r="G74" s="1400"/>
      <c r="H74" s="4352"/>
      <c r="I74" s="4352"/>
      <c r="J74" s="4355"/>
      <c r="K74" s="4356"/>
      <c r="L74" s="4353"/>
      <c r="M74" s="4353"/>
      <c r="N74" s="4353"/>
      <c r="O74" s="1400"/>
      <c r="P74" s="1400"/>
      <c r="Q74" s="1400"/>
      <c r="R74" s="1400"/>
      <c r="S74" s="1400"/>
      <c r="T74" s="1400"/>
      <c r="U74" s="1400"/>
      <c r="V74" s="1400"/>
    </row>
    <row r="75" spans="2:22" s="1376" customFormat="1" ht="15.75" customHeight="1">
      <c r="B75" s="4354">
        <f>B27</f>
        <v>2</v>
      </c>
      <c r="C75" s="4343" t="str">
        <f>C27</f>
        <v>Kg d'agneau</v>
      </c>
      <c r="D75" s="4343"/>
      <c r="E75" s="1400"/>
      <c r="F75" s="1400"/>
      <c r="G75" s="1400"/>
      <c r="H75" s="4352"/>
      <c r="I75" s="4352"/>
      <c r="J75" s="4355"/>
      <c r="K75" s="4356"/>
      <c r="L75" s="4353"/>
      <c r="M75" s="4353"/>
      <c r="N75" s="4353"/>
      <c r="O75" s="1400"/>
      <c r="P75" s="1400"/>
      <c r="Q75" s="1400"/>
      <c r="R75" s="1400"/>
      <c r="S75" s="1400"/>
      <c r="T75" s="1400"/>
      <c r="U75" s="1400"/>
      <c r="V75" s="1400"/>
    </row>
    <row r="76" spans="2:22" s="1376" customFormat="1" ht="15.75" customHeight="1" thickBot="1">
      <c r="B76" s="4354"/>
      <c r="C76" s="4343"/>
      <c r="D76" s="4343"/>
      <c r="E76" s="1400"/>
      <c r="F76" s="1400"/>
      <c r="G76" s="1400"/>
      <c r="H76" s="4352"/>
      <c r="I76" s="4352"/>
      <c r="J76" s="4268"/>
      <c r="K76" s="4269"/>
      <c r="L76" s="4353"/>
      <c r="M76" s="4353"/>
      <c r="N76" s="4353"/>
      <c r="O76" s="1400"/>
      <c r="P76" s="1400"/>
      <c r="Q76" s="1400"/>
      <c r="R76" s="1400"/>
      <c r="S76" s="1400"/>
      <c r="T76" s="1400"/>
      <c r="U76" s="1400"/>
      <c r="V76" s="1400"/>
    </row>
    <row r="77" spans="2:22" s="1376" customFormat="1">
      <c r="B77" s="1400"/>
      <c r="C77" s="1400"/>
      <c r="D77" s="1400"/>
      <c r="E77" s="1400"/>
      <c r="F77" s="1400"/>
      <c r="G77" s="1400"/>
      <c r="H77" s="1400"/>
      <c r="I77" s="1400"/>
      <c r="J77" s="1400"/>
      <c r="K77" s="1400"/>
      <c r="L77" s="1400"/>
      <c r="M77" s="1400"/>
      <c r="N77" s="1400"/>
      <c r="O77" s="1400"/>
      <c r="P77" s="1400"/>
      <c r="Q77" s="1400"/>
      <c r="R77" s="1400"/>
      <c r="S77" s="1400"/>
      <c r="T77" s="1400"/>
      <c r="U77" s="1400"/>
      <c r="V77" s="1400"/>
    </row>
    <row r="78" spans="2:22" s="1376" customFormat="1">
      <c r="B78" s="1400"/>
      <c r="C78" s="1400"/>
      <c r="D78" s="1400"/>
      <c r="E78" s="1400"/>
      <c r="F78" s="1400"/>
      <c r="G78" s="1400"/>
      <c r="H78" s="1400"/>
      <c r="I78" s="1400"/>
      <c r="J78" s="1400"/>
      <c r="K78" s="1400"/>
      <c r="L78" s="1400"/>
      <c r="M78" s="1400"/>
      <c r="N78" s="1400"/>
      <c r="O78" s="1400"/>
      <c r="P78" s="1400"/>
      <c r="Q78" s="1400"/>
      <c r="R78" s="1400"/>
      <c r="S78" s="1400"/>
      <c r="T78" s="1400"/>
      <c r="U78" s="1400"/>
      <c r="V78" s="1400"/>
    </row>
    <row r="79" spans="2:22" s="1376" customFormat="1">
      <c r="B79" s="1400"/>
      <c r="C79" s="1400"/>
      <c r="D79" s="1400"/>
      <c r="E79" s="1400"/>
      <c r="F79" s="1400"/>
      <c r="G79" s="1400"/>
      <c r="H79" s="1400"/>
      <c r="I79" s="1400"/>
      <c r="J79" s="1400"/>
      <c r="K79" s="1400"/>
      <c r="L79" s="1400"/>
      <c r="M79" s="1400"/>
      <c r="N79" s="1400"/>
      <c r="O79" s="1400"/>
      <c r="P79" s="1400"/>
      <c r="Q79" s="1400"/>
      <c r="R79" s="1400"/>
      <c r="S79" s="1400"/>
      <c r="T79" s="1400"/>
      <c r="U79" s="1400"/>
      <c r="V79" s="1400"/>
    </row>
    <row r="80" spans="2:22" s="1376" customFormat="1" ht="23.25" customHeight="1">
      <c r="B80" s="1400"/>
      <c r="C80" s="1400"/>
      <c r="D80" s="1400"/>
      <c r="E80" s="1400"/>
      <c r="F80" s="1400"/>
      <c r="G80" s="1400"/>
      <c r="H80" s="1549" t="s">
        <v>40</v>
      </c>
      <c r="I80" s="1400"/>
      <c r="J80" s="1400"/>
      <c r="K80" s="1400"/>
      <c r="L80" s="1400"/>
      <c r="M80" s="1400"/>
      <c r="N80" s="1400"/>
      <c r="O80" s="1400"/>
      <c r="P80" s="1400"/>
      <c r="Q80" s="1400"/>
      <c r="R80" s="1400"/>
      <c r="S80" s="1400"/>
      <c r="T80" s="1400"/>
      <c r="U80" s="1400"/>
      <c r="V80" s="1400"/>
    </row>
    <row r="81" spans="2:22" s="1376" customFormat="1" ht="28.5" customHeight="1">
      <c r="B81" s="1528" t="str">
        <f>ADDRESS(ROW(B82),COLUMN(B82),4)</f>
        <v>B82</v>
      </c>
      <c r="C81" s="1548"/>
      <c r="D81" s="1400"/>
      <c r="E81" s="1400"/>
      <c r="F81" s="1400"/>
      <c r="G81" s="1400"/>
      <c r="H81" s="1547" t="str">
        <f>ADDRESS(ROW(H82),COLUMN(H82),4)</f>
        <v>H82</v>
      </c>
      <c r="I81" s="1400"/>
      <c r="J81" s="1400"/>
      <c r="K81" s="1400"/>
      <c r="L81" s="1400"/>
      <c r="M81" s="1400"/>
      <c r="N81" s="1400"/>
      <c r="O81" s="1400"/>
      <c r="P81" s="1400"/>
      <c r="Q81" s="1400"/>
      <c r="R81" s="1400"/>
      <c r="S81" s="1400"/>
      <c r="T81" s="1400"/>
      <c r="U81" s="1400"/>
      <c r="V81" s="1400"/>
    </row>
    <row r="82" spans="2:22" s="1376" customFormat="1" ht="47.25" customHeight="1">
      <c r="B82" s="1518" t="str">
        <f>B52</f>
        <v>PM</v>
      </c>
      <c r="C82" s="1517" t="str">
        <f>C52</f>
        <v>bouquet garni</v>
      </c>
      <c r="D82" s="1516">
        <f>D52</f>
        <v>0</v>
      </c>
      <c r="E82" s="1515">
        <f>IF(ISTEXT(B82),0,IF(ISBLANK(B82),D82,(D82*B82)))</f>
        <v>0</v>
      </c>
      <c r="F82" s="1400"/>
      <c r="G82" s="1400"/>
      <c r="H82" s="1546" t="str">
        <f>IF(ISTEXT(B82),B82,(B82/B$75)*J$73)</f>
        <v>PM</v>
      </c>
      <c r="I82" s="4228" t="str">
        <f>C82</f>
        <v>bouquet garni</v>
      </c>
      <c r="J82" s="4228"/>
      <c r="K82" s="4228"/>
      <c r="L82" s="1545" t="str">
        <f ca="1">_xlfn.FORMULATEXT(H82)</f>
        <v>=SI(ESTTEXTE(B82);B82;(B82/B$75)*J$73)</v>
      </c>
      <c r="N82" s="1400"/>
      <c r="O82" s="1400"/>
      <c r="P82" s="1400"/>
      <c r="Q82" s="1400"/>
      <c r="R82" s="1400"/>
      <c r="S82" s="1400"/>
      <c r="T82" s="1400"/>
      <c r="U82" s="1400"/>
      <c r="V82" s="1400"/>
    </row>
    <row r="83" spans="2:22" s="1376" customFormat="1" ht="35.25" customHeight="1">
      <c r="B83" s="1400"/>
      <c r="C83" s="1400"/>
      <c r="D83" s="1400"/>
      <c r="F83" s="1400"/>
      <c r="G83" s="1400"/>
      <c r="H83" s="1507" t="s">
        <v>797</v>
      </c>
      <c r="J83" s="1507"/>
      <c r="N83" s="1400"/>
      <c r="O83" s="1400"/>
      <c r="P83" s="1400"/>
      <c r="Q83" s="1400"/>
      <c r="R83" s="1400"/>
      <c r="S83" s="1400"/>
      <c r="T83" s="1400"/>
      <c r="U83" s="1400"/>
      <c r="V83" s="1400"/>
    </row>
    <row r="84" spans="2:22" s="1376" customFormat="1" ht="31.5" customHeight="1">
      <c r="B84" s="1544">
        <f>B54</f>
        <v>2</v>
      </c>
      <c r="C84" s="1517" t="str">
        <f>C54</f>
        <v>œufs</v>
      </c>
      <c r="D84" s="1516">
        <f>D54</f>
        <v>0.05</v>
      </c>
      <c r="E84" s="1515">
        <f>IF(ISTEXT(B84),0,IF(ISBLANK(B84),D84,(D84*B84)))</f>
        <v>0.1</v>
      </c>
      <c r="F84" s="1400"/>
      <c r="G84" s="1400"/>
      <c r="H84" s="1543">
        <f>IF(ISTEXT(B84),B84,(B84/B$75)*J$73)</f>
        <v>53.75</v>
      </c>
      <c r="I84" s="4345" t="str">
        <f>C84</f>
        <v>œufs</v>
      </c>
      <c r="J84" s="4345"/>
      <c r="K84" s="4345"/>
      <c r="M84" s="1400"/>
      <c r="N84" s="1400"/>
      <c r="O84" s="1400"/>
      <c r="P84" s="1400"/>
      <c r="Q84" s="1400"/>
      <c r="R84" s="1400"/>
      <c r="S84" s="1400"/>
      <c r="T84" s="1400"/>
      <c r="U84" s="1400"/>
      <c r="V84" s="1400"/>
    </row>
    <row r="85" spans="2:22" s="1376" customFormat="1" ht="31.5" customHeight="1">
      <c r="D85" s="1400"/>
      <c r="E85" s="1400"/>
      <c r="F85" s="1400"/>
      <c r="G85" s="1400"/>
      <c r="H85" s="1400"/>
      <c r="I85" s="1400"/>
      <c r="J85" s="1400"/>
      <c r="K85" s="1400"/>
      <c r="L85" s="1400"/>
      <c r="M85" s="1400"/>
      <c r="N85" s="1400"/>
      <c r="O85" s="1400"/>
      <c r="P85" s="1400"/>
      <c r="Q85" s="1400"/>
      <c r="R85" s="1400"/>
      <c r="S85" s="1400"/>
      <c r="T85" s="1400"/>
      <c r="U85" s="1400"/>
      <c r="V85" s="1400"/>
    </row>
    <row r="86" spans="2:22" s="1376" customFormat="1" ht="16.5" thickBot="1">
      <c r="B86" s="1400"/>
      <c r="C86" s="1400"/>
      <c r="D86" s="1400"/>
      <c r="E86" s="1400"/>
      <c r="F86" s="1400"/>
      <c r="G86" s="1400"/>
      <c r="H86" s="1400"/>
      <c r="I86" s="1400"/>
      <c r="J86" s="1400"/>
      <c r="K86" s="1400"/>
      <c r="L86" s="1400"/>
      <c r="M86" s="1400"/>
      <c r="N86" s="1400"/>
      <c r="O86" s="1400"/>
      <c r="P86" s="1400"/>
      <c r="Q86" s="1400"/>
      <c r="R86" s="1400"/>
      <c r="S86" s="1400"/>
      <c r="T86" s="1400"/>
      <c r="U86" s="1400"/>
      <c r="V86" s="1400"/>
    </row>
    <row r="87" spans="2:22" s="1376" customFormat="1" ht="47.1" customHeight="1">
      <c r="B87" s="4323" t="s">
        <v>61</v>
      </c>
      <c r="C87" s="4323"/>
      <c r="D87" s="1542"/>
      <c r="E87" s="1542"/>
      <c r="F87" s="1542"/>
      <c r="G87" s="1542"/>
      <c r="H87" s="1542"/>
      <c r="I87" s="1542"/>
      <c r="J87" s="1542"/>
      <c r="K87" s="1542"/>
      <c r="L87" s="1542"/>
      <c r="M87" s="1542"/>
      <c r="N87" s="1542"/>
      <c r="O87" s="1542"/>
      <c r="P87" s="1542"/>
      <c r="Q87" s="1542"/>
      <c r="R87" s="1542"/>
      <c r="S87" s="1542"/>
      <c r="T87" s="1542"/>
      <c r="U87" s="4324" t="s">
        <v>61</v>
      </c>
      <c r="V87" s="4324"/>
    </row>
    <row r="88" spans="2:22" s="1376" customFormat="1" ht="47.1" customHeight="1">
      <c r="B88" s="4303"/>
      <c r="C88" s="4303"/>
      <c r="D88" s="1400"/>
      <c r="E88" s="1400"/>
      <c r="F88" s="1400"/>
      <c r="G88" s="1400"/>
      <c r="H88" s="1400"/>
      <c r="I88" s="1400"/>
      <c r="J88" s="1400"/>
      <c r="K88" s="1400"/>
      <c r="L88" s="1400"/>
      <c r="M88" s="1400"/>
      <c r="N88" s="1400"/>
      <c r="O88" s="1400"/>
      <c r="P88" s="1400"/>
      <c r="Q88" s="1400"/>
      <c r="R88" s="1400"/>
      <c r="S88" s="1400"/>
      <c r="T88" s="1400"/>
      <c r="U88" s="4304"/>
      <c r="V88" s="4304"/>
    </row>
    <row r="89" spans="2:22" s="1376" customFormat="1" ht="47.1" customHeight="1" thickBot="1">
      <c r="B89" s="1400"/>
      <c r="C89" s="1400"/>
      <c r="D89" s="1400"/>
      <c r="E89" s="1400"/>
      <c r="F89" s="1400"/>
      <c r="G89" s="1400"/>
      <c r="H89" s="1400"/>
      <c r="I89" s="1400"/>
      <c r="J89" s="4232" t="str">
        <f>ADDRESS(ROW(J90),COLUMN(J90),4)</f>
        <v>J90</v>
      </c>
      <c r="K89" s="4232"/>
      <c r="L89" s="1501"/>
      <c r="M89" s="1501"/>
      <c r="N89" s="1400"/>
      <c r="O89" s="1400"/>
      <c r="P89" s="1400"/>
      <c r="Q89" s="1400"/>
      <c r="R89" s="1400"/>
      <c r="S89" s="1400"/>
      <c r="T89" s="1400"/>
      <c r="U89" s="1400"/>
      <c r="V89" s="1400"/>
    </row>
    <row r="90" spans="2:22" s="1376" customFormat="1" ht="15.75" customHeight="1">
      <c r="B90" s="1541" t="s">
        <v>19</v>
      </c>
      <c r="C90" s="40"/>
      <c r="D90" s="40"/>
      <c r="E90" s="1540" t="s">
        <v>272</v>
      </c>
      <c r="F90" s="1503"/>
      <c r="G90" s="1502"/>
      <c r="H90" s="4351" t="s">
        <v>21</v>
      </c>
      <c r="I90" s="4351"/>
      <c r="J90" s="4357">
        <f>W26</f>
        <v>53.75</v>
      </c>
      <c r="K90" s="4358"/>
      <c r="L90" s="4363" t="str">
        <f>C92</f>
        <v>Kg d'agneau</v>
      </c>
      <c r="M90" s="4353"/>
      <c r="N90" s="4353"/>
      <c r="O90" s="4223" t="s">
        <v>796</v>
      </c>
      <c r="P90" s="4223"/>
      <c r="Q90" s="4223"/>
      <c r="R90" s="4344" t="s">
        <v>796</v>
      </c>
      <c r="S90" s="4344"/>
      <c r="T90" s="4344"/>
    </row>
    <row r="91" spans="2:22" s="1376" customFormat="1" ht="28.5" customHeight="1">
      <c r="B91" s="1528" t="str">
        <f>ADDRESS(ROW(B92),COLUMN(B92),4)</f>
        <v>B92</v>
      </c>
      <c r="C91" s="40"/>
      <c r="D91" s="40"/>
      <c r="E91" s="1540"/>
      <c r="F91" s="1503"/>
      <c r="G91" s="1502"/>
      <c r="H91" s="4351"/>
      <c r="I91" s="4351"/>
      <c r="J91" s="4359"/>
      <c r="K91" s="4360"/>
      <c r="L91" s="4363"/>
      <c r="M91" s="4353"/>
      <c r="N91" s="4353"/>
      <c r="O91" s="4223"/>
      <c r="P91" s="4223"/>
      <c r="Q91" s="4223"/>
      <c r="R91" s="4341" t="str">
        <f>ADDRESS(ROW(O92),COLUMN(O92),4)</f>
        <v>O92</v>
      </c>
      <c r="S91" s="4341"/>
      <c r="T91" s="4341"/>
    </row>
    <row r="92" spans="2:22" s="1376" customFormat="1" ht="20.25" customHeight="1">
      <c r="B92" s="4342">
        <f>B27</f>
        <v>2</v>
      </c>
      <c r="C92" s="4343" t="str">
        <f>C27</f>
        <v>Kg d'agneau</v>
      </c>
      <c r="D92" s="4343"/>
      <c r="E92" s="1539" t="s">
        <v>25</v>
      </c>
      <c r="F92" s="1503"/>
      <c r="G92" s="1502"/>
      <c r="H92" s="4351"/>
      <c r="I92" s="4351"/>
      <c r="J92" s="4359"/>
      <c r="K92" s="4360"/>
      <c r="L92" s="4363"/>
      <c r="M92" s="4353"/>
      <c r="N92" s="4353"/>
      <c r="O92" s="4222">
        <f ca="1">NOW()</f>
        <v>44608.74733564815</v>
      </c>
      <c r="P92" s="4222"/>
      <c r="Q92" s="4222"/>
      <c r="R92" s="4331" t="str">
        <f ca="1">_xlfn.FORMULATEXT(O92)</f>
        <v>=MAINTENANT()</v>
      </c>
      <c r="S92" s="4331"/>
      <c r="T92" s="4331"/>
    </row>
    <row r="93" spans="2:22" s="1376" customFormat="1" ht="15.75" customHeight="1" thickBot="1">
      <c r="B93" s="4342"/>
      <c r="C93" s="4343"/>
      <c r="D93" s="4343"/>
      <c r="E93" s="1538">
        <f>SUM(E98:E100)/B92</f>
        <v>0.05</v>
      </c>
      <c r="F93" s="1537"/>
      <c r="G93" s="1536"/>
      <c r="H93" s="4351"/>
      <c r="I93" s="4351"/>
      <c r="J93" s="4361"/>
      <c r="K93" s="4362"/>
      <c r="L93" s="4363"/>
      <c r="M93" s="4353"/>
      <c r="N93" s="4353"/>
      <c r="O93" s="4222"/>
      <c r="P93" s="4222"/>
      <c r="Q93" s="4222"/>
      <c r="R93" s="4331"/>
      <c r="S93" s="4331"/>
      <c r="T93" s="4331"/>
    </row>
    <row r="94" spans="2:22" s="1376" customFormat="1" ht="21" customHeight="1">
      <c r="B94" s="4332" t="s">
        <v>40</v>
      </c>
      <c r="C94" s="4333" t="s">
        <v>41</v>
      </c>
      <c r="D94" s="4333" t="s">
        <v>42</v>
      </c>
      <c r="E94" s="4334" t="s">
        <v>795</v>
      </c>
      <c r="F94" s="1400"/>
      <c r="G94" s="1400"/>
      <c r="H94" s="1400"/>
      <c r="I94" s="1400"/>
      <c r="J94" s="4337" t="s">
        <v>48</v>
      </c>
      <c r="K94" s="4332"/>
      <c r="L94" s="4332"/>
      <c r="M94" s="1535"/>
      <c r="N94" s="1534" t="s">
        <v>792</v>
      </c>
      <c r="O94" s="4221" t="s">
        <v>49</v>
      </c>
      <c r="P94" s="4221"/>
      <c r="Q94" s="4221"/>
      <c r="R94" s="1400"/>
      <c r="S94" s="1400"/>
      <c r="T94" s="1400"/>
      <c r="U94" s="1400"/>
      <c r="V94" s="1400"/>
    </row>
    <row r="95" spans="2:22" s="1376" customFormat="1" ht="18.75" customHeight="1">
      <c r="B95" s="4332"/>
      <c r="C95" s="4333"/>
      <c r="D95" s="4333"/>
      <c r="E95" s="4335"/>
      <c r="F95" s="1400"/>
      <c r="G95" s="1400"/>
      <c r="H95" s="1400"/>
      <c r="I95" s="1400"/>
      <c r="J95" s="4337"/>
      <c r="K95" s="4332"/>
      <c r="L95" s="4332"/>
      <c r="M95" s="1533" t="s">
        <v>377</v>
      </c>
      <c r="N95" s="4338" t="s">
        <v>794</v>
      </c>
      <c r="O95" s="4220">
        <f>SUM(P98:P100)</f>
        <v>56.4375</v>
      </c>
      <c r="P95" s="4220"/>
      <c r="Q95" s="4220"/>
      <c r="R95" s="1400"/>
      <c r="S95" s="1400"/>
      <c r="T95" s="1400"/>
      <c r="U95" s="1400"/>
      <c r="V95" s="1400"/>
    </row>
    <row r="96" spans="2:22" s="1376" customFormat="1" ht="24" customHeight="1">
      <c r="B96" s="4332"/>
      <c r="C96" s="4333"/>
      <c r="D96" s="4333"/>
      <c r="E96" s="4336"/>
      <c r="F96" s="1400"/>
      <c r="G96" s="1400"/>
      <c r="H96" s="1400"/>
      <c r="I96" s="1400"/>
      <c r="J96" s="1532" t="s">
        <v>40</v>
      </c>
      <c r="K96" s="1531" t="s">
        <v>41</v>
      </c>
      <c r="L96" s="1531" t="s">
        <v>20</v>
      </c>
      <c r="M96" s="1530"/>
      <c r="N96" s="4338"/>
      <c r="O96" s="1529" t="s">
        <v>793</v>
      </c>
      <c r="P96" s="4346">
        <f>O95/J90</f>
        <v>1.05</v>
      </c>
      <c r="Q96" s="4346"/>
      <c r="R96" s="1400"/>
      <c r="S96" s="1400"/>
      <c r="T96" s="1400"/>
      <c r="U96" s="1400"/>
      <c r="V96" s="1400"/>
    </row>
    <row r="97" spans="1:22" s="1376" customFormat="1" ht="35.25" customHeight="1">
      <c r="B97" s="1528" t="str">
        <f>ADDRESS(ROW(B100),COLUMN(B100),4)</f>
        <v>B100</v>
      </c>
      <c r="C97" s="1527"/>
      <c r="D97" s="1528" t="str">
        <f>ADDRESS(ROW(D99),COLUMN(D99),4)</f>
        <v>D99</v>
      </c>
      <c r="E97" s="1527"/>
      <c r="F97" s="1400"/>
      <c r="G97" s="1400"/>
      <c r="H97" s="1400"/>
      <c r="I97" s="1400"/>
      <c r="J97" s="1525" t="str">
        <f>ADDRESS(ROW(J100),COLUMN(J100),4)</f>
        <v>J100</v>
      </c>
      <c r="K97" s="1526"/>
      <c r="L97" s="1525" t="str">
        <f>ADDRESS(ROW(L100),COLUMN(L100),4)</f>
        <v>L100</v>
      </c>
      <c r="M97" s="1526"/>
      <c r="N97" s="1525" t="str">
        <f>ADDRESS(ROW(N100),COLUMN(N100),4)</f>
        <v>N100</v>
      </c>
      <c r="O97" s="1525" t="str">
        <f>ADDRESS(ROW(O100),COLUMN(O100),4)</f>
        <v>O100</v>
      </c>
      <c r="P97" s="4347" t="str">
        <f>ADDRESS(ROW(P100),COLUMN(P100),4)</f>
        <v>P100</v>
      </c>
      <c r="Q97" s="4347"/>
      <c r="R97" s="1400"/>
      <c r="S97" s="1400"/>
      <c r="T97" s="1400"/>
      <c r="U97" s="1400"/>
      <c r="V97" s="1400"/>
    </row>
    <row r="98" spans="1:22" s="1376" customFormat="1" ht="21.95" customHeight="1">
      <c r="B98" s="1518"/>
      <c r="C98" s="1517"/>
      <c r="D98" s="1516"/>
      <c r="E98" s="1515">
        <f>IF(ISTEXT(B98),0,IF(ISBLANK(B98),D98,(D98*B98)))</f>
        <v>0</v>
      </c>
      <c r="F98" s="1400"/>
      <c r="G98" s="1400"/>
      <c r="H98" s="1400"/>
      <c r="I98" s="1400"/>
      <c r="J98" s="1514">
        <f>IF(ISTEXT(B98),B98,(B98/B$92)*J$90)</f>
        <v>0</v>
      </c>
      <c r="K98" s="539">
        <f>C98</f>
        <v>0</v>
      </c>
      <c r="L98" s="1513">
        <f>(E98/B92)*J90</f>
        <v>0</v>
      </c>
      <c r="M98" s="1524">
        <f>L98/L$101</f>
        <v>0</v>
      </c>
      <c r="N98" s="1511"/>
      <c r="O98" s="1523"/>
      <c r="P98" s="4348">
        <f>IF(N98="U",O98*J98,L98*O98)</f>
        <v>0</v>
      </c>
      <c r="Q98" s="4348"/>
      <c r="R98" s="1400"/>
      <c r="S98" s="1400"/>
      <c r="T98" s="1400"/>
      <c r="U98" s="1400"/>
      <c r="V98" s="1400"/>
    </row>
    <row r="99" spans="1:22" s="1376" customFormat="1" ht="21.95" customHeight="1">
      <c r="B99" s="1518">
        <v>2</v>
      </c>
      <c r="C99" s="1517" t="s">
        <v>83</v>
      </c>
      <c r="D99" s="1516">
        <v>0.05</v>
      </c>
      <c r="E99" s="1522">
        <f>IF(ISTEXT(B99),0,IF(ISBLANK(B99),D99,(D99*B99)))</f>
        <v>0.1</v>
      </c>
      <c r="F99" s="1400"/>
      <c r="G99" s="1400"/>
      <c r="H99" s="1400"/>
      <c r="I99" s="1400"/>
      <c r="J99" s="1521">
        <f>IF(ISTEXT(B99),B99,(B99/B$92)*J$90)</f>
        <v>53.75</v>
      </c>
      <c r="K99" s="520" t="str">
        <f>C99</f>
        <v>œufs</v>
      </c>
      <c r="L99" s="1520">
        <f>(E99/B92)*J90</f>
        <v>2.6875</v>
      </c>
      <c r="M99" s="1519">
        <f>L99/L$101</f>
        <v>1</v>
      </c>
      <c r="N99" s="1511"/>
      <c r="O99" s="120">
        <v>1</v>
      </c>
      <c r="P99" s="4349">
        <f>IF(N99="U",O99*J99,L99*O99)</f>
        <v>2.6875</v>
      </c>
      <c r="Q99" s="4349"/>
      <c r="R99" s="1400"/>
      <c r="S99" s="1400"/>
      <c r="T99" s="1400"/>
      <c r="U99" s="1400"/>
      <c r="V99" s="1400"/>
    </row>
    <row r="100" spans="1:22" s="1376" customFormat="1" ht="21.95" customHeight="1">
      <c r="B100" s="1518">
        <v>2</v>
      </c>
      <c r="C100" s="1517" t="s">
        <v>83</v>
      </c>
      <c r="D100" s="1516"/>
      <c r="E100" s="1515">
        <f>IF(ISTEXT(B100),0,IF(ISBLANK(B100),D100,(D100*B100)))</f>
        <v>0</v>
      </c>
      <c r="F100" s="1400"/>
      <c r="G100" s="1400"/>
      <c r="H100" s="1400"/>
      <c r="I100" s="1400"/>
      <c r="J100" s="1514">
        <f>IF(ISTEXT(B100),B100,(B100/B$92)*J$90)</f>
        <v>53.75</v>
      </c>
      <c r="K100" s="539" t="str">
        <f>C100</f>
        <v>œufs</v>
      </c>
      <c r="L100" s="1513">
        <f>(E100/B92)*J90</f>
        <v>0</v>
      </c>
      <c r="M100" s="1512">
        <f>L100/L$101</f>
        <v>0</v>
      </c>
      <c r="N100" s="1511" t="s">
        <v>792</v>
      </c>
      <c r="O100" s="120">
        <v>1</v>
      </c>
      <c r="P100" s="4350">
        <f>IF(N100="U",O100*J100,L100*O100)</f>
        <v>53.75</v>
      </c>
      <c r="Q100" s="4350"/>
      <c r="R100" s="1510" t="str">
        <f ca="1">_xlfn.FORMULATEXT(P100)</f>
        <v>=SI(N100="U";O100*J100;L100*O100)</v>
      </c>
      <c r="T100" s="1509"/>
      <c r="U100" s="1400"/>
      <c r="V100" s="1400"/>
    </row>
    <row r="101" spans="1:22" s="1376" customFormat="1" ht="47.1" customHeight="1">
      <c r="B101" s="1506"/>
      <c r="C101" s="1505"/>
      <c r="D101" s="1504"/>
      <c r="E101" s="1503"/>
      <c r="F101" s="1503"/>
      <c r="G101" s="1502"/>
      <c r="H101" s="1502"/>
      <c r="I101" s="1400"/>
      <c r="J101" s="1400"/>
      <c r="K101" s="1400"/>
      <c r="L101" s="1508">
        <f>SUM(L98:L100)</f>
        <v>2.6875</v>
      </c>
      <c r="M101" s="1501"/>
      <c r="N101" s="1400"/>
      <c r="O101" s="1400"/>
      <c r="P101" s="1400"/>
      <c r="Q101" s="1507" t="s">
        <v>791</v>
      </c>
      <c r="R101" s="1400"/>
      <c r="S101" s="1400"/>
      <c r="T101" s="1400"/>
      <c r="U101" s="1400"/>
      <c r="V101" s="1400"/>
    </row>
    <row r="102" spans="1:22" s="1376" customFormat="1" ht="47.1" customHeight="1">
      <c r="B102" s="1506"/>
      <c r="C102" s="1505"/>
      <c r="D102" s="1504"/>
      <c r="E102" s="1503"/>
      <c r="F102" s="1503"/>
      <c r="G102" s="1502"/>
      <c r="H102" s="1502"/>
      <c r="I102" s="1400"/>
      <c r="J102" s="1400"/>
      <c r="K102" s="1400"/>
      <c r="L102" s="1501"/>
      <c r="M102" s="1501"/>
      <c r="N102" s="1400"/>
      <c r="O102" s="1400"/>
      <c r="P102" s="1400"/>
      <c r="Q102" s="1400"/>
      <c r="R102" s="1400"/>
      <c r="S102" s="1400"/>
      <c r="T102" s="1400"/>
      <c r="U102" s="1400"/>
      <c r="V102" s="1400"/>
    </row>
    <row r="103" spans="1:22" s="1376" customFormat="1">
      <c r="B103" s="1400"/>
      <c r="C103" s="1400"/>
      <c r="D103" s="1400"/>
      <c r="E103" s="1400"/>
      <c r="F103" s="1400"/>
      <c r="G103" s="1400"/>
      <c r="H103" s="1400"/>
      <c r="I103" s="1400"/>
      <c r="J103" s="1400"/>
      <c r="K103" s="1400"/>
      <c r="L103" s="1400"/>
      <c r="M103" s="1400"/>
      <c r="N103" s="1400"/>
      <c r="O103" s="1400"/>
      <c r="P103" s="1400"/>
      <c r="Q103" s="1400"/>
      <c r="R103" s="1400"/>
      <c r="S103" s="1400"/>
      <c r="T103" s="1400"/>
      <c r="U103" s="1400"/>
      <c r="V103" s="1400"/>
    </row>
    <row r="104" spans="1:22" s="1376" customFormat="1">
      <c r="A104" s="1400"/>
      <c r="B104" s="1400"/>
      <c r="C104" s="1400"/>
      <c r="D104" s="1400"/>
      <c r="E104" s="1400"/>
      <c r="F104" s="1400"/>
      <c r="G104" s="1400"/>
      <c r="H104" s="1400"/>
      <c r="I104" s="1400"/>
      <c r="J104" s="1400"/>
      <c r="K104" s="1400"/>
      <c r="L104" s="1400"/>
      <c r="M104" s="1400"/>
      <c r="N104" s="1400"/>
      <c r="O104" s="1400"/>
      <c r="P104" s="1400"/>
      <c r="Q104" s="1400"/>
      <c r="R104" s="1400"/>
      <c r="S104" s="1400"/>
      <c r="T104" s="1400"/>
      <c r="U104" s="1400"/>
      <c r="V104" s="1400"/>
    </row>
    <row r="105" spans="1:22" s="1376" customFormat="1">
      <c r="A105" s="1400"/>
      <c r="B105" s="1400"/>
      <c r="C105" s="1400"/>
      <c r="D105" s="1400"/>
      <c r="E105" s="1400"/>
      <c r="F105" s="1400"/>
      <c r="G105" s="1400"/>
      <c r="H105" s="1400"/>
      <c r="I105" s="1400"/>
      <c r="J105" s="1400"/>
      <c r="K105" s="1400"/>
      <c r="L105" s="1400"/>
      <c r="M105" s="1400"/>
      <c r="N105" s="1400"/>
      <c r="O105" s="1400"/>
      <c r="P105" s="1400"/>
      <c r="Q105" s="1400"/>
      <c r="R105" s="1400"/>
      <c r="S105" s="1400"/>
      <c r="T105" s="1400"/>
      <c r="U105" s="1400"/>
      <c r="V105" s="1400"/>
    </row>
    <row r="106" spans="1:22" s="1376" customFormat="1">
      <c r="A106" s="1400"/>
      <c r="B106" s="1400"/>
      <c r="C106" s="1400"/>
      <c r="D106" s="1400"/>
      <c r="E106" s="1400"/>
      <c r="F106" s="1400"/>
      <c r="G106" s="1400"/>
      <c r="H106" s="1400"/>
      <c r="I106" s="1400"/>
      <c r="J106" s="1400"/>
      <c r="K106" s="1400"/>
      <c r="L106" s="1400"/>
      <c r="M106" s="1400"/>
      <c r="N106" s="1400"/>
      <c r="O106" s="1400"/>
      <c r="P106" s="1400"/>
      <c r="Q106" s="1400"/>
      <c r="R106" s="1400"/>
      <c r="S106" s="1400"/>
      <c r="T106" s="1400"/>
      <c r="U106" s="1400"/>
      <c r="V106" s="1400"/>
    </row>
    <row r="107" spans="1:22" s="1376" customFormat="1" ht="63" customHeight="1">
      <c r="B107" s="4330" t="s">
        <v>523</v>
      </c>
      <c r="C107" s="4330"/>
      <c r="D107" s="4330"/>
      <c r="E107" s="4330"/>
      <c r="F107" s="4330"/>
      <c r="G107" s="4330"/>
      <c r="H107" s="4330"/>
      <c r="I107" s="4330"/>
      <c r="J107" s="4330"/>
      <c r="K107" s="4330"/>
      <c r="L107" s="4330"/>
      <c r="M107" s="4330"/>
      <c r="N107" s="4330"/>
      <c r="O107" s="4330"/>
      <c r="P107" s="4330"/>
      <c r="Q107" s="4330"/>
      <c r="R107" s="4330"/>
      <c r="S107" s="4330"/>
      <c r="T107" s="4330"/>
      <c r="U107" s="4330"/>
      <c r="V107" s="4330"/>
    </row>
  </sheetData>
  <mergeCells count="106">
    <mergeCell ref="U69:V70"/>
    <mergeCell ref="H73:I76"/>
    <mergeCell ref="L73:N76"/>
    <mergeCell ref="B75:B76"/>
    <mergeCell ref="C75:D76"/>
    <mergeCell ref="J73:K76"/>
    <mergeCell ref="J72:K72"/>
    <mergeCell ref="J90:K93"/>
    <mergeCell ref="L90:N93"/>
    <mergeCell ref="B107:V107"/>
    <mergeCell ref="R92:T93"/>
    <mergeCell ref="B94:B96"/>
    <mergeCell ref="C94:C96"/>
    <mergeCell ref="D94:D96"/>
    <mergeCell ref="E94:E96"/>
    <mergeCell ref="J94:L95"/>
    <mergeCell ref="N95:N96"/>
    <mergeCell ref="C61:C63"/>
    <mergeCell ref="D61:D63"/>
    <mergeCell ref="E61:E63"/>
    <mergeCell ref="J61:O62"/>
    <mergeCell ref="R91:T91"/>
    <mergeCell ref="B92:B93"/>
    <mergeCell ref="C92:D93"/>
    <mergeCell ref="B87:C88"/>
    <mergeCell ref="R90:T90"/>
    <mergeCell ref="J89:K89"/>
    <mergeCell ref="I84:K84"/>
    <mergeCell ref="P96:Q96"/>
    <mergeCell ref="P97:Q97"/>
    <mergeCell ref="P98:Q98"/>
    <mergeCell ref="P99:Q99"/>
    <mergeCell ref="P100:Q100"/>
    <mergeCell ref="AV21:AV22"/>
    <mergeCell ref="W24:X25"/>
    <mergeCell ref="B45:C46"/>
    <mergeCell ref="U45:V46"/>
    <mergeCell ref="B29:B31"/>
    <mergeCell ref="X30:X31"/>
    <mergeCell ref="Y30:Y31"/>
    <mergeCell ref="AL38:AL39"/>
    <mergeCell ref="AD38:AJ38"/>
    <mergeCell ref="AD39:AJ39"/>
    <mergeCell ref="Z29:AA29"/>
    <mergeCell ref="AB29:AK29"/>
    <mergeCell ref="Z30:AA30"/>
    <mergeCell ref="B41:V41"/>
    <mergeCell ref="AD26:AD27"/>
    <mergeCell ref="AB26:AC27"/>
    <mergeCell ref="AR21:AT22"/>
    <mergeCell ref="AE26:AF27"/>
    <mergeCell ref="B27:B28"/>
    <mergeCell ref="C27:C28"/>
    <mergeCell ref="AI20:AI21"/>
    <mergeCell ref="AJ20:AK21"/>
    <mergeCell ref="AN21:AP22"/>
    <mergeCell ref="AQ21:AQ22"/>
    <mergeCell ref="AU21:AU22"/>
    <mergeCell ref="AN17:AU18"/>
    <mergeCell ref="AV17:AV18"/>
    <mergeCell ref="AW17:AW18"/>
    <mergeCell ref="A18:A19"/>
    <mergeCell ref="AL18:AL37"/>
    <mergeCell ref="F19:G28"/>
    <mergeCell ref="AN19:AW20"/>
    <mergeCell ref="A20:A39"/>
    <mergeCell ref="B20:E21"/>
    <mergeCell ref="U20:AH20"/>
    <mergeCell ref="T26:V27"/>
    <mergeCell ref="W26:X27"/>
    <mergeCell ref="Y26:AA27"/>
    <mergeCell ref="G30:G31"/>
    <mergeCell ref="V30:V31"/>
    <mergeCell ref="W30:W31"/>
    <mergeCell ref="C29:C31"/>
    <mergeCell ref="D29:D31"/>
    <mergeCell ref="E29:E31"/>
    <mergeCell ref="T29:T31"/>
    <mergeCell ref="U29:U31"/>
    <mergeCell ref="V29:X29"/>
    <mergeCell ref="AW21:AW22"/>
    <mergeCell ref="AI22:AK23"/>
    <mergeCell ref="O95:Q95"/>
    <mergeCell ref="O94:Q94"/>
    <mergeCell ref="O92:Q93"/>
    <mergeCell ref="O90:Q91"/>
    <mergeCell ref="B1:AA1"/>
    <mergeCell ref="B2:AA2"/>
    <mergeCell ref="I82:K82"/>
    <mergeCell ref="K65:M65"/>
    <mergeCell ref="K64:M64"/>
    <mergeCell ref="K63:M63"/>
    <mergeCell ref="N63:O63"/>
    <mergeCell ref="N64:O64"/>
    <mergeCell ref="N65:O65"/>
    <mergeCell ref="T17:AL17"/>
    <mergeCell ref="B23:E23"/>
    <mergeCell ref="B47:B49"/>
    <mergeCell ref="C47:C49"/>
    <mergeCell ref="D47:D49"/>
    <mergeCell ref="E47:E49"/>
    <mergeCell ref="B58:C59"/>
    <mergeCell ref="U58:V59"/>
    <mergeCell ref="U87:V88"/>
    <mergeCell ref="H90:I93"/>
    <mergeCell ref="B69:C70"/>
  </mergeCells>
  <hyperlinks>
    <hyperlink ref="AD39" r:id="rId1" xr:uid="{A6EC8DCC-5841-4C31-8DD8-A738A421FA9F}"/>
    <hyperlink ref="AD38" r:id="rId2" xr:uid="{50D66207-9F9A-418E-9EA2-B9ADA3BCD4E3}"/>
  </hyperlinks>
  <printOptions horizontalCentered="1"/>
  <pageMargins left="0.23622047244094491" right="0.23622047244094491" top="0.74803149606299213" bottom="0.74803149606299213" header="0.31496062992125984" footer="0.31496062992125984"/>
  <pageSetup paperSize="9" scale="50" orientation="landscape"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979D5-848B-4851-9FF6-3820AE4C095B}">
  <dimension ref="A1:Q364"/>
  <sheetViews>
    <sheetView zoomScaleNormal="100" workbookViewId="0">
      <selection activeCell="Q364" sqref="Q364"/>
    </sheetView>
  </sheetViews>
  <sheetFormatPr baseColWidth="10" defaultRowHeight="15"/>
  <cols>
    <col min="1" max="1" width="4.5703125" style="1697" customWidth="1"/>
    <col min="2" max="2" width="10.42578125" style="988" customWidth="1"/>
    <col min="3" max="7" width="11.42578125" style="988"/>
    <col min="8" max="8" width="11.140625" style="988" customWidth="1"/>
    <col min="9" max="12" width="11.42578125" style="988"/>
    <col min="13" max="256" width="11.42578125" style="1697"/>
    <col min="257" max="257" width="4.5703125" style="1697" customWidth="1"/>
    <col min="258" max="258" width="10.42578125" style="1697" customWidth="1"/>
    <col min="259" max="263" width="11.42578125" style="1697"/>
    <col min="264" max="264" width="11.140625" style="1697" customWidth="1"/>
    <col min="265" max="512" width="11.42578125" style="1697"/>
    <col min="513" max="513" width="4.5703125" style="1697" customWidth="1"/>
    <col min="514" max="514" width="10.42578125" style="1697" customWidth="1"/>
    <col min="515" max="519" width="11.42578125" style="1697"/>
    <col min="520" max="520" width="11.140625" style="1697" customWidth="1"/>
    <col min="521" max="768" width="11.42578125" style="1697"/>
    <col min="769" max="769" width="4.5703125" style="1697" customWidth="1"/>
    <col min="770" max="770" width="10.42578125" style="1697" customWidth="1"/>
    <col min="771" max="775" width="11.42578125" style="1697"/>
    <col min="776" max="776" width="11.140625" style="1697" customWidth="1"/>
    <col min="777" max="1024" width="11.42578125" style="1697"/>
    <col min="1025" max="1025" width="4.5703125" style="1697" customWidth="1"/>
    <col min="1026" max="1026" width="10.42578125" style="1697" customWidth="1"/>
    <col min="1027" max="1031" width="11.42578125" style="1697"/>
    <col min="1032" max="1032" width="11.140625" style="1697" customWidth="1"/>
    <col min="1033" max="1280" width="11.42578125" style="1697"/>
    <col min="1281" max="1281" width="4.5703125" style="1697" customWidth="1"/>
    <col min="1282" max="1282" width="10.42578125" style="1697" customWidth="1"/>
    <col min="1283" max="1287" width="11.42578125" style="1697"/>
    <col min="1288" max="1288" width="11.140625" style="1697" customWidth="1"/>
    <col min="1289" max="1536" width="11.42578125" style="1697"/>
    <col min="1537" max="1537" width="4.5703125" style="1697" customWidth="1"/>
    <col min="1538" max="1538" width="10.42578125" style="1697" customWidth="1"/>
    <col min="1539" max="1543" width="11.42578125" style="1697"/>
    <col min="1544" max="1544" width="11.140625" style="1697" customWidth="1"/>
    <col min="1545" max="1792" width="11.42578125" style="1697"/>
    <col min="1793" max="1793" width="4.5703125" style="1697" customWidth="1"/>
    <col min="1794" max="1794" width="10.42578125" style="1697" customWidth="1"/>
    <col min="1795" max="1799" width="11.42578125" style="1697"/>
    <col min="1800" max="1800" width="11.140625" style="1697" customWidth="1"/>
    <col min="1801" max="2048" width="11.42578125" style="1697"/>
    <col min="2049" max="2049" width="4.5703125" style="1697" customWidth="1"/>
    <col min="2050" max="2050" width="10.42578125" style="1697" customWidth="1"/>
    <col min="2051" max="2055" width="11.42578125" style="1697"/>
    <col min="2056" max="2056" width="11.140625" style="1697" customWidth="1"/>
    <col min="2057" max="2304" width="11.42578125" style="1697"/>
    <col min="2305" max="2305" width="4.5703125" style="1697" customWidth="1"/>
    <col min="2306" max="2306" width="10.42578125" style="1697" customWidth="1"/>
    <col min="2307" max="2311" width="11.42578125" style="1697"/>
    <col min="2312" max="2312" width="11.140625" style="1697" customWidth="1"/>
    <col min="2313" max="2560" width="11.42578125" style="1697"/>
    <col min="2561" max="2561" width="4.5703125" style="1697" customWidth="1"/>
    <col min="2562" max="2562" width="10.42578125" style="1697" customWidth="1"/>
    <col min="2563" max="2567" width="11.42578125" style="1697"/>
    <col min="2568" max="2568" width="11.140625" style="1697" customWidth="1"/>
    <col min="2569" max="2816" width="11.42578125" style="1697"/>
    <col min="2817" max="2817" width="4.5703125" style="1697" customWidth="1"/>
    <col min="2818" max="2818" width="10.42578125" style="1697" customWidth="1"/>
    <col min="2819" max="2823" width="11.42578125" style="1697"/>
    <col min="2824" max="2824" width="11.140625" style="1697" customWidth="1"/>
    <col min="2825" max="3072" width="11.42578125" style="1697"/>
    <col min="3073" max="3073" width="4.5703125" style="1697" customWidth="1"/>
    <col min="3074" max="3074" width="10.42578125" style="1697" customWidth="1"/>
    <col min="3075" max="3079" width="11.42578125" style="1697"/>
    <col min="3080" max="3080" width="11.140625" style="1697" customWidth="1"/>
    <col min="3081" max="3328" width="11.42578125" style="1697"/>
    <col min="3329" max="3329" width="4.5703125" style="1697" customWidth="1"/>
    <col min="3330" max="3330" width="10.42578125" style="1697" customWidth="1"/>
    <col min="3331" max="3335" width="11.42578125" style="1697"/>
    <col min="3336" max="3336" width="11.140625" style="1697" customWidth="1"/>
    <col min="3337" max="3584" width="11.42578125" style="1697"/>
    <col min="3585" max="3585" width="4.5703125" style="1697" customWidth="1"/>
    <col min="3586" max="3586" width="10.42578125" style="1697" customWidth="1"/>
    <col min="3587" max="3591" width="11.42578125" style="1697"/>
    <col min="3592" max="3592" width="11.140625" style="1697" customWidth="1"/>
    <col min="3593" max="3840" width="11.42578125" style="1697"/>
    <col min="3841" max="3841" width="4.5703125" style="1697" customWidth="1"/>
    <col min="3842" max="3842" width="10.42578125" style="1697" customWidth="1"/>
    <col min="3843" max="3847" width="11.42578125" style="1697"/>
    <col min="3848" max="3848" width="11.140625" style="1697" customWidth="1"/>
    <col min="3849" max="4096" width="11.42578125" style="1697"/>
    <col min="4097" max="4097" width="4.5703125" style="1697" customWidth="1"/>
    <col min="4098" max="4098" width="10.42578125" style="1697" customWidth="1"/>
    <col min="4099" max="4103" width="11.42578125" style="1697"/>
    <col min="4104" max="4104" width="11.140625" style="1697" customWidth="1"/>
    <col min="4105" max="4352" width="11.42578125" style="1697"/>
    <col min="4353" max="4353" width="4.5703125" style="1697" customWidth="1"/>
    <col min="4354" max="4354" width="10.42578125" style="1697" customWidth="1"/>
    <col min="4355" max="4359" width="11.42578125" style="1697"/>
    <col min="4360" max="4360" width="11.140625" style="1697" customWidth="1"/>
    <col min="4361" max="4608" width="11.42578125" style="1697"/>
    <col min="4609" max="4609" width="4.5703125" style="1697" customWidth="1"/>
    <col min="4610" max="4610" width="10.42578125" style="1697" customWidth="1"/>
    <col min="4611" max="4615" width="11.42578125" style="1697"/>
    <col min="4616" max="4616" width="11.140625" style="1697" customWidth="1"/>
    <col min="4617" max="4864" width="11.42578125" style="1697"/>
    <col min="4865" max="4865" width="4.5703125" style="1697" customWidth="1"/>
    <col min="4866" max="4866" width="10.42578125" style="1697" customWidth="1"/>
    <col min="4867" max="4871" width="11.42578125" style="1697"/>
    <col min="4872" max="4872" width="11.140625" style="1697" customWidth="1"/>
    <col min="4873" max="5120" width="11.42578125" style="1697"/>
    <col min="5121" max="5121" width="4.5703125" style="1697" customWidth="1"/>
    <col min="5122" max="5122" width="10.42578125" style="1697" customWidth="1"/>
    <col min="5123" max="5127" width="11.42578125" style="1697"/>
    <col min="5128" max="5128" width="11.140625" style="1697" customWidth="1"/>
    <col min="5129" max="5376" width="11.42578125" style="1697"/>
    <col min="5377" max="5377" width="4.5703125" style="1697" customWidth="1"/>
    <col min="5378" max="5378" width="10.42578125" style="1697" customWidth="1"/>
    <col min="5379" max="5383" width="11.42578125" style="1697"/>
    <col min="5384" max="5384" width="11.140625" style="1697" customWidth="1"/>
    <col min="5385" max="5632" width="11.42578125" style="1697"/>
    <col min="5633" max="5633" width="4.5703125" style="1697" customWidth="1"/>
    <col min="5634" max="5634" width="10.42578125" style="1697" customWidth="1"/>
    <col min="5635" max="5639" width="11.42578125" style="1697"/>
    <col min="5640" max="5640" width="11.140625" style="1697" customWidth="1"/>
    <col min="5641" max="5888" width="11.42578125" style="1697"/>
    <col min="5889" max="5889" width="4.5703125" style="1697" customWidth="1"/>
    <col min="5890" max="5890" width="10.42578125" style="1697" customWidth="1"/>
    <col min="5891" max="5895" width="11.42578125" style="1697"/>
    <col min="5896" max="5896" width="11.140625" style="1697" customWidth="1"/>
    <col min="5897" max="6144" width="11.42578125" style="1697"/>
    <col min="6145" max="6145" width="4.5703125" style="1697" customWidth="1"/>
    <col min="6146" max="6146" width="10.42578125" style="1697" customWidth="1"/>
    <col min="6147" max="6151" width="11.42578125" style="1697"/>
    <col min="6152" max="6152" width="11.140625" style="1697" customWidth="1"/>
    <col min="6153" max="6400" width="11.42578125" style="1697"/>
    <col min="6401" max="6401" width="4.5703125" style="1697" customWidth="1"/>
    <col min="6402" max="6402" width="10.42578125" style="1697" customWidth="1"/>
    <col min="6403" max="6407" width="11.42578125" style="1697"/>
    <col min="6408" max="6408" width="11.140625" style="1697" customWidth="1"/>
    <col min="6409" max="6656" width="11.42578125" style="1697"/>
    <col min="6657" max="6657" width="4.5703125" style="1697" customWidth="1"/>
    <col min="6658" max="6658" width="10.42578125" style="1697" customWidth="1"/>
    <col min="6659" max="6663" width="11.42578125" style="1697"/>
    <col min="6664" max="6664" width="11.140625" style="1697" customWidth="1"/>
    <col min="6665" max="6912" width="11.42578125" style="1697"/>
    <col min="6913" max="6913" width="4.5703125" style="1697" customWidth="1"/>
    <col min="6914" max="6914" width="10.42578125" style="1697" customWidth="1"/>
    <col min="6915" max="6919" width="11.42578125" style="1697"/>
    <col min="6920" max="6920" width="11.140625" style="1697" customWidth="1"/>
    <col min="6921" max="7168" width="11.42578125" style="1697"/>
    <col min="7169" max="7169" width="4.5703125" style="1697" customWidth="1"/>
    <col min="7170" max="7170" width="10.42578125" style="1697" customWidth="1"/>
    <col min="7171" max="7175" width="11.42578125" style="1697"/>
    <col min="7176" max="7176" width="11.140625" style="1697" customWidth="1"/>
    <col min="7177" max="7424" width="11.42578125" style="1697"/>
    <col min="7425" max="7425" width="4.5703125" style="1697" customWidth="1"/>
    <col min="7426" max="7426" width="10.42578125" style="1697" customWidth="1"/>
    <col min="7427" max="7431" width="11.42578125" style="1697"/>
    <col min="7432" max="7432" width="11.140625" style="1697" customWidth="1"/>
    <col min="7433" max="7680" width="11.42578125" style="1697"/>
    <col min="7681" max="7681" width="4.5703125" style="1697" customWidth="1"/>
    <col min="7682" max="7682" width="10.42578125" style="1697" customWidth="1"/>
    <col min="7683" max="7687" width="11.42578125" style="1697"/>
    <col min="7688" max="7688" width="11.140625" style="1697" customWidth="1"/>
    <col min="7689" max="7936" width="11.42578125" style="1697"/>
    <col min="7937" max="7937" width="4.5703125" style="1697" customWidth="1"/>
    <col min="7938" max="7938" width="10.42578125" style="1697" customWidth="1"/>
    <col min="7939" max="7943" width="11.42578125" style="1697"/>
    <col min="7944" max="7944" width="11.140625" style="1697" customWidth="1"/>
    <col min="7945" max="8192" width="11.42578125" style="1697"/>
    <col min="8193" max="8193" width="4.5703125" style="1697" customWidth="1"/>
    <col min="8194" max="8194" width="10.42578125" style="1697" customWidth="1"/>
    <col min="8195" max="8199" width="11.42578125" style="1697"/>
    <col min="8200" max="8200" width="11.140625" style="1697" customWidth="1"/>
    <col min="8201" max="8448" width="11.42578125" style="1697"/>
    <col min="8449" max="8449" width="4.5703125" style="1697" customWidth="1"/>
    <col min="8450" max="8450" width="10.42578125" style="1697" customWidth="1"/>
    <col min="8451" max="8455" width="11.42578125" style="1697"/>
    <col min="8456" max="8456" width="11.140625" style="1697" customWidth="1"/>
    <col min="8457" max="8704" width="11.42578125" style="1697"/>
    <col min="8705" max="8705" width="4.5703125" style="1697" customWidth="1"/>
    <col min="8706" max="8706" width="10.42578125" style="1697" customWidth="1"/>
    <col min="8707" max="8711" width="11.42578125" style="1697"/>
    <col min="8712" max="8712" width="11.140625" style="1697" customWidth="1"/>
    <col min="8713" max="8960" width="11.42578125" style="1697"/>
    <col min="8961" max="8961" width="4.5703125" style="1697" customWidth="1"/>
    <col min="8962" max="8962" width="10.42578125" style="1697" customWidth="1"/>
    <col min="8963" max="8967" width="11.42578125" style="1697"/>
    <col min="8968" max="8968" width="11.140625" style="1697" customWidth="1"/>
    <col min="8969" max="9216" width="11.42578125" style="1697"/>
    <col min="9217" max="9217" width="4.5703125" style="1697" customWidth="1"/>
    <col min="9218" max="9218" width="10.42578125" style="1697" customWidth="1"/>
    <col min="9219" max="9223" width="11.42578125" style="1697"/>
    <col min="9224" max="9224" width="11.140625" style="1697" customWidth="1"/>
    <col min="9225" max="9472" width="11.42578125" style="1697"/>
    <col min="9473" max="9473" width="4.5703125" style="1697" customWidth="1"/>
    <col min="9474" max="9474" width="10.42578125" style="1697" customWidth="1"/>
    <col min="9475" max="9479" width="11.42578125" style="1697"/>
    <col min="9480" max="9480" width="11.140625" style="1697" customWidth="1"/>
    <col min="9481" max="9728" width="11.42578125" style="1697"/>
    <col min="9729" max="9729" width="4.5703125" style="1697" customWidth="1"/>
    <col min="9730" max="9730" width="10.42578125" style="1697" customWidth="1"/>
    <col min="9731" max="9735" width="11.42578125" style="1697"/>
    <col min="9736" max="9736" width="11.140625" style="1697" customWidth="1"/>
    <col min="9737" max="9984" width="11.42578125" style="1697"/>
    <col min="9985" max="9985" width="4.5703125" style="1697" customWidth="1"/>
    <col min="9986" max="9986" width="10.42578125" style="1697" customWidth="1"/>
    <col min="9987" max="9991" width="11.42578125" style="1697"/>
    <col min="9992" max="9992" width="11.140625" style="1697" customWidth="1"/>
    <col min="9993" max="10240" width="11.42578125" style="1697"/>
    <col min="10241" max="10241" width="4.5703125" style="1697" customWidth="1"/>
    <col min="10242" max="10242" width="10.42578125" style="1697" customWidth="1"/>
    <col min="10243" max="10247" width="11.42578125" style="1697"/>
    <col min="10248" max="10248" width="11.140625" style="1697" customWidth="1"/>
    <col min="10249" max="10496" width="11.42578125" style="1697"/>
    <col min="10497" max="10497" width="4.5703125" style="1697" customWidth="1"/>
    <col min="10498" max="10498" width="10.42578125" style="1697" customWidth="1"/>
    <col min="10499" max="10503" width="11.42578125" style="1697"/>
    <col min="10504" max="10504" width="11.140625" style="1697" customWidth="1"/>
    <col min="10505" max="10752" width="11.42578125" style="1697"/>
    <col min="10753" max="10753" width="4.5703125" style="1697" customWidth="1"/>
    <col min="10754" max="10754" width="10.42578125" style="1697" customWidth="1"/>
    <col min="10755" max="10759" width="11.42578125" style="1697"/>
    <col min="10760" max="10760" width="11.140625" style="1697" customWidth="1"/>
    <col min="10761" max="11008" width="11.42578125" style="1697"/>
    <col min="11009" max="11009" width="4.5703125" style="1697" customWidth="1"/>
    <col min="11010" max="11010" width="10.42578125" style="1697" customWidth="1"/>
    <col min="11011" max="11015" width="11.42578125" style="1697"/>
    <col min="11016" max="11016" width="11.140625" style="1697" customWidth="1"/>
    <col min="11017" max="11264" width="11.42578125" style="1697"/>
    <col min="11265" max="11265" width="4.5703125" style="1697" customWidth="1"/>
    <col min="11266" max="11266" width="10.42578125" style="1697" customWidth="1"/>
    <col min="11267" max="11271" width="11.42578125" style="1697"/>
    <col min="11272" max="11272" width="11.140625" style="1697" customWidth="1"/>
    <col min="11273" max="11520" width="11.42578125" style="1697"/>
    <col min="11521" max="11521" width="4.5703125" style="1697" customWidth="1"/>
    <col min="11522" max="11522" width="10.42578125" style="1697" customWidth="1"/>
    <col min="11523" max="11527" width="11.42578125" style="1697"/>
    <col min="11528" max="11528" width="11.140625" style="1697" customWidth="1"/>
    <col min="11529" max="11776" width="11.42578125" style="1697"/>
    <col min="11777" max="11777" width="4.5703125" style="1697" customWidth="1"/>
    <col min="11778" max="11778" width="10.42578125" style="1697" customWidth="1"/>
    <col min="11779" max="11783" width="11.42578125" style="1697"/>
    <col min="11784" max="11784" width="11.140625" style="1697" customWidth="1"/>
    <col min="11785" max="12032" width="11.42578125" style="1697"/>
    <col min="12033" max="12033" width="4.5703125" style="1697" customWidth="1"/>
    <col min="12034" max="12034" width="10.42578125" style="1697" customWidth="1"/>
    <col min="12035" max="12039" width="11.42578125" style="1697"/>
    <col min="12040" max="12040" width="11.140625" style="1697" customWidth="1"/>
    <col min="12041" max="12288" width="11.42578125" style="1697"/>
    <col min="12289" max="12289" width="4.5703125" style="1697" customWidth="1"/>
    <col min="12290" max="12290" width="10.42578125" style="1697" customWidth="1"/>
    <col min="12291" max="12295" width="11.42578125" style="1697"/>
    <col min="12296" max="12296" width="11.140625" style="1697" customWidth="1"/>
    <col min="12297" max="12544" width="11.42578125" style="1697"/>
    <col min="12545" max="12545" width="4.5703125" style="1697" customWidth="1"/>
    <col min="12546" max="12546" width="10.42578125" style="1697" customWidth="1"/>
    <col min="12547" max="12551" width="11.42578125" style="1697"/>
    <col min="12552" max="12552" width="11.140625" style="1697" customWidth="1"/>
    <col min="12553" max="12800" width="11.42578125" style="1697"/>
    <col min="12801" max="12801" width="4.5703125" style="1697" customWidth="1"/>
    <col min="12802" max="12802" width="10.42578125" style="1697" customWidth="1"/>
    <col min="12803" max="12807" width="11.42578125" style="1697"/>
    <col min="12808" max="12808" width="11.140625" style="1697" customWidth="1"/>
    <col min="12809" max="13056" width="11.42578125" style="1697"/>
    <col min="13057" max="13057" width="4.5703125" style="1697" customWidth="1"/>
    <col min="13058" max="13058" width="10.42578125" style="1697" customWidth="1"/>
    <col min="13059" max="13063" width="11.42578125" style="1697"/>
    <col min="13064" max="13064" width="11.140625" style="1697" customWidth="1"/>
    <col min="13065" max="13312" width="11.42578125" style="1697"/>
    <col min="13313" max="13313" width="4.5703125" style="1697" customWidth="1"/>
    <col min="13314" max="13314" width="10.42578125" style="1697" customWidth="1"/>
    <col min="13315" max="13319" width="11.42578125" style="1697"/>
    <col min="13320" max="13320" width="11.140625" style="1697" customWidth="1"/>
    <col min="13321" max="13568" width="11.42578125" style="1697"/>
    <col min="13569" max="13569" width="4.5703125" style="1697" customWidth="1"/>
    <col min="13570" max="13570" width="10.42578125" style="1697" customWidth="1"/>
    <col min="13571" max="13575" width="11.42578125" style="1697"/>
    <col min="13576" max="13576" width="11.140625" style="1697" customWidth="1"/>
    <col min="13577" max="13824" width="11.42578125" style="1697"/>
    <col min="13825" max="13825" width="4.5703125" style="1697" customWidth="1"/>
    <col min="13826" max="13826" width="10.42578125" style="1697" customWidth="1"/>
    <col min="13827" max="13831" width="11.42578125" style="1697"/>
    <col min="13832" max="13832" width="11.140625" style="1697" customWidth="1"/>
    <col min="13833" max="14080" width="11.42578125" style="1697"/>
    <col min="14081" max="14081" width="4.5703125" style="1697" customWidth="1"/>
    <col min="14082" max="14082" width="10.42578125" style="1697" customWidth="1"/>
    <col min="14083" max="14087" width="11.42578125" style="1697"/>
    <col min="14088" max="14088" width="11.140625" style="1697" customWidth="1"/>
    <col min="14089" max="14336" width="11.42578125" style="1697"/>
    <col min="14337" max="14337" width="4.5703125" style="1697" customWidth="1"/>
    <col min="14338" max="14338" width="10.42578125" style="1697" customWidth="1"/>
    <col min="14339" max="14343" width="11.42578125" style="1697"/>
    <col min="14344" max="14344" width="11.140625" style="1697" customWidth="1"/>
    <col min="14345" max="14592" width="11.42578125" style="1697"/>
    <col min="14593" max="14593" width="4.5703125" style="1697" customWidth="1"/>
    <col min="14594" max="14594" width="10.42578125" style="1697" customWidth="1"/>
    <col min="14595" max="14599" width="11.42578125" style="1697"/>
    <col min="14600" max="14600" width="11.140625" style="1697" customWidth="1"/>
    <col min="14601" max="14848" width="11.42578125" style="1697"/>
    <col min="14849" max="14849" width="4.5703125" style="1697" customWidth="1"/>
    <col min="14850" max="14850" width="10.42578125" style="1697" customWidth="1"/>
    <col min="14851" max="14855" width="11.42578125" style="1697"/>
    <col min="14856" max="14856" width="11.140625" style="1697" customWidth="1"/>
    <col min="14857" max="15104" width="11.42578125" style="1697"/>
    <col min="15105" max="15105" width="4.5703125" style="1697" customWidth="1"/>
    <col min="15106" max="15106" width="10.42578125" style="1697" customWidth="1"/>
    <col min="15107" max="15111" width="11.42578125" style="1697"/>
    <col min="15112" max="15112" width="11.140625" style="1697" customWidth="1"/>
    <col min="15113" max="15360" width="11.42578125" style="1697"/>
    <col min="15361" max="15361" width="4.5703125" style="1697" customWidth="1"/>
    <col min="15362" max="15362" width="10.42578125" style="1697" customWidth="1"/>
    <col min="15363" max="15367" width="11.42578125" style="1697"/>
    <col min="15368" max="15368" width="11.140625" style="1697" customWidth="1"/>
    <col min="15369" max="15616" width="11.42578125" style="1697"/>
    <col min="15617" max="15617" width="4.5703125" style="1697" customWidth="1"/>
    <col min="15618" max="15618" width="10.42578125" style="1697" customWidth="1"/>
    <col min="15619" max="15623" width="11.42578125" style="1697"/>
    <col min="15624" max="15624" width="11.140625" style="1697" customWidth="1"/>
    <col min="15625" max="15872" width="11.42578125" style="1697"/>
    <col min="15873" max="15873" width="4.5703125" style="1697" customWidth="1"/>
    <col min="15874" max="15874" width="10.42578125" style="1697" customWidth="1"/>
    <col min="15875" max="15879" width="11.42578125" style="1697"/>
    <col min="15880" max="15880" width="11.140625" style="1697" customWidth="1"/>
    <col min="15881" max="16128" width="11.42578125" style="1697"/>
    <col min="16129" max="16129" width="4.5703125" style="1697" customWidth="1"/>
    <col min="16130" max="16130" width="10.42578125" style="1697" customWidth="1"/>
    <col min="16131" max="16135" width="11.42578125" style="1697"/>
    <col min="16136" max="16136" width="11.140625" style="1697" customWidth="1"/>
    <col min="16137" max="16384" width="11.42578125" style="1697"/>
  </cols>
  <sheetData>
    <row r="1" spans="1:17" s="988" customFormat="1" ht="15.75" thickBot="1">
      <c r="A1" s="2104">
        <f t="shared" ref="A1:Q1" ca="1" si="0">CELL("largeur",A1)</f>
        <v>4</v>
      </c>
      <c r="B1" s="2104">
        <f t="shared" ca="1" si="0"/>
        <v>10</v>
      </c>
      <c r="C1" s="2104">
        <f t="shared" ca="1" si="0"/>
        <v>11</v>
      </c>
      <c r="D1" s="2104">
        <f t="shared" ca="1" si="0"/>
        <v>11</v>
      </c>
      <c r="E1" s="2104">
        <f t="shared" ca="1" si="0"/>
        <v>11</v>
      </c>
      <c r="F1" s="2104">
        <f t="shared" ca="1" si="0"/>
        <v>11</v>
      </c>
      <c r="G1" s="2104">
        <f t="shared" ca="1" si="0"/>
        <v>11</v>
      </c>
      <c r="H1" s="2104">
        <f t="shared" ca="1" si="0"/>
        <v>10</v>
      </c>
      <c r="I1" s="2104">
        <f t="shared" ca="1" si="0"/>
        <v>11</v>
      </c>
      <c r="J1" s="2104">
        <f t="shared" ca="1" si="0"/>
        <v>11</v>
      </c>
      <c r="K1" s="2104">
        <f t="shared" ca="1" si="0"/>
        <v>11</v>
      </c>
      <c r="L1" s="2104">
        <f t="shared" ca="1" si="0"/>
        <v>11</v>
      </c>
      <c r="M1" s="2104">
        <f t="shared" ca="1" si="0"/>
        <v>11</v>
      </c>
      <c r="N1" s="2104">
        <f t="shared" ca="1" si="0"/>
        <v>11</v>
      </c>
      <c r="O1" s="2104">
        <f t="shared" ca="1" si="0"/>
        <v>11</v>
      </c>
      <c r="P1" s="2104">
        <f t="shared" ca="1" si="0"/>
        <v>11</v>
      </c>
      <c r="Q1" s="2104">
        <f t="shared" ca="1" si="0"/>
        <v>11</v>
      </c>
    </row>
    <row r="2" spans="1:17" s="987" customFormat="1" ht="34.5" customHeight="1">
      <c r="A2" s="1106"/>
      <c r="B2" s="4372" t="s">
        <v>1126</v>
      </c>
      <c r="C2" s="4373"/>
      <c r="D2" s="4373"/>
      <c r="E2" s="4373"/>
      <c r="F2" s="4373"/>
      <c r="G2" s="4373"/>
      <c r="H2" s="4373"/>
      <c r="I2" s="4373"/>
      <c r="J2" s="4373"/>
      <c r="K2" s="4373"/>
      <c r="L2" s="4373"/>
      <c r="M2" s="4373"/>
      <c r="N2" s="4373"/>
      <c r="O2" s="4373"/>
      <c r="P2" s="4373"/>
      <c r="Q2" s="4374"/>
    </row>
    <row r="3" spans="1:17" s="987" customFormat="1" ht="34.5" customHeight="1">
      <c r="A3" s="1106"/>
      <c r="B3" s="4375" t="s">
        <v>1125</v>
      </c>
      <c r="C3" s="4376"/>
      <c r="D3" s="4376"/>
      <c r="E3" s="4376"/>
      <c r="F3" s="4376"/>
      <c r="G3" s="4376"/>
      <c r="H3" s="4376"/>
      <c r="I3" s="4376"/>
      <c r="J3" s="4376"/>
      <c r="K3" s="4376"/>
      <c r="L3" s="4376"/>
      <c r="M3" s="4376"/>
      <c r="N3" s="4376"/>
      <c r="O3" s="4376"/>
      <c r="P3" s="4376"/>
      <c r="Q3" s="4377"/>
    </row>
    <row r="4" spans="1:17" s="987" customFormat="1" ht="34.5" customHeight="1">
      <c r="A4" s="1106"/>
      <c r="B4" s="4375" t="s">
        <v>1124</v>
      </c>
      <c r="C4" s="4376"/>
      <c r="D4" s="4376"/>
      <c r="E4" s="4376"/>
      <c r="F4" s="4376"/>
      <c r="G4" s="4376"/>
      <c r="H4" s="4376"/>
      <c r="I4" s="4376"/>
      <c r="J4" s="4376"/>
      <c r="K4" s="4376"/>
      <c r="L4" s="4376"/>
      <c r="M4" s="4376"/>
      <c r="N4" s="4376"/>
      <c r="O4" s="4376"/>
      <c r="P4" s="4376"/>
      <c r="Q4" s="4377"/>
    </row>
    <row r="5" spans="1:17" s="987" customFormat="1" ht="34.5" customHeight="1" thickBot="1">
      <c r="A5" s="1106"/>
      <c r="B5" s="4378" t="s">
        <v>1123</v>
      </c>
      <c r="C5" s="4379"/>
      <c r="D5" s="4379"/>
      <c r="E5" s="4379"/>
      <c r="F5" s="4379"/>
      <c r="G5" s="4379"/>
      <c r="H5" s="4379"/>
      <c r="I5" s="4379"/>
      <c r="J5" s="4379"/>
      <c r="K5" s="4379"/>
      <c r="L5" s="4379"/>
      <c r="M5" s="4379"/>
      <c r="N5" s="4379"/>
      <c r="O5" s="4379"/>
      <c r="P5" s="4379"/>
      <c r="Q5" s="4380"/>
    </row>
    <row r="6" spans="1:17" ht="18.600000000000001" customHeight="1">
      <c r="A6" s="1719"/>
      <c r="B6" s="1106"/>
      <c r="C6" s="2103"/>
      <c r="D6" s="1106"/>
      <c r="E6" s="1106"/>
      <c r="F6" s="1106"/>
      <c r="G6" s="1106"/>
      <c r="H6" s="1106"/>
      <c r="I6" s="1106"/>
      <c r="J6" s="1106"/>
      <c r="K6" s="1106"/>
      <c r="L6" s="1106"/>
      <c r="M6" s="1719"/>
      <c r="N6" s="1719"/>
      <c r="O6" s="1719"/>
      <c r="P6" s="1719"/>
      <c r="Q6" s="1719"/>
    </row>
    <row r="7" spans="1:17" ht="18.600000000000001" customHeight="1" thickBot="1">
      <c r="A7" s="1719"/>
      <c r="B7" s="1106"/>
      <c r="C7" s="2067"/>
      <c r="D7" s="1106"/>
      <c r="E7" s="1106"/>
      <c r="F7" s="1106"/>
      <c r="G7" s="1106"/>
      <c r="H7" s="1106"/>
      <c r="I7" s="1106"/>
      <c r="J7" s="1106"/>
      <c r="K7" s="1106"/>
      <c r="L7" s="1106"/>
      <c r="M7" s="1719"/>
      <c r="N7" s="1719"/>
      <c r="O7" s="1719"/>
      <c r="P7" s="1719"/>
      <c r="Q7" s="1719"/>
    </row>
    <row r="8" spans="1:17" s="988" customFormat="1" ht="16.5" thickBot="1">
      <c r="A8" s="1719"/>
      <c r="B8" s="4381" t="s">
        <v>1122</v>
      </c>
      <c r="C8" s="4382"/>
      <c r="D8" s="4382"/>
      <c r="E8" s="4382"/>
      <c r="F8" s="4382"/>
      <c r="G8" s="4382"/>
      <c r="H8" s="4382"/>
      <c r="I8" s="4382"/>
      <c r="J8" s="4382"/>
      <c r="K8" s="4382"/>
      <c r="L8" s="4382"/>
      <c r="M8" s="4382"/>
      <c r="N8" s="4382"/>
      <c r="O8" s="4382"/>
      <c r="P8" s="4382"/>
      <c r="Q8" s="4383"/>
    </row>
    <row r="9" spans="1:17" s="988" customFormat="1">
      <c r="A9" s="1719"/>
      <c r="B9" s="2102"/>
      <c r="C9" s="1106"/>
      <c r="D9" s="1106"/>
      <c r="E9" s="1106"/>
      <c r="F9" s="1106"/>
      <c r="G9" s="1106"/>
      <c r="H9" s="1106"/>
      <c r="I9" s="1106"/>
      <c r="J9" s="1106"/>
      <c r="K9" s="1106"/>
      <c r="L9" s="1106"/>
      <c r="M9" s="1719"/>
      <c r="N9" s="1719"/>
      <c r="O9" s="1719"/>
      <c r="P9" s="1719"/>
      <c r="Q9" s="1719"/>
    </row>
    <row r="10" spans="1:17" s="988" customFormat="1">
      <c r="A10" s="1719"/>
      <c r="B10" s="1106"/>
      <c r="C10" s="2097" t="s">
        <v>1121</v>
      </c>
      <c r="D10" s="2066"/>
      <c r="E10" s="2066"/>
      <c r="F10" s="1106"/>
      <c r="G10" s="1106"/>
      <c r="H10" s="1106"/>
      <c r="I10" s="1106"/>
      <c r="J10" s="1106"/>
      <c r="K10" s="1106"/>
      <c r="L10" s="1106"/>
      <c r="M10" s="1719"/>
      <c r="N10" s="1719"/>
      <c r="O10" s="1719"/>
      <c r="P10" s="1719"/>
      <c r="Q10" s="1719"/>
    </row>
    <row r="11" spans="1:17" s="988" customFormat="1" ht="16.5" customHeight="1">
      <c r="A11" s="1719"/>
      <c r="B11" s="1106"/>
      <c r="C11" s="2100"/>
      <c r="D11" s="2099">
        <v>0.4</v>
      </c>
      <c r="E11" s="471" t="s">
        <v>690</v>
      </c>
      <c r="F11" s="1106"/>
      <c r="G11" s="1106"/>
      <c r="H11" s="1106"/>
      <c r="I11" s="1106"/>
      <c r="J11" s="1106"/>
      <c r="K11" s="1106"/>
      <c r="L11" s="1106"/>
      <c r="M11" s="1719"/>
      <c r="N11" s="1719"/>
      <c r="O11" s="1719"/>
      <c r="P11" s="1719"/>
      <c r="Q11" s="1719"/>
    </row>
    <row r="12" spans="1:17" s="988" customFormat="1" ht="15.75" customHeight="1">
      <c r="A12" s="1719"/>
      <c r="B12" s="1106"/>
      <c r="C12" s="2097"/>
      <c r="D12" s="2066"/>
      <c r="E12" s="2066"/>
      <c r="F12" s="1106"/>
      <c r="G12" s="1106"/>
      <c r="H12" s="1106"/>
      <c r="I12" s="1106"/>
      <c r="J12" s="1106"/>
      <c r="K12" s="1106"/>
      <c r="L12" s="1106"/>
      <c r="M12" s="1719"/>
      <c r="N12" s="1719"/>
      <c r="O12" s="1719"/>
      <c r="P12" s="1719"/>
      <c r="Q12" s="1719"/>
    </row>
    <row r="13" spans="1:17" s="988" customFormat="1" ht="15" customHeight="1">
      <c r="A13" s="1719"/>
      <c r="B13" s="1106"/>
      <c r="C13" s="2068" t="s">
        <v>1120</v>
      </c>
      <c r="D13" s="2068"/>
      <c r="E13" s="2068"/>
      <c r="F13" s="2101"/>
      <c r="G13" s="2101"/>
      <c r="H13" s="2101"/>
      <c r="I13" s="2101"/>
      <c r="J13" s="1106"/>
      <c r="K13" s="1106"/>
      <c r="L13" s="1106"/>
      <c r="M13" s="1719"/>
      <c r="N13" s="1719"/>
      <c r="O13" s="1719"/>
      <c r="P13" s="1719"/>
      <c r="Q13" s="1719"/>
    </row>
    <row r="14" spans="1:17" s="988" customFormat="1" ht="15" customHeight="1">
      <c r="A14" s="1719"/>
      <c r="B14" s="1106"/>
      <c r="C14" s="2066" t="s">
        <v>1119</v>
      </c>
      <c r="D14" s="2066"/>
      <c r="E14" s="2066"/>
      <c r="F14" s="1106"/>
      <c r="G14" s="1106"/>
      <c r="H14" s="1106"/>
      <c r="I14" s="1106"/>
      <c r="J14" s="1106"/>
      <c r="K14" s="1106"/>
      <c r="L14" s="1106"/>
      <c r="M14" s="1719"/>
      <c r="N14" s="1719"/>
      <c r="O14" s="1719"/>
      <c r="P14" s="1719"/>
      <c r="Q14" s="1719"/>
    </row>
    <row r="15" spans="1:17" s="988" customFormat="1" ht="15" customHeight="1">
      <c r="A15" s="1719"/>
      <c r="B15" s="1106"/>
      <c r="C15" s="2066" t="s">
        <v>1118</v>
      </c>
      <c r="D15" s="2066"/>
      <c r="E15" s="2066"/>
      <c r="F15" s="1106"/>
      <c r="G15" s="1106"/>
      <c r="H15" s="1106"/>
      <c r="I15" s="1106"/>
      <c r="J15" s="1106"/>
      <c r="K15" s="1106"/>
      <c r="L15" s="1106"/>
      <c r="M15" s="1719"/>
      <c r="N15" s="1719"/>
      <c r="O15" s="1719"/>
      <c r="P15" s="1719"/>
      <c r="Q15" s="1719"/>
    </row>
    <row r="16" spans="1:17" s="988" customFormat="1" ht="15.75" customHeight="1">
      <c r="A16" s="1719"/>
      <c r="B16" s="1106"/>
      <c r="C16" s="2100">
        <v>2</v>
      </c>
      <c r="D16" s="2099"/>
      <c r="E16" s="461" t="s">
        <v>1116</v>
      </c>
      <c r="F16" s="1106"/>
      <c r="G16" s="1106"/>
      <c r="H16" s="1106"/>
      <c r="I16" s="1106"/>
      <c r="J16" s="1106"/>
      <c r="K16" s="1106"/>
      <c r="L16" s="1106"/>
      <c r="M16" s="1719"/>
      <c r="N16" s="1719"/>
      <c r="O16" s="1719"/>
      <c r="P16" s="1719"/>
      <c r="Q16" s="1719"/>
    </row>
    <row r="17" spans="1:17" s="988" customFormat="1" ht="15.75" customHeight="1">
      <c r="A17" s="1719"/>
      <c r="B17" s="1106"/>
      <c r="C17" s="2066"/>
      <c r="D17" s="2066"/>
      <c r="E17" s="2066"/>
      <c r="F17" s="1106"/>
      <c r="G17" s="1106"/>
      <c r="H17" s="1106"/>
      <c r="I17" s="1106"/>
      <c r="J17" s="1106"/>
      <c r="K17" s="1106"/>
      <c r="L17" s="1106"/>
      <c r="M17" s="1719"/>
      <c r="N17" s="1719"/>
      <c r="O17" s="1719"/>
      <c r="P17" s="1719"/>
      <c r="Q17" s="1719"/>
    </row>
    <row r="18" spans="1:17" s="988" customFormat="1" ht="16.5" customHeight="1">
      <c r="A18" s="1719"/>
      <c r="B18" s="1106"/>
      <c r="C18" s="2066" t="s">
        <v>1117</v>
      </c>
      <c r="D18" s="2066"/>
      <c r="E18" s="2066"/>
      <c r="F18" s="1106"/>
      <c r="G18" s="1106"/>
      <c r="H18" s="1106"/>
      <c r="I18" s="1106"/>
      <c r="J18" s="1106"/>
      <c r="K18" s="1106"/>
      <c r="L18" s="1106"/>
      <c r="M18" s="1719"/>
      <c r="N18" s="1719"/>
      <c r="O18" s="1719"/>
      <c r="P18" s="1719"/>
      <c r="Q18" s="1719"/>
    </row>
    <row r="19" spans="1:17" s="988" customFormat="1" ht="15.75">
      <c r="A19" s="1719"/>
      <c r="B19" s="1106"/>
      <c r="C19" s="2100"/>
      <c r="D19" s="2099">
        <v>0.1</v>
      </c>
      <c r="E19" s="461" t="s">
        <v>1116</v>
      </c>
      <c r="F19" s="1106"/>
      <c r="G19" s="1106"/>
      <c r="H19" s="1106"/>
      <c r="I19" s="1106"/>
      <c r="J19" s="1106"/>
      <c r="K19" s="1106"/>
      <c r="L19" s="1106"/>
      <c r="M19" s="1719"/>
      <c r="N19" s="1719"/>
      <c r="O19" s="1719"/>
      <c r="P19" s="1719"/>
      <c r="Q19" s="1719"/>
    </row>
    <row r="20" spans="1:17" s="988" customFormat="1" ht="15" customHeight="1">
      <c r="A20" s="1719"/>
      <c r="B20" s="1106"/>
      <c r="C20" s="2066" t="s">
        <v>1115</v>
      </c>
      <c r="D20" s="2066"/>
      <c r="E20" s="2066"/>
      <c r="F20" s="1106"/>
      <c r="G20" s="1106"/>
      <c r="H20" s="1106"/>
      <c r="I20" s="1106"/>
      <c r="J20" s="1106"/>
      <c r="K20" s="1106"/>
      <c r="L20" s="1106"/>
      <c r="M20" s="1719"/>
      <c r="N20" s="1719"/>
      <c r="O20" s="1719"/>
      <c r="P20" s="1719"/>
      <c r="Q20" s="1719"/>
    </row>
    <row r="21" spans="1:17" s="988" customFormat="1" ht="15" customHeight="1">
      <c r="A21" s="1719"/>
      <c r="B21" s="1106"/>
      <c r="C21" s="2066"/>
      <c r="D21" s="2066"/>
      <c r="E21" s="2066"/>
      <c r="F21" s="1106"/>
      <c r="G21" s="1106"/>
      <c r="H21" s="1106"/>
      <c r="I21" s="1106"/>
      <c r="J21" s="1106"/>
      <c r="K21" s="1106"/>
      <c r="L21" s="1106"/>
      <c r="M21" s="1719"/>
      <c r="N21" s="1719"/>
      <c r="O21" s="1719"/>
      <c r="P21" s="1719"/>
      <c r="Q21" s="1719"/>
    </row>
    <row r="22" spans="1:17" s="988" customFormat="1" ht="15" customHeight="1">
      <c r="A22" s="1719"/>
      <c r="B22" s="1106"/>
      <c r="C22" s="2066"/>
      <c r="D22" s="2066"/>
      <c r="E22" s="2066"/>
      <c r="F22" s="1106"/>
      <c r="G22" s="1106"/>
      <c r="H22" s="1106"/>
      <c r="I22" s="1106"/>
      <c r="J22" s="1106"/>
      <c r="K22" s="1106"/>
      <c r="L22" s="1106"/>
      <c r="M22" s="1719"/>
      <c r="N22" s="1719"/>
      <c r="O22" s="1719"/>
      <c r="P22" s="1719"/>
      <c r="Q22" s="1719"/>
    </row>
    <row r="23" spans="1:17" s="988" customFormat="1" ht="15.75" customHeight="1">
      <c r="A23" s="1719"/>
      <c r="B23" s="1106"/>
      <c r="C23" s="2100"/>
      <c r="D23" s="2099">
        <v>0.05</v>
      </c>
      <c r="E23" s="461" t="s">
        <v>1114</v>
      </c>
      <c r="F23" s="1106"/>
      <c r="G23" s="1106"/>
      <c r="H23" s="1106"/>
      <c r="I23" s="1106"/>
      <c r="J23" s="1106"/>
      <c r="K23" s="1106"/>
      <c r="L23" s="1106"/>
      <c r="M23" s="1719"/>
      <c r="N23" s="1719"/>
      <c r="O23" s="1719"/>
      <c r="P23" s="1719"/>
      <c r="Q23" s="1719"/>
    </row>
    <row r="24" spans="1:17" s="988" customFormat="1">
      <c r="A24" s="1719"/>
      <c r="B24" s="1106"/>
      <c r="C24" s="2066"/>
      <c r="D24" s="2066"/>
      <c r="E24" s="2066"/>
      <c r="F24" s="1106"/>
      <c r="G24" s="1106"/>
      <c r="H24" s="1106"/>
      <c r="I24" s="1106"/>
      <c r="J24" s="1106"/>
      <c r="K24" s="1106"/>
      <c r="L24" s="1106"/>
      <c r="M24" s="1719"/>
      <c r="N24" s="1719"/>
      <c r="O24" s="1719"/>
      <c r="P24" s="1719"/>
      <c r="Q24" s="1719"/>
    </row>
    <row r="25" spans="1:17" s="988" customFormat="1" ht="15" customHeight="1">
      <c r="A25" s="1719"/>
      <c r="B25" s="1106"/>
      <c r="C25" s="2097" t="s">
        <v>1113</v>
      </c>
      <c r="D25" s="2066"/>
      <c r="E25" s="2066"/>
      <c r="F25" s="1106"/>
      <c r="G25" s="1106"/>
      <c r="H25" s="1106"/>
      <c r="I25" s="1106"/>
      <c r="J25" s="1106"/>
      <c r="K25" s="1106"/>
      <c r="L25" s="1106"/>
      <c r="M25" s="1719"/>
      <c r="N25" s="1719"/>
      <c r="O25" s="1719"/>
      <c r="P25" s="1719"/>
      <c r="Q25" s="1719"/>
    </row>
    <row r="26" spans="1:17" s="988" customFormat="1" ht="15.75" customHeight="1">
      <c r="A26" s="1719"/>
      <c r="B26" s="1106"/>
      <c r="C26" s="2100">
        <v>0.25</v>
      </c>
      <c r="D26" s="2099"/>
      <c r="E26" s="461" t="s">
        <v>1112</v>
      </c>
      <c r="F26" s="1106"/>
      <c r="G26" s="1106"/>
      <c r="H26" s="1106"/>
      <c r="I26" s="1106"/>
      <c r="J26" s="1106"/>
      <c r="K26" s="1106"/>
      <c r="L26" s="1106"/>
      <c r="M26" s="1719"/>
      <c r="N26" s="1719"/>
      <c r="O26" s="1719"/>
      <c r="P26" s="1719"/>
      <c r="Q26" s="1719"/>
    </row>
    <row r="27" spans="1:17" s="988" customFormat="1" ht="15" customHeight="1">
      <c r="A27" s="1719"/>
      <c r="B27" s="1106"/>
      <c r="C27" s="2098"/>
      <c r="D27" s="2066"/>
      <c r="E27" s="2066"/>
      <c r="F27" s="1106"/>
      <c r="G27" s="1106"/>
      <c r="H27" s="1106"/>
      <c r="I27" s="1106"/>
      <c r="J27" s="1106"/>
      <c r="K27" s="1106"/>
      <c r="L27" s="1106"/>
      <c r="M27" s="1719"/>
      <c r="N27" s="1719"/>
      <c r="O27" s="1719"/>
      <c r="P27" s="1719"/>
      <c r="Q27" s="1719"/>
    </row>
    <row r="28" spans="1:17" s="988" customFormat="1" ht="16.5" customHeight="1">
      <c r="A28" s="1719"/>
      <c r="B28" s="1106"/>
      <c r="C28" s="2097" t="s">
        <v>477</v>
      </c>
      <c r="D28" s="2066"/>
      <c r="E28" s="2066"/>
      <c r="F28" s="1106"/>
      <c r="G28" s="1106"/>
      <c r="H28" s="1106"/>
      <c r="I28" s="1106"/>
      <c r="J28" s="1106"/>
      <c r="K28" s="1106"/>
      <c r="L28" s="1106"/>
      <c r="M28" s="1719"/>
      <c r="N28" s="1719"/>
      <c r="O28" s="1719"/>
      <c r="P28" s="1719"/>
      <c r="Q28" s="1719"/>
    </row>
    <row r="29" spans="1:17" s="988" customFormat="1" ht="15.75" customHeight="1">
      <c r="A29" s="1719"/>
      <c r="B29" s="1106"/>
      <c r="C29" s="2068" t="s">
        <v>474</v>
      </c>
      <c r="D29" s="2068"/>
      <c r="E29" s="2068"/>
      <c r="F29" s="2068"/>
      <c r="G29" s="2068"/>
      <c r="H29" s="2068"/>
      <c r="I29" s="2068"/>
      <c r="J29" s="1106"/>
      <c r="K29" s="1106"/>
      <c r="L29" s="1106"/>
      <c r="M29" s="1719"/>
      <c r="N29" s="1719"/>
      <c r="O29" s="1719"/>
      <c r="P29" s="1719"/>
      <c r="Q29" s="1719"/>
    </row>
    <row r="30" spans="1:17" s="988" customFormat="1" ht="15.75" customHeight="1">
      <c r="A30" s="1719"/>
      <c r="B30" s="1106"/>
      <c r="C30" s="2068"/>
      <c r="D30" s="2068" t="s">
        <v>1111</v>
      </c>
      <c r="E30" s="2068"/>
      <c r="F30" s="2068"/>
      <c r="G30" s="2068"/>
      <c r="H30" s="2068"/>
      <c r="I30" s="2068"/>
      <c r="J30" s="1106"/>
      <c r="K30" s="1106"/>
      <c r="L30" s="1106"/>
      <c r="M30" s="1719"/>
      <c r="N30" s="1719"/>
      <c r="O30" s="1719"/>
      <c r="P30" s="1719"/>
      <c r="Q30" s="1719"/>
    </row>
    <row r="31" spans="1:17" s="988" customFormat="1" ht="18" customHeight="1">
      <c r="A31" s="1719"/>
      <c r="B31" s="1106"/>
      <c r="C31" s="2068"/>
      <c r="D31" s="2068" t="s">
        <v>1110</v>
      </c>
      <c r="E31" s="2068"/>
      <c r="F31" s="2068"/>
      <c r="G31" s="2068"/>
      <c r="H31" s="2068"/>
      <c r="I31" s="2068"/>
      <c r="J31" s="1106"/>
      <c r="K31" s="1106"/>
      <c r="L31" s="1106"/>
      <c r="M31" s="1719"/>
      <c r="N31" s="1719"/>
      <c r="O31" s="1719"/>
      <c r="P31" s="1719"/>
      <c r="Q31" s="1719"/>
    </row>
    <row r="32" spans="1:17" s="988" customFormat="1" ht="15.75" customHeight="1">
      <c r="A32" s="1719"/>
      <c r="B32" s="1106"/>
      <c r="C32" s="2068"/>
      <c r="D32" s="2068" t="s">
        <v>1109</v>
      </c>
      <c r="E32" s="2068"/>
      <c r="F32" s="2068"/>
      <c r="G32" s="2068"/>
      <c r="H32" s="2068"/>
      <c r="I32" s="2068"/>
      <c r="J32" s="1106"/>
      <c r="K32" s="1106"/>
      <c r="L32" s="1106"/>
      <c r="M32" s="1719"/>
      <c r="N32" s="1719"/>
      <c r="O32" s="1719"/>
      <c r="P32" s="1719"/>
      <c r="Q32" s="1719"/>
    </row>
    <row r="33" spans="1:17" s="988" customFormat="1" ht="18" customHeight="1">
      <c r="A33" s="1719"/>
      <c r="B33" s="1106"/>
      <c r="C33" s="2068"/>
      <c r="D33" s="2068" t="s">
        <v>470</v>
      </c>
      <c r="E33" s="2068"/>
      <c r="F33" s="2068"/>
      <c r="G33" s="2068"/>
      <c r="H33" s="2068"/>
      <c r="I33" s="2068"/>
      <c r="J33" s="1106"/>
      <c r="K33" s="1106"/>
      <c r="L33" s="1106"/>
      <c r="M33" s="1719"/>
      <c r="N33" s="1719"/>
      <c r="O33" s="1719"/>
      <c r="P33" s="1719"/>
      <c r="Q33" s="1719"/>
    </row>
    <row r="34" spans="1:17" s="988" customFormat="1" ht="18" customHeight="1">
      <c r="A34" s="1719"/>
      <c r="B34" s="1106"/>
      <c r="C34" s="2068"/>
      <c r="D34" s="2068"/>
      <c r="E34" s="2068"/>
      <c r="F34" s="2068"/>
      <c r="G34" s="2068"/>
      <c r="H34" s="2068"/>
      <c r="I34" s="2068"/>
      <c r="J34" s="1106"/>
      <c r="K34" s="1106"/>
      <c r="L34" s="1106"/>
      <c r="M34" s="1719"/>
      <c r="N34" s="1719"/>
      <c r="O34" s="1719"/>
      <c r="P34" s="1719"/>
      <c r="Q34" s="1719"/>
    </row>
    <row r="35" spans="1:17" ht="18.75" customHeight="1">
      <c r="A35" s="1719"/>
      <c r="B35" s="1106"/>
      <c r="C35" s="2094"/>
      <c r="D35" s="2095" t="s">
        <v>1108</v>
      </c>
      <c r="E35" s="471"/>
      <c r="F35" s="2068"/>
      <c r="G35" s="2068"/>
      <c r="H35" s="2068"/>
      <c r="I35" s="2068"/>
      <c r="J35" s="1106"/>
      <c r="K35" s="1106"/>
      <c r="L35" s="1106"/>
      <c r="M35" s="1719"/>
      <c r="N35" s="1719"/>
      <c r="O35" s="1719"/>
      <c r="P35" s="1719"/>
      <c r="Q35" s="1719"/>
    </row>
    <row r="36" spans="1:17">
      <c r="A36" s="1719"/>
      <c r="B36" s="1106"/>
      <c r="C36" s="2068"/>
      <c r="D36" s="2096"/>
      <c r="E36" s="2068"/>
      <c r="F36" s="2068"/>
      <c r="G36" s="2068"/>
      <c r="H36" s="2068"/>
      <c r="I36" s="2068"/>
      <c r="J36" s="1106"/>
      <c r="K36" s="1106"/>
      <c r="L36" s="1106"/>
      <c r="M36" s="1719"/>
      <c r="N36" s="1719"/>
      <c r="O36" s="1719"/>
      <c r="P36" s="1719"/>
      <c r="Q36" s="1719"/>
    </row>
    <row r="37" spans="1:17" ht="20.25" customHeight="1">
      <c r="A37" s="1719"/>
      <c r="B37" s="1106"/>
      <c r="C37" s="2068"/>
      <c r="D37" s="2068" t="s">
        <v>1107</v>
      </c>
      <c r="E37" s="2068"/>
      <c r="F37" s="2068"/>
      <c r="G37" s="2068"/>
      <c r="H37" s="2068"/>
      <c r="I37" s="2068"/>
      <c r="J37" s="1106"/>
      <c r="K37" s="1106"/>
      <c r="L37" s="1106"/>
      <c r="M37" s="1719"/>
      <c r="N37" s="1719"/>
      <c r="O37" s="1719"/>
      <c r="P37" s="1719"/>
      <c r="Q37" s="1719"/>
    </row>
    <row r="38" spans="1:17" ht="15" customHeight="1">
      <c r="A38" s="1719"/>
      <c r="B38" s="1106"/>
      <c r="C38" s="2068"/>
      <c r="D38" s="2068" t="s">
        <v>1106</v>
      </c>
      <c r="E38" s="2068"/>
      <c r="F38" s="2068"/>
      <c r="G38" s="2068"/>
      <c r="H38" s="2068"/>
      <c r="I38" s="2068"/>
      <c r="J38" s="1106"/>
      <c r="K38" s="1106"/>
      <c r="L38" s="1106"/>
      <c r="M38" s="1719"/>
      <c r="N38" s="1719"/>
      <c r="O38" s="1719"/>
      <c r="P38" s="1719"/>
      <c r="Q38" s="1719"/>
    </row>
    <row r="39" spans="1:17" ht="15.75" customHeight="1">
      <c r="A39" s="1719"/>
      <c r="B39" s="1106"/>
      <c r="C39" s="2094"/>
      <c r="D39" s="2095" t="s">
        <v>1105</v>
      </c>
      <c r="E39" s="471"/>
      <c r="F39" s="2068"/>
      <c r="G39" s="2068"/>
      <c r="H39" s="2068"/>
      <c r="I39" s="2068"/>
      <c r="J39" s="1106"/>
      <c r="K39" s="1106"/>
      <c r="L39" s="1106"/>
      <c r="M39" s="1719"/>
      <c r="N39" s="1719"/>
      <c r="O39" s="1719"/>
      <c r="P39" s="1719"/>
      <c r="Q39" s="1719"/>
    </row>
    <row r="40" spans="1:17" ht="22.5" customHeight="1">
      <c r="A40" s="1719"/>
      <c r="B40" s="1106"/>
      <c r="C40" s="2068"/>
      <c r="D40" s="2068"/>
      <c r="E40" s="2068"/>
      <c r="F40" s="2068"/>
      <c r="G40" s="2068"/>
      <c r="H40" s="2068"/>
      <c r="I40" s="2068"/>
      <c r="J40" s="1106"/>
      <c r="K40" s="1106"/>
      <c r="L40" s="1106"/>
      <c r="M40" s="1719"/>
      <c r="N40" s="1719"/>
      <c r="O40" s="1719"/>
      <c r="P40" s="1719"/>
      <c r="Q40" s="1719"/>
    </row>
    <row r="41" spans="1:17" ht="15" customHeight="1">
      <c r="A41" s="1719"/>
      <c r="B41" s="1106"/>
      <c r="C41" s="2068"/>
      <c r="D41" s="2090" t="s">
        <v>1104</v>
      </c>
      <c r="E41" s="2068"/>
      <c r="F41" s="2068"/>
      <c r="G41" s="2068"/>
      <c r="H41" s="2068"/>
      <c r="I41" s="2068"/>
      <c r="J41" s="1106"/>
      <c r="K41" s="1106"/>
      <c r="L41" s="1106"/>
      <c r="M41" s="1719"/>
      <c r="P41" s="1719"/>
      <c r="Q41" s="1719"/>
    </row>
    <row r="42" spans="1:17" ht="15.75" customHeight="1">
      <c r="A42" s="1719"/>
      <c r="B42" s="1697"/>
      <c r="C42" s="2094"/>
      <c r="D42" s="2087" t="s">
        <v>1103</v>
      </c>
      <c r="E42" s="2087"/>
      <c r="F42" s="2086"/>
      <c r="G42" s="2068"/>
      <c r="H42" s="2086"/>
      <c r="I42" s="2068"/>
      <c r="J42" s="1106"/>
      <c r="K42" s="1106"/>
      <c r="L42" s="1106"/>
      <c r="M42" s="1719"/>
      <c r="N42" s="1719"/>
      <c r="O42" s="1719"/>
      <c r="P42" s="1719"/>
      <c r="Q42" s="1719"/>
    </row>
    <row r="43" spans="1:17" ht="22.5" customHeight="1">
      <c r="A43" s="1719"/>
      <c r="B43" s="1697"/>
      <c r="C43" s="2093"/>
      <c r="D43" s="2093"/>
      <c r="E43" s="2086"/>
      <c r="F43" s="2086"/>
      <c r="G43" s="2068"/>
      <c r="H43" s="2086"/>
      <c r="I43" s="2068"/>
      <c r="J43" s="1106"/>
      <c r="K43" s="1106"/>
      <c r="L43" s="1106"/>
      <c r="M43" s="1719"/>
      <c r="N43" s="1719"/>
      <c r="O43" s="1719"/>
      <c r="P43" s="1719"/>
      <c r="Q43" s="1719"/>
    </row>
    <row r="44" spans="1:17" ht="20.25">
      <c r="A44" s="1719"/>
      <c r="B44" s="1697"/>
      <c r="C44" s="2092"/>
      <c r="D44" s="2091" t="s">
        <v>1102</v>
      </c>
      <c r="E44" s="2087"/>
      <c r="F44" s="2086"/>
      <c r="G44" s="2068"/>
      <c r="H44" s="2086"/>
      <c r="I44" s="2068"/>
      <c r="J44" s="1106"/>
      <c r="K44" s="1106"/>
      <c r="L44" s="1106"/>
      <c r="M44" s="1719"/>
      <c r="N44" s="1719"/>
      <c r="O44" s="1719"/>
      <c r="P44" s="1719"/>
      <c r="Q44" s="1719"/>
    </row>
    <row r="45" spans="1:17">
      <c r="A45" s="1719"/>
      <c r="B45" s="1106"/>
      <c r="C45" s="2068"/>
      <c r="D45" s="2068"/>
      <c r="E45" s="2068"/>
      <c r="F45" s="2068"/>
      <c r="G45" s="2068"/>
      <c r="H45" s="2068"/>
      <c r="I45" s="2068"/>
      <c r="J45" s="1106"/>
      <c r="K45" s="1106"/>
      <c r="L45" s="1106"/>
      <c r="M45" s="1719"/>
      <c r="N45" s="1719"/>
      <c r="O45" s="1719"/>
      <c r="P45" s="1719"/>
      <c r="Q45" s="1719"/>
    </row>
    <row r="46" spans="1:17">
      <c r="A46" s="1719"/>
      <c r="B46" s="1106"/>
      <c r="C46" s="2068"/>
      <c r="D46" s="2090" t="s">
        <v>1101</v>
      </c>
      <c r="E46" s="2068"/>
      <c r="F46" s="2068"/>
      <c r="G46" s="2068"/>
      <c r="H46" s="2068"/>
      <c r="I46" s="2068"/>
      <c r="J46" s="1106"/>
      <c r="K46" s="1106"/>
      <c r="L46" s="1106"/>
      <c r="M46" s="1719"/>
      <c r="N46" s="1719"/>
      <c r="O46" s="1719"/>
      <c r="P46" s="1719"/>
      <c r="Q46" s="1719"/>
    </row>
    <row r="47" spans="1:17" ht="20.25">
      <c r="A47" s="1719"/>
      <c r="B47" s="1697"/>
      <c r="C47" s="2089"/>
      <c r="D47" s="2088" t="s">
        <v>1100</v>
      </c>
      <c r="E47" s="2087"/>
      <c r="F47" s="2086"/>
      <c r="G47" s="2068"/>
      <c r="H47" s="2086"/>
      <c r="I47" s="2068"/>
      <c r="J47" s="1106"/>
      <c r="K47" s="1106"/>
      <c r="L47" s="1106"/>
      <c r="M47" s="1719"/>
      <c r="N47" s="1719"/>
      <c r="O47" s="1719"/>
      <c r="P47" s="1719"/>
      <c r="Q47" s="1719"/>
    </row>
    <row r="48" spans="1:17" ht="15.75" thickBot="1">
      <c r="A48" s="1719"/>
      <c r="B48" s="1106"/>
      <c r="C48" s="2068"/>
      <c r="D48" s="2068"/>
      <c r="E48" s="2068"/>
      <c r="F48" s="2068"/>
      <c r="G48" s="2068"/>
      <c r="H48" s="2068"/>
      <c r="I48" s="2068"/>
      <c r="J48" s="1106"/>
      <c r="K48" s="1106"/>
      <c r="L48" s="1106"/>
      <c r="M48" s="1719"/>
      <c r="N48" s="1719"/>
      <c r="O48" s="1719"/>
      <c r="P48" s="1719"/>
      <c r="Q48" s="1719"/>
    </row>
    <row r="49" spans="1:17">
      <c r="A49" s="1719"/>
      <c r="B49" s="1106"/>
      <c r="C49" s="1106"/>
      <c r="D49" s="1106"/>
      <c r="E49" s="1106"/>
      <c r="F49" s="1106"/>
      <c r="G49" s="2068"/>
      <c r="H49" s="2068"/>
      <c r="I49" s="4384" t="s">
        <v>1078</v>
      </c>
      <c r="J49" s="4385"/>
      <c r="K49" s="4385"/>
      <c r="L49" s="4385"/>
      <c r="M49" s="4385"/>
      <c r="N49" s="4385"/>
      <c r="O49" s="4385"/>
      <c r="P49" s="4386"/>
      <c r="Q49" s="1719"/>
    </row>
    <row r="50" spans="1:17" ht="15.75" thickBot="1">
      <c r="A50" s="1719"/>
      <c r="B50" s="1106"/>
      <c r="C50" s="1106"/>
      <c r="D50" s="1106"/>
      <c r="E50" s="1106"/>
      <c r="F50" s="1106"/>
      <c r="G50" s="2068"/>
      <c r="H50" s="2068"/>
      <c r="I50" s="4387" t="s">
        <v>1064</v>
      </c>
      <c r="J50" s="4388"/>
      <c r="K50" s="4388"/>
      <c r="L50" s="4389"/>
      <c r="M50" s="4390" t="s">
        <v>1076</v>
      </c>
      <c r="N50" s="4391"/>
      <c r="O50" s="4391"/>
      <c r="P50" s="4392"/>
      <c r="Q50" s="1719"/>
    </row>
    <row r="51" spans="1:17" ht="15.75">
      <c r="A51" s="1719"/>
      <c r="B51" s="1106"/>
      <c r="C51" s="1106"/>
      <c r="D51" s="1106"/>
      <c r="E51" s="1106"/>
      <c r="F51" s="1106"/>
      <c r="G51" s="2068"/>
      <c r="H51" s="2068"/>
      <c r="I51" s="4393" t="s">
        <v>1099</v>
      </c>
      <c r="J51" s="4395" t="s">
        <v>1098</v>
      </c>
      <c r="K51" s="4395" t="s">
        <v>1097</v>
      </c>
      <c r="L51" s="4397" t="s">
        <v>1096</v>
      </c>
      <c r="M51" s="2085" t="s">
        <v>22</v>
      </c>
      <c r="N51" s="2084" t="s">
        <v>1073</v>
      </c>
      <c r="O51" s="2084" t="s">
        <v>1070</v>
      </c>
      <c r="P51" s="2083" t="s">
        <v>1066</v>
      </c>
      <c r="Q51" s="1719"/>
    </row>
    <row r="52" spans="1:17" ht="15.75" customHeight="1">
      <c r="A52" s="1719"/>
      <c r="B52" s="1106"/>
      <c r="C52" s="1106"/>
      <c r="D52" s="1106"/>
      <c r="E52" s="1106"/>
      <c r="F52" s="1106"/>
      <c r="G52" s="2068"/>
      <c r="H52" s="2068"/>
      <c r="I52" s="4394"/>
      <c r="J52" s="4396"/>
      <c r="K52" s="4396"/>
      <c r="L52" s="4398"/>
      <c r="M52" s="2063" t="s">
        <v>642</v>
      </c>
      <c r="N52" s="2082" t="s">
        <v>1072</v>
      </c>
      <c r="O52" s="2082" t="s">
        <v>1071</v>
      </c>
      <c r="P52" s="2081" t="s">
        <v>1067</v>
      </c>
      <c r="Q52" s="1719"/>
    </row>
    <row r="53" spans="1:17" ht="15.75">
      <c r="A53" s="1719"/>
      <c r="B53" s="1106"/>
      <c r="C53" s="1106"/>
      <c r="D53" s="1106"/>
      <c r="E53" s="1106"/>
      <c r="F53" s="1106"/>
      <c r="G53" s="2068"/>
      <c r="H53" s="2068"/>
      <c r="I53" s="2080" t="s">
        <v>1095</v>
      </c>
      <c r="J53" s="2079" t="s">
        <v>1094</v>
      </c>
      <c r="K53" s="2079" t="s">
        <v>1093</v>
      </c>
      <c r="L53" s="2078" t="s">
        <v>1092</v>
      </c>
      <c r="M53" s="2077">
        <v>1</v>
      </c>
      <c r="N53" s="2076" t="s">
        <v>1068</v>
      </c>
      <c r="O53" s="2076" t="s">
        <v>1068</v>
      </c>
      <c r="P53" s="2075">
        <v>0</v>
      </c>
      <c r="Q53" s="1719"/>
    </row>
    <row r="54" spans="1:17" ht="15.75" customHeight="1">
      <c r="A54" s="1719"/>
      <c r="B54" s="1106"/>
      <c r="C54" s="1106"/>
      <c r="D54" s="1106"/>
      <c r="E54" s="1106"/>
      <c r="F54" s="1106"/>
      <c r="G54" s="2068"/>
      <c r="H54" s="2068"/>
      <c r="I54" s="2080" t="s">
        <v>1091</v>
      </c>
      <c r="J54" s="2079" t="s">
        <v>1090</v>
      </c>
      <c r="K54" s="2079" t="s">
        <v>1089</v>
      </c>
      <c r="L54" s="2078" t="s">
        <v>1088</v>
      </c>
      <c r="M54" s="2077">
        <v>0</v>
      </c>
      <c r="N54" s="2076">
        <v>5</v>
      </c>
      <c r="O54" s="2076" t="s">
        <v>1068</v>
      </c>
      <c r="P54" s="2075">
        <v>0</v>
      </c>
      <c r="Q54" s="1719"/>
    </row>
    <row r="55" spans="1:17" ht="15.75" customHeight="1">
      <c r="A55" s="1719"/>
      <c r="B55" s="1106"/>
      <c r="C55" s="1106"/>
      <c r="D55" s="1106"/>
      <c r="E55" s="1106"/>
      <c r="F55" s="1106"/>
      <c r="G55" s="2068"/>
      <c r="H55" s="2068"/>
      <c r="I55" s="2080" t="s">
        <v>1087</v>
      </c>
      <c r="J55" s="2079" t="s">
        <v>1086</v>
      </c>
      <c r="K55" s="2079" t="s">
        <v>1085</v>
      </c>
      <c r="L55" s="2078" t="s">
        <v>1084</v>
      </c>
      <c r="M55" s="2077">
        <v>0</v>
      </c>
      <c r="N55" s="2076">
        <v>2</v>
      </c>
      <c r="O55" s="2076">
        <v>5</v>
      </c>
      <c r="P55" s="2075">
        <v>0</v>
      </c>
      <c r="Q55" s="1719"/>
    </row>
    <row r="56" spans="1:17" ht="16.5" customHeight="1">
      <c r="A56" s="1719"/>
      <c r="B56" s="1106"/>
      <c r="C56" s="1106"/>
      <c r="D56" s="1106"/>
      <c r="E56" s="1106"/>
      <c r="F56" s="1106"/>
      <c r="G56" s="2068"/>
      <c r="H56" s="2068"/>
      <c r="I56" s="2074" t="s">
        <v>1083</v>
      </c>
      <c r="J56" s="2073" t="s">
        <v>1082</v>
      </c>
      <c r="K56" s="2073" t="s">
        <v>1081</v>
      </c>
      <c r="L56" s="2072" t="s">
        <v>1080</v>
      </c>
      <c r="M56" s="2071">
        <v>0</v>
      </c>
      <c r="N56" s="2070">
        <v>1</v>
      </c>
      <c r="O56" s="2070">
        <v>2</v>
      </c>
      <c r="P56" s="2069">
        <v>5</v>
      </c>
      <c r="Q56" s="1719"/>
    </row>
    <row r="57" spans="1:17" ht="15.75" customHeight="1">
      <c r="A57" s="1719"/>
      <c r="B57" s="1106"/>
      <c r="C57" s="1106"/>
      <c r="D57" s="1106"/>
      <c r="E57" s="1106"/>
      <c r="F57" s="1106"/>
      <c r="G57" s="2068"/>
      <c r="H57" s="2068"/>
      <c r="I57" s="4399" t="s">
        <v>109</v>
      </c>
      <c r="J57" s="4400"/>
      <c r="K57" s="4400"/>
      <c r="L57" s="4400"/>
      <c r="M57" s="4400"/>
      <c r="N57" s="4400"/>
      <c r="O57" s="4400"/>
      <c r="P57" s="4401"/>
      <c r="Q57" s="1719"/>
    </row>
    <row r="58" spans="1:17" ht="15.75" thickBot="1">
      <c r="A58" s="1719"/>
      <c r="B58" s="1106"/>
      <c r="C58" s="1106"/>
      <c r="D58" s="1106"/>
      <c r="E58" s="1106"/>
      <c r="F58" s="1106"/>
      <c r="G58" s="1106"/>
      <c r="H58" s="1106"/>
      <c r="I58" s="4402"/>
      <c r="J58" s="4403"/>
      <c r="K58" s="4403"/>
      <c r="L58" s="4403"/>
      <c r="M58" s="4403"/>
      <c r="N58" s="4403"/>
      <c r="O58" s="4403"/>
      <c r="P58" s="4404"/>
      <c r="Q58" s="1719"/>
    </row>
    <row r="59" spans="1:17">
      <c r="A59" s="1719"/>
      <c r="B59" s="1106"/>
      <c r="C59" s="1106"/>
      <c r="D59" s="1106"/>
      <c r="E59" s="1106"/>
      <c r="F59" s="1106"/>
      <c r="G59" s="1106"/>
      <c r="H59" s="1106"/>
      <c r="I59" s="1106"/>
      <c r="J59" s="1106"/>
      <c r="K59" s="1106"/>
      <c r="L59" s="1106"/>
      <c r="M59" s="1106"/>
      <c r="N59" s="1106"/>
      <c r="O59" s="1106"/>
      <c r="P59" s="1106"/>
      <c r="Q59" s="1106"/>
    </row>
    <row r="60" spans="1:17" ht="15.75" thickBot="1">
      <c r="A60" s="1719"/>
      <c r="B60" s="1106"/>
      <c r="C60" s="1106"/>
      <c r="D60" s="1106"/>
      <c r="E60" s="1106"/>
      <c r="F60" s="1106"/>
      <c r="G60" s="1106"/>
      <c r="H60" s="1106"/>
      <c r="I60" s="1106"/>
      <c r="J60" s="1106"/>
      <c r="K60" s="1106"/>
      <c r="L60" s="1106"/>
      <c r="M60" s="1106"/>
      <c r="N60" s="1106"/>
      <c r="O60" s="1106"/>
      <c r="P60" s="1106"/>
      <c r="Q60" s="1106"/>
    </row>
    <row r="61" spans="1:17" ht="15" customHeight="1">
      <c r="A61" s="1719"/>
      <c r="B61" s="4405" t="s">
        <v>1079</v>
      </c>
      <c r="C61" s="4406"/>
      <c r="D61" s="4406"/>
      <c r="E61" s="4406"/>
      <c r="F61" s="4406"/>
      <c r="G61" s="4407"/>
      <c r="H61" s="1106"/>
      <c r="I61" s="4384" t="s">
        <v>1078</v>
      </c>
      <c r="J61" s="4385"/>
      <c r="K61" s="4385"/>
      <c r="L61" s="4385"/>
      <c r="M61" s="4386"/>
      <c r="N61" s="1719"/>
      <c r="O61" s="2067" t="s">
        <v>1077</v>
      </c>
      <c r="P61" s="2066"/>
      <c r="Q61" s="1106"/>
    </row>
    <row r="62" spans="1:17" ht="15" customHeight="1">
      <c r="A62" s="1719"/>
      <c r="B62" s="4408"/>
      <c r="C62" s="4409"/>
      <c r="D62" s="4409"/>
      <c r="E62" s="4409"/>
      <c r="F62" s="4409"/>
      <c r="G62" s="4410"/>
      <c r="H62" s="1106"/>
      <c r="I62" s="4390" t="s">
        <v>1076</v>
      </c>
      <c r="J62" s="4391"/>
      <c r="K62" s="4391"/>
      <c r="L62" s="4391"/>
      <c r="M62" s="4392"/>
      <c r="N62" s="1719"/>
      <c r="O62" s="2065">
        <v>2.5</v>
      </c>
      <c r="P62" s="2064" t="s">
        <v>642</v>
      </c>
      <c r="Q62" s="2064" t="s">
        <v>22</v>
      </c>
    </row>
    <row r="63" spans="1:17" ht="15" customHeight="1">
      <c r="A63" s="1719"/>
      <c r="B63" s="4411" t="s">
        <v>1075</v>
      </c>
      <c r="C63" s="4412"/>
      <c r="D63" s="4412"/>
      <c r="E63" s="4412"/>
      <c r="F63" s="4412"/>
      <c r="G63" s="4413"/>
      <c r="H63" s="1106"/>
      <c r="I63" s="2063" t="s">
        <v>22</v>
      </c>
      <c r="J63" s="4414" t="s">
        <v>1074</v>
      </c>
      <c r="K63" s="2062" t="s">
        <v>1073</v>
      </c>
      <c r="L63" s="2062" t="s">
        <v>1070</v>
      </c>
      <c r="M63" s="2061" t="s">
        <v>1066</v>
      </c>
      <c r="N63" s="1719"/>
      <c r="O63" s="2028">
        <f>O62*10</f>
        <v>25</v>
      </c>
      <c r="P63" s="2060" t="s">
        <v>1072</v>
      </c>
      <c r="Q63" s="2060" t="s">
        <v>1073</v>
      </c>
    </row>
    <row r="64" spans="1:17" ht="15.75" customHeight="1">
      <c r="A64" s="1719"/>
      <c r="B64" s="4411"/>
      <c r="C64" s="4412"/>
      <c r="D64" s="4412"/>
      <c r="E64" s="4412"/>
      <c r="F64" s="4412"/>
      <c r="G64" s="4413"/>
      <c r="H64" s="1106"/>
      <c r="I64" s="2063" t="s">
        <v>642</v>
      </c>
      <c r="J64" s="4415"/>
      <c r="K64" s="2062" t="s">
        <v>1072</v>
      </c>
      <c r="L64" s="2062" t="s">
        <v>1071</v>
      </c>
      <c r="M64" s="2061" t="s">
        <v>1067</v>
      </c>
      <c r="N64" s="1719"/>
      <c r="O64" s="2028">
        <f>O63*10</f>
        <v>250</v>
      </c>
      <c r="P64" s="2060" t="s">
        <v>1071</v>
      </c>
      <c r="Q64" s="2060" t="s">
        <v>1070</v>
      </c>
    </row>
    <row r="65" spans="1:17" ht="16.5" customHeight="1" thickBot="1">
      <c r="A65" s="1719"/>
      <c r="B65" s="2051" t="s">
        <v>1063</v>
      </c>
      <c r="C65" s="4364" t="s">
        <v>1069</v>
      </c>
      <c r="D65" s="4364"/>
      <c r="E65" s="4364"/>
      <c r="F65" s="4364"/>
      <c r="G65" s="4365"/>
      <c r="H65" s="1106"/>
      <c r="I65" s="2059" t="s">
        <v>1068</v>
      </c>
      <c r="J65" s="4416"/>
      <c r="K65" s="2058" t="s">
        <v>1068</v>
      </c>
      <c r="L65" s="2058" t="s">
        <v>1068</v>
      </c>
      <c r="M65" s="2057" t="s">
        <v>676</v>
      </c>
      <c r="N65" s="1719"/>
      <c r="O65" s="2056">
        <f>O64*10</f>
        <v>2500</v>
      </c>
      <c r="P65" s="2055" t="s">
        <v>1067</v>
      </c>
      <c r="Q65" s="2055" t="s">
        <v>1066</v>
      </c>
    </row>
    <row r="66" spans="1:17" ht="15.75">
      <c r="A66" s="1719"/>
      <c r="B66" s="2051" t="s">
        <v>1063</v>
      </c>
      <c r="C66" s="4364" t="s">
        <v>1065</v>
      </c>
      <c r="D66" s="4364"/>
      <c r="E66" s="4364"/>
      <c r="F66" s="4364"/>
      <c r="G66" s="4365"/>
      <c r="H66" s="1106"/>
      <c r="I66" s="2054" t="s">
        <v>1064</v>
      </c>
      <c r="J66" s="2054"/>
      <c r="K66" s="2054"/>
      <c r="L66" s="2054"/>
      <c r="M66" s="2054"/>
      <c r="N66" s="1719"/>
      <c r="O66" s="1719"/>
      <c r="P66" s="1106"/>
      <c r="Q66" s="1106"/>
    </row>
    <row r="67" spans="1:17" ht="15.75">
      <c r="A67" s="1719"/>
      <c r="B67" s="2051" t="s">
        <v>1063</v>
      </c>
      <c r="C67" s="4364" t="s">
        <v>1062</v>
      </c>
      <c r="D67" s="4364"/>
      <c r="E67" s="4364"/>
      <c r="F67" s="4364"/>
      <c r="G67" s="4365"/>
      <c r="H67" s="1106"/>
      <c r="I67" s="2053" t="s">
        <v>1061</v>
      </c>
      <c r="J67" s="2052"/>
      <c r="K67" s="2052"/>
      <c r="L67" s="2052"/>
      <c r="M67" s="2052"/>
      <c r="N67" s="1719"/>
      <c r="O67" s="1719"/>
      <c r="P67" s="1106"/>
      <c r="Q67" s="1106"/>
    </row>
    <row r="68" spans="1:17" ht="15.75" thickBot="1">
      <c r="A68" s="1719"/>
      <c r="B68" s="2051" t="s">
        <v>1060</v>
      </c>
      <c r="C68" s="4364" t="s">
        <v>1059</v>
      </c>
      <c r="D68" s="4364"/>
      <c r="E68" s="4364"/>
      <c r="F68" s="4364"/>
      <c r="G68" s="4365"/>
      <c r="H68" s="1106"/>
      <c r="I68" s="1026"/>
      <c r="J68" s="1026"/>
      <c r="K68" s="1026"/>
      <c r="L68" s="1026"/>
      <c r="M68" s="1026"/>
      <c r="N68" s="1026"/>
      <c r="O68" s="1106"/>
      <c r="P68" s="1106"/>
      <c r="Q68" s="1106"/>
    </row>
    <row r="69" spans="1:17" ht="15.75" customHeight="1">
      <c r="A69" s="1719"/>
      <c r="B69" s="2051" t="s">
        <v>1058</v>
      </c>
      <c r="C69" s="4364" t="s">
        <v>1057</v>
      </c>
      <c r="D69" s="4364"/>
      <c r="E69" s="4364"/>
      <c r="F69" s="4364"/>
      <c r="G69" s="4365"/>
      <c r="H69" s="1106"/>
      <c r="I69" s="4366" t="s">
        <v>1056</v>
      </c>
      <c r="J69" s="4367"/>
      <c r="K69" s="4370" t="s">
        <v>1055</v>
      </c>
      <c r="L69" s="4370"/>
      <c r="M69" s="4417" t="s">
        <v>1054</v>
      </c>
      <c r="N69" s="4419" t="s">
        <v>1053</v>
      </c>
      <c r="O69" s="1719"/>
      <c r="P69" s="1719"/>
      <c r="Q69" s="1106"/>
    </row>
    <row r="70" spans="1:17" ht="15.75" customHeight="1">
      <c r="A70" s="1719"/>
      <c r="B70" s="2051" t="s">
        <v>1051</v>
      </c>
      <c r="C70" s="4364" t="s">
        <v>1052</v>
      </c>
      <c r="D70" s="4364"/>
      <c r="E70" s="4364"/>
      <c r="F70" s="4364"/>
      <c r="G70" s="4365"/>
      <c r="H70" s="1106"/>
      <c r="I70" s="4368"/>
      <c r="J70" s="4369"/>
      <c r="K70" s="4371"/>
      <c r="L70" s="4371"/>
      <c r="M70" s="4418"/>
      <c r="N70" s="4420"/>
      <c r="O70" s="1719"/>
      <c r="P70" s="1719"/>
      <c r="Q70" s="1106"/>
    </row>
    <row r="71" spans="1:17" ht="15.75" customHeight="1">
      <c r="A71" s="1719"/>
      <c r="B71" s="2051" t="s">
        <v>1051</v>
      </c>
      <c r="C71" s="4364" t="s">
        <v>1050</v>
      </c>
      <c r="D71" s="4364"/>
      <c r="E71" s="4364"/>
      <c r="F71" s="4364"/>
      <c r="G71" s="4365"/>
      <c r="H71" s="1106"/>
      <c r="I71" s="4422" t="s">
        <v>1049</v>
      </c>
      <c r="J71" s="4423"/>
      <c r="K71" s="2050" t="s">
        <v>1048</v>
      </c>
      <c r="L71" s="2050"/>
      <c r="M71" s="2049"/>
      <c r="N71" s="2048"/>
      <c r="O71" s="1719"/>
      <c r="P71" s="1719"/>
      <c r="Q71" s="1106"/>
    </row>
    <row r="72" spans="1:17" ht="15" customHeight="1">
      <c r="A72" s="1719"/>
      <c r="B72" s="4411" t="s">
        <v>1047</v>
      </c>
      <c r="C72" s="4412" t="s">
        <v>1046</v>
      </c>
      <c r="D72" s="4412"/>
      <c r="E72" s="4412"/>
      <c r="F72" s="4412"/>
      <c r="G72" s="4413"/>
      <c r="H72" s="1106"/>
      <c r="I72" s="4442" t="s">
        <v>1045</v>
      </c>
      <c r="J72" s="4443"/>
      <c r="K72" s="2029" t="s">
        <v>1044</v>
      </c>
      <c r="L72" s="2029"/>
      <c r="M72" s="2028" t="s">
        <v>1043</v>
      </c>
      <c r="N72" s="2047" t="s">
        <v>1042</v>
      </c>
      <c r="O72" s="1719"/>
      <c r="P72" s="1719"/>
      <c r="Q72" s="1106"/>
    </row>
    <row r="73" spans="1:17" ht="15" customHeight="1">
      <c r="A73" s="1719"/>
      <c r="B73" s="4411"/>
      <c r="C73" s="4412"/>
      <c r="D73" s="4412"/>
      <c r="E73" s="4412"/>
      <c r="F73" s="4412"/>
      <c r="G73" s="4413"/>
      <c r="H73" s="1106"/>
      <c r="I73" s="4442" t="s">
        <v>1041</v>
      </c>
      <c r="J73" s="4443"/>
      <c r="K73" s="2029" t="s">
        <v>1040</v>
      </c>
      <c r="L73" s="2029"/>
      <c r="M73" s="2028" t="s">
        <v>1039</v>
      </c>
      <c r="N73" s="2047" t="s">
        <v>1038</v>
      </c>
      <c r="O73" s="1719"/>
      <c r="P73" s="1719"/>
      <c r="Q73" s="1106"/>
    </row>
    <row r="74" spans="1:17" ht="15" customHeight="1">
      <c r="A74" s="1719"/>
      <c r="B74" s="4411" t="s">
        <v>1037</v>
      </c>
      <c r="C74" s="4412" t="s">
        <v>1036</v>
      </c>
      <c r="D74" s="4412"/>
      <c r="E74" s="4412"/>
      <c r="F74" s="4412"/>
      <c r="G74" s="4413"/>
      <c r="H74" s="1106"/>
      <c r="I74" s="4442" t="s">
        <v>1035</v>
      </c>
      <c r="J74" s="4443"/>
      <c r="K74" s="2029" t="s">
        <v>1034</v>
      </c>
      <c r="L74" s="2029"/>
      <c r="M74" s="2028" t="s">
        <v>1033</v>
      </c>
      <c r="N74" s="2047" t="s">
        <v>1032</v>
      </c>
      <c r="O74" s="1719"/>
      <c r="P74" s="1719"/>
      <c r="Q74" s="1106"/>
    </row>
    <row r="75" spans="1:17" ht="15" customHeight="1" thickBot="1">
      <c r="A75" s="1719"/>
      <c r="B75" s="4444"/>
      <c r="C75" s="4445"/>
      <c r="D75" s="4445"/>
      <c r="E75" s="4445"/>
      <c r="F75" s="4445"/>
      <c r="G75" s="4446"/>
      <c r="H75" s="1106"/>
      <c r="I75" s="4447" t="s">
        <v>975</v>
      </c>
      <c r="J75" s="4448"/>
      <c r="K75" s="2046" t="s">
        <v>1031</v>
      </c>
      <c r="L75" s="2046"/>
      <c r="M75" s="2045" t="s">
        <v>1030</v>
      </c>
      <c r="N75" s="2044" t="s">
        <v>1029</v>
      </c>
      <c r="O75" s="1719"/>
      <c r="P75" s="1719"/>
      <c r="Q75" s="1106"/>
    </row>
    <row r="76" spans="1:17" ht="31.5" customHeight="1" thickBot="1">
      <c r="A76" s="1719"/>
      <c r="B76" s="2030"/>
      <c r="C76" s="2030"/>
      <c r="D76" s="2030"/>
      <c r="E76" s="2030"/>
      <c r="F76" s="2030"/>
      <c r="G76" s="2030"/>
      <c r="H76" s="1106"/>
      <c r="I76" s="2028"/>
      <c r="J76" s="2028"/>
      <c r="K76" s="2029"/>
      <c r="L76" s="2029"/>
      <c r="M76" s="2028"/>
      <c r="N76" s="2028"/>
      <c r="O76" s="1719"/>
      <c r="P76" s="1719"/>
      <c r="Q76" s="1106"/>
    </row>
    <row r="77" spans="1:17" ht="31.5">
      <c r="B77" s="2043" t="s">
        <v>1028</v>
      </c>
      <c r="C77" s="2042"/>
      <c r="D77" s="2042"/>
      <c r="E77" s="2041"/>
      <c r="F77" s="1720"/>
      <c r="G77" s="1719"/>
      <c r="H77" s="2040" t="s">
        <v>1027</v>
      </c>
      <c r="I77" s="2039"/>
      <c r="J77" s="2038"/>
      <c r="K77" s="2038"/>
      <c r="L77" s="2038"/>
      <c r="M77" s="2038"/>
      <c r="N77" s="2037"/>
      <c r="O77" s="1719"/>
      <c r="P77" s="1719"/>
      <c r="Q77" s="1719"/>
    </row>
    <row r="78" spans="1:17" ht="25.5">
      <c r="B78" s="4424" t="s">
        <v>1026</v>
      </c>
      <c r="C78" s="4425"/>
      <c r="D78" s="4428" t="s">
        <v>1025</v>
      </c>
      <c r="E78" s="4430">
        <f>(B80*B83)+(C80*C83)+(D80*D83)+(E80*E83)</f>
        <v>228.85000000000002</v>
      </c>
      <c r="F78" s="1720"/>
      <c r="G78" s="1719"/>
      <c r="H78" s="2036" t="s">
        <v>1024</v>
      </c>
      <c r="I78" s="2035" t="s">
        <v>1023</v>
      </c>
      <c r="J78" s="2035" t="s">
        <v>1022</v>
      </c>
      <c r="K78" s="2035" t="s">
        <v>1021</v>
      </c>
      <c r="L78" s="2035" t="s">
        <v>1020</v>
      </c>
      <c r="M78" s="2035" t="s">
        <v>1019</v>
      </c>
      <c r="N78" s="2034" t="s">
        <v>1018</v>
      </c>
      <c r="O78" s="1719"/>
      <c r="P78" s="1719"/>
      <c r="Q78" s="1719"/>
    </row>
    <row r="79" spans="1:17">
      <c r="B79" s="4426"/>
      <c r="C79" s="4427"/>
      <c r="D79" s="4429"/>
      <c r="E79" s="4431"/>
      <c r="F79" s="1720"/>
      <c r="G79" s="1719"/>
      <c r="H79" s="4432">
        <v>0.12</v>
      </c>
      <c r="I79" s="4421">
        <v>1</v>
      </c>
      <c r="J79" s="4421">
        <v>0.11</v>
      </c>
      <c r="K79" s="4421">
        <v>0</v>
      </c>
      <c r="L79" s="4421">
        <v>0.01</v>
      </c>
      <c r="M79" s="4421">
        <v>5.0000000000000001E-3</v>
      </c>
      <c r="N79" s="4434">
        <f>SUM(H79:M79)</f>
        <v>1.2450000000000001</v>
      </c>
      <c r="O79" s="1719"/>
      <c r="P79" s="1719"/>
      <c r="Q79" s="1719"/>
    </row>
    <row r="80" spans="1:17">
      <c r="B80" s="4435">
        <v>6.5000000000000002E-2</v>
      </c>
      <c r="C80" s="4437">
        <v>7.4999999999999997E-2</v>
      </c>
      <c r="D80" s="4437">
        <v>0.12</v>
      </c>
      <c r="E80" s="4439">
        <v>0.15</v>
      </c>
      <c r="F80" s="1720"/>
      <c r="G80" s="1719"/>
      <c r="H80" s="4432"/>
      <c r="I80" s="4421"/>
      <c r="J80" s="4421"/>
      <c r="K80" s="4421"/>
      <c r="L80" s="4421"/>
      <c r="M80" s="4421"/>
      <c r="N80" s="4434"/>
      <c r="O80" s="1719"/>
      <c r="P80" s="1719"/>
      <c r="Q80" s="1719"/>
    </row>
    <row r="81" spans="1:17">
      <c r="B81" s="4436"/>
      <c r="C81" s="4438"/>
      <c r="D81" s="4438"/>
      <c r="E81" s="4440"/>
      <c r="F81" s="1720"/>
      <c r="G81" s="1719"/>
      <c r="H81" s="4441">
        <f>(H79/N79)*N81</f>
        <v>2.1204819277108431</v>
      </c>
      <c r="I81" s="4461">
        <f>(I79/N79)*N81</f>
        <v>17.670682730923691</v>
      </c>
      <c r="J81" s="4461">
        <f>(J79/N79)*N81</f>
        <v>1.9437751004016062</v>
      </c>
      <c r="K81" s="4461">
        <f>(K79/N79)*N81</f>
        <v>0</v>
      </c>
      <c r="L81" s="4461">
        <f>(L79/N79)*N81</f>
        <v>0.17670682730923692</v>
      </c>
      <c r="M81" s="4461">
        <f>(M79/N79)*N81</f>
        <v>8.8353413654618462E-2</v>
      </c>
      <c r="N81" s="4462">
        <v>22</v>
      </c>
      <c r="O81" s="1719"/>
      <c r="P81" s="1719"/>
      <c r="Q81" s="1719"/>
    </row>
    <row r="82" spans="1:17">
      <c r="B82" s="2033" t="s">
        <v>189</v>
      </c>
      <c r="C82" s="2032" t="s">
        <v>282</v>
      </c>
      <c r="D82" s="2032" t="s">
        <v>1017</v>
      </c>
      <c r="E82" s="2031" t="s">
        <v>136</v>
      </c>
      <c r="F82" s="1720"/>
      <c r="G82" s="1719"/>
      <c r="H82" s="4441"/>
      <c r="I82" s="4461"/>
      <c r="J82" s="4461"/>
      <c r="K82" s="4461"/>
      <c r="L82" s="4461"/>
      <c r="M82" s="4461"/>
      <c r="N82" s="4462"/>
      <c r="O82" s="1719"/>
      <c r="P82" s="1719"/>
      <c r="Q82" s="1719"/>
    </row>
    <row r="83" spans="1:17">
      <c r="B83" s="4476">
        <v>920</v>
      </c>
      <c r="C83" s="4478">
        <v>1700</v>
      </c>
      <c r="D83" s="4478">
        <v>240</v>
      </c>
      <c r="E83" s="4480">
        <v>85</v>
      </c>
      <c r="F83" s="1720"/>
      <c r="G83" s="1719"/>
      <c r="H83" s="4482" t="s">
        <v>1016</v>
      </c>
      <c r="I83" s="4483"/>
      <c r="J83" s="4483"/>
      <c r="K83" s="4483"/>
      <c r="L83" s="4483"/>
      <c r="M83" s="4483"/>
      <c r="N83" s="4484"/>
      <c r="O83" s="1719"/>
      <c r="P83" s="1719"/>
      <c r="Q83" s="1719"/>
    </row>
    <row r="84" spans="1:17">
      <c r="B84" s="4477"/>
      <c r="C84" s="4479"/>
      <c r="D84" s="4479"/>
      <c r="E84" s="4481"/>
      <c r="F84" s="1720"/>
      <c r="G84" s="1719"/>
      <c r="H84" s="4485">
        <f t="shared" ref="H84:M84" si="1">ROUNDUP(H81,2)</f>
        <v>2.13</v>
      </c>
      <c r="I84" s="4486">
        <f t="shared" si="1"/>
        <v>17.680000000000003</v>
      </c>
      <c r="J84" s="4486">
        <f t="shared" si="1"/>
        <v>1.95</v>
      </c>
      <c r="K84" s="4486">
        <f t="shared" si="1"/>
        <v>0</v>
      </c>
      <c r="L84" s="4486">
        <f t="shared" si="1"/>
        <v>0.18000000000000002</v>
      </c>
      <c r="M84" s="4486">
        <f t="shared" si="1"/>
        <v>0.09</v>
      </c>
      <c r="N84" s="4449">
        <f>SUM(H84:M84)</f>
        <v>22.03</v>
      </c>
      <c r="O84" s="1719"/>
      <c r="P84" s="1719"/>
      <c r="Q84" s="1719"/>
    </row>
    <row r="85" spans="1:17">
      <c r="B85" s="4450" t="s">
        <v>1015</v>
      </c>
      <c r="C85" s="4452">
        <f>SUM(B83:E83)</f>
        <v>2945</v>
      </c>
      <c r="D85" s="4454" t="s">
        <v>1014</v>
      </c>
      <c r="E85" s="4456">
        <f>IF(E78=0,0,E78/D80)</f>
        <v>1907.0833333333335</v>
      </c>
      <c r="F85" s="1720"/>
      <c r="G85" s="1719"/>
      <c r="H85" s="4485"/>
      <c r="I85" s="4486"/>
      <c r="J85" s="4486"/>
      <c r="K85" s="4486"/>
      <c r="L85" s="4486"/>
      <c r="M85" s="4486"/>
      <c r="N85" s="4449"/>
      <c r="O85" s="1719"/>
      <c r="P85" s="1719"/>
      <c r="Q85" s="1719"/>
    </row>
    <row r="86" spans="1:17" ht="15.75" thickBot="1">
      <c r="B86" s="4451"/>
      <c r="C86" s="4453"/>
      <c r="D86" s="4455"/>
      <c r="E86" s="4457"/>
      <c r="F86" s="1720"/>
      <c r="G86" s="1719"/>
      <c r="H86" s="4458" t="s">
        <v>887</v>
      </c>
      <c r="I86" s="4459"/>
      <c r="J86" s="4459"/>
      <c r="K86" s="4459"/>
      <c r="L86" s="4459"/>
      <c r="M86" s="4459"/>
      <c r="N86" s="4460"/>
      <c r="O86" s="1719"/>
      <c r="P86" s="1719"/>
      <c r="Q86" s="1719"/>
    </row>
    <row r="87" spans="1:17" ht="30.75" customHeight="1" thickBot="1">
      <c r="B87" s="4487" t="s">
        <v>887</v>
      </c>
      <c r="C87" s="4488"/>
      <c r="D87" s="4488"/>
      <c r="E87" s="4489"/>
      <c r="F87" s="1720"/>
      <c r="G87" s="1720"/>
      <c r="H87" s="1720"/>
      <c r="I87" s="1106"/>
      <c r="J87" s="1106"/>
      <c r="K87" s="1106"/>
      <c r="L87" s="1106"/>
      <c r="M87" s="1719"/>
      <c r="N87" s="1719"/>
      <c r="O87" s="1719"/>
      <c r="P87" s="1719"/>
      <c r="Q87" s="1719"/>
    </row>
    <row r="88" spans="1:17" ht="33" customHeight="1">
      <c r="A88" s="1719"/>
      <c r="B88" s="2030"/>
      <c r="C88" s="2030"/>
      <c r="D88" s="2030"/>
      <c r="E88" s="2030"/>
      <c r="F88" s="2030"/>
      <c r="G88" s="2030"/>
      <c r="H88" s="1106"/>
      <c r="I88" s="2028"/>
      <c r="J88" s="2028"/>
      <c r="K88" s="2029"/>
      <c r="L88" s="2029"/>
      <c r="M88" s="2028"/>
      <c r="N88" s="2028"/>
      <c r="O88" s="1719"/>
      <c r="P88" s="1719"/>
      <c r="Q88" s="1106"/>
    </row>
    <row r="89" spans="1:17" ht="18" customHeight="1">
      <c r="A89" s="1719"/>
      <c r="B89" s="1106"/>
      <c r="C89" s="1106"/>
      <c r="D89" s="4490" t="s">
        <v>1013</v>
      </c>
      <c r="E89" s="4490"/>
      <c r="F89" s="4490"/>
      <c r="G89" s="4490"/>
      <c r="H89" s="4490"/>
      <c r="I89" s="4490"/>
      <c r="J89" s="4490"/>
      <c r="K89" s="4490"/>
      <c r="L89" s="4490"/>
      <c r="M89" s="4490"/>
      <c r="N89" s="4490"/>
      <c r="O89" s="4490"/>
      <c r="P89" s="4490"/>
      <c r="Q89" s="1106"/>
    </row>
    <row r="90" spans="1:17">
      <c r="A90" s="1719"/>
      <c r="B90" s="1106"/>
      <c r="C90" s="1106"/>
      <c r="D90" s="2027"/>
      <c r="E90" s="2026"/>
      <c r="F90" s="2026"/>
      <c r="G90" s="2026"/>
      <c r="H90" s="2026"/>
      <c r="I90" s="2026"/>
      <c r="J90" s="2026"/>
      <c r="K90" s="2026"/>
      <c r="L90" s="2026"/>
      <c r="M90" s="2026"/>
      <c r="N90" s="2026"/>
      <c r="O90" s="2026"/>
      <c r="P90" s="2025"/>
      <c r="Q90" s="1106"/>
    </row>
    <row r="91" spans="1:17" ht="15" customHeight="1">
      <c r="A91" s="1719"/>
      <c r="B91" s="1106"/>
      <c r="C91" s="1106"/>
      <c r="D91" s="4491" t="s">
        <v>1012</v>
      </c>
      <c r="E91" s="4492"/>
      <c r="F91" s="4492"/>
      <c r="G91" s="4492"/>
      <c r="H91" s="4492"/>
      <c r="I91" s="4492"/>
      <c r="J91" s="4492"/>
      <c r="K91" s="4492"/>
      <c r="L91" s="4492"/>
      <c r="M91" s="4492"/>
      <c r="N91" s="4492"/>
      <c r="O91" s="4492"/>
      <c r="P91" s="4493"/>
      <c r="Q91" s="1106"/>
    </row>
    <row r="92" spans="1:17" ht="15" customHeight="1">
      <c r="A92" s="1719"/>
      <c r="B92" s="1106"/>
      <c r="C92" s="1106"/>
      <c r="D92" s="2024"/>
      <c r="E92" s="2023"/>
      <c r="F92" s="2023"/>
      <c r="G92" s="2023"/>
      <c r="H92" s="2023"/>
      <c r="I92" s="2023"/>
      <c r="J92" s="2023"/>
      <c r="K92" s="2023"/>
      <c r="L92" s="2023"/>
      <c r="M92" s="2023"/>
      <c r="N92" s="2023"/>
      <c r="O92" s="2023"/>
      <c r="P92" s="2022"/>
      <c r="Q92" s="1106"/>
    </row>
    <row r="93" spans="1:17" ht="15.75">
      <c r="A93" s="1719"/>
      <c r="B93" s="1106"/>
      <c r="C93" s="1106"/>
      <c r="D93" s="1992"/>
      <c r="E93" s="1989"/>
      <c r="F93" s="1989"/>
      <c r="G93" s="2021" t="s">
        <v>910</v>
      </c>
      <c r="H93" s="2020">
        <v>250</v>
      </c>
      <c r="I93" s="2020">
        <v>620</v>
      </c>
      <c r="J93" s="2020">
        <v>37</v>
      </c>
      <c r="K93" s="2020">
        <v>14</v>
      </c>
      <c r="L93" s="1804">
        <f>SUM(H93:K93)</f>
        <v>921</v>
      </c>
      <c r="M93" s="2019" t="s">
        <v>280</v>
      </c>
      <c r="N93" s="2018"/>
      <c r="O93" s="1720"/>
      <c r="P93" s="1988"/>
      <c r="Q93" s="1106"/>
    </row>
    <row r="94" spans="1:17" ht="18" customHeight="1">
      <c r="A94" s="1719"/>
      <c r="B94" s="1106"/>
      <c r="C94" s="1106"/>
      <c r="D94" s="1992"/>
      <c r="E94" s="1989"/>
      <c r="F94" s="1989"/>
      <c r="G94" s="2017" t="s">
        <v>1011</v>
      </c>
      <c r="H94" s="2016">
        <v>4.4999999999999998E-2</v>
      </c>
      <c r="I94" s="2016">
        <v>7.0000000000000007E-2</v>
      </c>
      <c r="J94" s="2016">
        <v>0.11</v>
      </c>
      <c r="K94" s="2015">
        <v>0.13</v>
      </c>
      <c r="L94" s="1720"/>
      <c r="M94" s="2014" t="s">
        <v>908</v>
      </c>
      <c r="N94" s="2013">
        <v>25</v>
      </c>
      <c r="O94" s="2012" t="s">
        <v>375</v>
      </c>
      <c r="P94" s="1988"/>
      <c r="Q94" s="1106"/>
    </row>
    <row r="95" spans="1:17" ht="18" customHeight="1">
      <c r="A95" s="1719"/>
      <c r="B95" s="1106"/>
      <c r="C95" s="1106"/>
      <c r="D95" s="1992"/>
      <c r="E95" s="1989"/>
      <c r="F95" s="1989"/>
      <c r="G95" s="2011" t="s">
        <v>102</v>
      </c>
      <c r="H95" s="2010" t="s">
        <v>128</v>
      </c>
      <c r="I95" s="2008" t="s">
        <v>129</v>
      </c>
      <c r="J95" s="2009" t="s">
        <v>28</v>
      </c>
      <c r="K95" s="2008" t="s">
        <v>136</v>
      </c>
      <c r="L95" s="4433" t="s">
        <v>1010</v>
      </c>
      <c r="M95" s="4433"/>
      <c r="N95" s="4433"/>
      <c r="O95" s="1720"/>
      <c r="P95" s="1988"/>
      <c r="Q95" s="1106"/>
    </row>
    <row r="96" spans="1:17" ht="15.75" customHeight="1">
      <c r="A96" s="1719"/>
      <c r="B96" s="1106"/>
      <c r="C96" s="2007"/>
      <c r="D96" s="1992"/>
      <c r="E96" s="1989"/>
      <c r="F96" s="1989"/>
      <c r="G96" s="2006" t="s">
        <v>1009</v>
      </c>
      <c r="H96" s="2005">
        <f>H94*H93</f>
        <v>11.25</v>
      </c>
      <c r="I96" s="2005">
        <f>I94*I93</f>
        <v>43.400000000000006</v>
      </c>
      <c r="J96" s="2005">
        <f>J94*J93</f>
        <v>4.07</v>
      </c>
      <c r="K96" s="2004">
        <f>K94*K93</f>
        <v>1.82</v>
      </c>
      <c r="L96" s="2003">
        <f>SUM(H96:K96)</f>
        <v>60.540000000000006</v>
      </c>
      <c r="M96" s="2003"/>
      <c r="N96" s="2002" t="s">
        <v>36</v>
      </c>
      <c r="O96" s="1720"/>
      <c r="P96" s="1881"/>
      <c r="Q96" s="1106"/>
    </row>
    <row r="97" spans="1:17" ht="16.5" customHeight="1">
      <c r="A97" s="1719"/>
      <c r="B97" s="1106"/>
      <c r="C97" s="1106"/>
      <c r="D97" s="1992"/>
      <c r="E97" s="1989"/>
      <c r="F97" s="1989"/>
      <c r="G97" s="1947" t="s">
        <v>907</v>
      </c>
      <c r="H97" s="2001">
        <f>H96/(100-N94)*100</f>
        <v>15</v>
      </c>
      <c r="I97" s="2001">
        <f>I96/(100-N94)*100</f>
        <v>57.866666666666674</v>
      </c>
      <c r="J97" s="2001">
        <f>J96/(100-N94)*100</f>
        <v>5.4266666666666667</v>
      </c>
      <c r="K97" s="2000">
        <f>K96/(100-N94)*100</f>
        <v>2.4266666666666667</v>
      </c>
      <c r="L97" s="1999">
        <f>SUM(H97:K97)</f>
        <v>80.72</v>
      </c>
      <c r="M97" s="1998"/>
      <c r="N97" s="1823" t="s">
        <v>37</v>
      </c>
      <c r="O97" s="1720"/>
      <c r="P97" s="1881"/>
      <c r="Q97" s="1106"/>
    </row>
    <row r="98" spans="1:17" ht="18" customHeight="1">
      <c r="A98" s="1719"/>
      <c r="B98" s="1106"/>
      <c r="C98" s="1106"/>
      <c r="D98" s="1992"/>
      <c r="E98" s="1989"/>
      <c r="F98" s="1989"/>
      <c r="G98" s="1989"/>
      <c r="H98" s="1989"/>
      <c r="I98" s="1989"/>
      <c r="J98" s="1989"/>
      <c r="K98" s="1989"/>
      <c r="L98" s="1996">
        <f>L97-L96</f>
        <v>20.179999999999993</v>
      </c>
      <c r="M98" s="1996"/>
      <c r="N98" s="1995" t="s">
        <v>1008</v>
      </c>
      <c r="O98" s="1994"/>
      <c r="P98" s="1988"/>
      <c r="Q98" s="1106"/>
    </row>
    <row r="99" spans="1:17" ht="18" customHeight="1">
      <c r="A99" s="1719"/>
      <c r="B99" s="1106"/>
      <c r="C99" s="1106"/>
      <c r="D99" s="1992"/>
      <c r="E99" s="1989"/>
      <c r="F99" s="1989"/>
      <c r="G99" s="1989"/>
      <c r="H99" s="1989"/>
      <c r="I99" s="1989"/>
      <c r="J99" s="1989"/>
      <c r="K99" s="1989"/>
      <c r="L99" s="1997">
        <f>(L98/L93)*1000</f>
        <v>21.910966340933761</v>
      </c>
      <c r="M99" s="1996"/>
      <c r="N99" s="1995" t="s">
        <v>1007</v>
      </c>
      <c r="O99" s="1994"/>
      <c r="P99" s="1988"/>
      <c r="Q99" s="1106"/>
    </row>
    <row r="100" spans="1:17">
      <c r="A100" s="1719"/>
      <c r="B100" s="1106"/>
      <c r="C100" s="1106"/>
      <c r="D100" s="1992"/>
      <c r="E100" s="1993" t="s">
        <v>375</v>
      </c>
      <c r="F100" s="1990" t="s">
        <v>1006</v>
      </c>
      <c r="G100" s="1989"/>
      <c r="H100" s="1989"/>
      <c r="I100" s="1989"/>
      <c r="J100" s="1989"/>
      <c r="K100" s="1989"/>
      <c r="L100" s="1989"/>
      <c r="M100" s="1989"/>
      <c r="N100" s="1989"/>
      <c r="O100" s="1989"/>
      <c r="P100" s="1988"/>
      <c r="Q100" s="1106"/>
    </row>
    <row r="101" spans="1:17">
      <c r="A101" s="1719"/>
      <c r="B101" s="1106"/>
      <c r="C101" s="1106"/>
      <c r="D101" s="1992"/>
      <c r="E101" s="1991"/>
      <c r="F101" s="1990" t="s">
        <v>1005</v>
      </c>
      <c r="G101" s="1989"/>
      <c r="H101" s="1989"/>
      <c r="I101" s="1989"/>
      <c r="J101" s="1989"/>
      <c r="K101" s="1989"/>
      <c r="L101" s="1989"/>
      <c r="M101" s="1989"/>
      <c r="N101" s="1989"/>
      <c r="O101" s="1989"/>
      <c r="P101" s="1988"/>
      <c r="Q101" s="1106"/>
    </row>
    <row r="102" spans="1:17">
      <c r="A102" s="1719"/>
      <c r="B102" s="1106"/>
      <c r="C102" s="1106"/>
      <c r="D102" s="1987"/>
      <c r="E102" s="1974"/>
      <c r="F102" s="1974"/>
      <c r="G102" s="1974"/>
      <c r="H102" s="1974"/>
      <c r="I102" s="1974"/>
      <c r="J102" s="1974"/>
      <c r="K102" s="1974"/>
      <c r="L102" s="1974"/>
      <c r="M102" s="1974"/>
      <c r="N102" s="1974"/>
      <c r="O102" s="1974"/>
      <c r="P102" s="1972"/>
      <c r="Q102" s="1106"/>
    </row>
    <row r="103" spans="1:17">
      <c r="A103" s="1719"/>
      <c r="B103" s="1106"/>
      <c r="C103" s="1106"/>
      <c r="D103" s="1106"/>
      <c r="E103" s="1106"/>
      <c r="F103" s="1106"/>
      <c r="G103" s="1106"/>
      <c r="H103" s="1106"/>
      <c r="I103" s="1106"/>
      <c r="J103" s="1106"/>
      <c r="K103" s="1106"/>
      <c r="L103" s="1106"/>
      <c r="M103" s="1106"/>
      <c r="N103" s="1106"/>
      <c r="O103" s="1106"/>
      <c r="P103" s="1106"/>
      <c r="Q103" s="1106"/>
    </row>
    <row r="104" spans="1:17">
      <c r="A104" s="1719"/>
      <c r="B104" s="1106"/>
      <c r="C104" s="1106"/>
      <c r="D104" s="1106"/>
      <c r="E104" s="1106"/>
      <c r="F104" s="1106"/>
      <c r="G104" s="1106"/>
      <c r="H104" s="1106"/>
      <c r="I104" s="1106"/>
      <c r="J104" s="1106"/>
      <c r="K104" s="1106"/>
      <c r="L104" s="1106"/>
      <c r="M104" s="1106"/>
      <c r="N104" s="1106"/>
      <c r="O104" s="1106"/>
      <c r="P104" s="1106"/>
      <c r="Q104" s="1106"/>
    </row>
    <row r="105" spans="1:17" ht="15.75">
      <c r="A105" s="1719"/>
      <c r="B105" s="1106"/>
      <c r="C105" s="4468" t="s">
        <v>1004</v>
      </c>
      <c r="D105" s="4469"/>
      <c r="E105" s="4469"/>
      <c r="F105" s="4469"/>
      <c r="G105" s="4469"/>
      <c r="H105" s="4469"/>
      <c r="I105" s="4469"/>
      <c r="J105" s="4469"/>
      <c r="K105" s="4469"/>
      <c r="L105" s="4470"/>
      <c r="M105" s="1719"/>
      <c r="N105" s="1719"/>
      <c r="O105" s="1719"/>
      <c r="P105" s="1719"/>
      <c r="Q105" s="1719"/>
    </row>
    <row r="106" spans="1:17" ht="22.5">
      <c r="A106" s="1719"/>
      <c r="B106" s="1106"/>
      <c r="C106" s="4471" t="s">
        <v>1003</v>
      </c>
      <c r="D106" s="4472"/>
      <c r="E106" s="4472"/>
      <c r="F106" s="1986">
        <v>1</v>
      </c>
      <c r="G106" s="1983">
        <f>F106</f>
        <v>1</v>
      </c>
      <c r="H106" s="4473" t="s">
        <v>1002</v>
      </c>
      <c r="I106" s="4473"/>
      <c r="J106" s="1985" t="s">
        <v>1001</v>
      </c>
      <c r="K106" s="4474" t="s">
        <v>1000</v>
      </c>
      <c r="L106" s="4475"/>
      <c r="M106" s="1719"/>
      <c r="N106" s="1719"/>
      <c r="O106" s="1719"/>
      <c r="P106" s="1719"/>
      <c r="Q106" s="1719"/>
    </row>
    <row r="107" spans="1:17">
      <c r="A107" s="1719"/>
      <c r="B107" s="1106"/>
      <c r="C107" s="4463" t="s">
        <v>999</v>
      </c>
      <c r="D107" s="4464"/>
      <c r="E107" s="4464"/>
      <c r="F107" s="1984">
        <v>25</v>
      </c>
      <c r="G107" s="1983">
        <f>G106</f>
        <v>1</v>
      </c>
      <c r="H107" s="4465">
        <f t="shared" ref="H107:H113" si="2">(G107*F107)/100</f>
        <v>0.25</v>
      </c>
      <c r="I107" s="4465"/>
      <c r="J107" s="1982">
        <v>20</v>
      </c>
      <c r="K107" s="4466">
        <f t="shared" ref="K107:K113" si="3">H107/(100-J107)*100</f>
        <v>0.3125</v>
      </c>
      <c r="L107" s="4467"/>
      <c r="M107" s="1719"/>
      <c r="N107" s="1719"/>
      <c r="O107" s="1719"/>
      <c r="P107" s="1719"/>
      <c r="Q107" s="1719"/>
    </row>
    <row r="108" spans="1:17">
      <c r="A108" s="1719"/>
      <c r="B108" s="1106"/>
      <c r="C108" s="4463" t="s">
        <v>998</v>
      </c>
      <c r="D108" s="4464"/>
      <c r="E108" s="4464"/>
      <c r="F108" s="1984">
        <v>20</v>
      </c>
      <c r="G108" s="1983">
        <f>G106</f>
        <v>1</v>
      </c>
      <c r="H108" s="4465">
        <f t="shared" si="2"/>
        <v>0.2</v>
      </c>
      <c r="I108" s="4465"/>
      <c r="J108" s="1982">
        <v>25</v>
      </c>
      <c r="K108" s="4466">
        <f t="shared" si="3"/>
        <v>0.26666666666666672</v>
      </c>
      <c r="L108" s="4467"/>
      <c r="M108" s="1719"/>
      <c r="N108" s="1719"/>
      <c r="O108" s="1719"/>
      <c r="P108" s="1719"/>
      <c r="Q108" s="1719"/>
    </row>
    <row r="109" spans="1:17">
      <c r="A109" s="1719"/>
      <c r="B109" s="1106"/>
      <c r="C109" s="4463" t="s">
        <v>997</v>
      </c>
      <c r="D109" s="4464"/>
      <c r="E109" s="4464"/>
      <c r="F109" s="1984">
        <v>15</v>
      </c>
      <c r="G109" s="1983">
        <f>G106</f>
        <v>1</v>
      </c>
      <c r="H109" s="4465">
        <f t="shared" si="2"/>
        <v>0.15</v>
      </c>
      <c r="I109" s="4465"/>
      <c r="J109" s="1982">
        <v>20</v>
      </c>
      <c r="K109" s="4466">
        <f t="shared" si="3"/>
        <v>0.1875</v>
      </c>
      <c r="L109" s="4467"/>
      <c r="M109" s="1719"/>
      <c r="N109" s="1719"/>
      <c r="O109" s="1719"/>
      <c r="P109" s="1719"/>
      <c r="Q109" s="1719"/>
    </row>
    <row r="110" spans="1:17">
      <c r="A110" s="1719"/>
      <c r="B110" s="1106"/>
      <c r="C110" s="4463" t="s">
        <v>996</v>
      </c>
      <c r="D110" s="4464"/>
      <c r="E110" s="4464"/>
      <c r="F110" s="1984">
        <v>15</v>
      </c>
      <c r="G110" s="1983">
        <f>G106</f>
        <v>1</v>
      </c>
      <c r="H110" s="4465">
        <f t="shared" si="2"/>
        <v>0.15</v>
      </c>
      <c r="I110" s="4465"/>
      <c r="J110" s="1982">
        <v>0</v>
      </c>
      <c r="K110" s="4466">
        <f t="shared" si="3"/>
        <v>0.15</v>
      </c>
      <c r="L110" s="4467"/>
      <c r="M110" s="1719"/>
      <c r="N110" s="1719"/>
      <c r="O110" s="1719"/>
      <c r="P110" s="1719"/>
      <c r="Q110" s="1719"/>
    </row>
    <row r="111" spans="1:17">
      <c r="A111" s="1719"/>
      <c r="B111" s="1106"/>
      <c r="C111" s="4463" t="s">
        <v>995</v>
      </c>
      <c r="D111" s="4464"/>
      <c r="E111" s="4464"/>
      <c r="F111" s="1984">
        <v>10</v>
      </c>
      <c r="G111" s="1983">
        <f>G106</f>
        <v>1</v>
      </c>
      <c r="H111" s="4465">
        <f t="shared" si="2"/>
        <v>0.1</v>
      </c>
      <c r="I111" s="4465"/>
      <c r="J111" s="1982">
        <v>20</v>
      </c>
      <c r="K111" s="4466">
        <f t="shared" si="3"/>
        <v>0.125</v>
      </c>
      <c r="L111" s="4467"/>
      <c r="M111" s="1719"/>
      <c r="N111" s="1719"/>
      <c r="O111" s="1719"/>
      <c r="P111" s="1719"/>
      <c r="Q111" s="1719"/>
    </row>
    <row r="112" spans="1:17">
      <c r="A112" s="1719"/>
      <c r="B112" s="1106"/>
      <c r="C112" s="4463" t="s">
        <v>994</v>
      </c>
      <c r="D112" s="4464"/>
      <c r="E112" s="4464"/>
      <c r="F112" s="1984">
        <v>7.5</v>
      </c>
      <c r="G112" s="1983">
        <f>G106</f>
        <v>1</v>
      </c>
      <c r="H112" s="4465">
        <f t="shared" si="2"/>
        <v>7.4999999999999997E-2</v>
      </c>
      <c r="I112" s="4465"/>
      <c r="J112" s="1982">
        <v>20</v>
      </c>
      <c r="K112" s="4466">
        <f t="shared" si="3"/>
        <v>9.375E-2</v>
      </c>
      <c r="L112" s="4467"/>
      <c r="M112" s="1719"/>
      <c r="N112" s="1719"/>
      <c r="O112" s="1719"/>
      <c r="P112" s="1719"/>
      <c r="Q112" s="1719"/>
    </row>
    <row r="113" spans="1:17">
      <c r="A113" s="1719"/>
      <c r="B113" s="1106"/>
      <c r="C113" s="4463" t="s">
        <v>993</v>
      </c>
      <c r="D113" s="4464"/>
      <c r="E113" s="4464"/>
      <c r="F113" s="1984">
        <v>7.5</v>
      </c>
      <c r="G113" s="1983">
        <f>G106</f>
        <v>1</v>
      </c>
      <c r="H113" s="4465">
        <f t="shared" si="2"/>
        <v>7.4999999999999997E-2</v>
      </c>
      <c r="I113" s="4465"/>
      <c r="J113" s="1982">
        <v>20</v>
      </c>
      <c r="K113" s="4466">
        <f t="shared" si="3"/>
        <v>9.375E-2</v>
      </c>
      <c r="L113" s="4467"/>
      <c r="M113" s="1719"/>
      <c r="N113" s="1719"/>
      <c r="O113" s="1719"/>
      <c r="P113" s="1719"/>
      <c r="Q113" s="1719"/>
    </row>
    <row r="114" spans="1:17">
      <c r="A114" s="1719"/>
      <c r="B114" s="1106"/>
      <c r="C114" s="4496" t="s">
        <v>135</v>
      </c>
      <c r="D114" s="4497"/>
      <c r="E114" s="4497"/>
      <c r="F114" s="1981">
        <f>SUM(F107:F113)</f>
        <v>100</v>
      </c>
      <c r="G114" s="1980"/>
      <c r="H114" s="1979"/>
      <c r="I114" s="1106"/>
      <c r="J114" s="1979"/>
      <c r="K114" s="1979"/>
      <c r="L114" s="1978"/>
      <c r="M114" s="1719"/>
      <c r="N114" s="1719"/>
      <c r="O114" s="1719"/>
      <c r="P114" s="1719"/>
      <c r="Q114" s="1719"/>
    </row>
    <row r="115" spans="1:17">
      <c r="A115" s="1719"/>
      <c r="B115" s="1106"/>
      <c r="C115" s="1977"/>
      <c r="D115" s="1976"/>
      <c r="E115" s="1976"/>
      <c r="F115" s="1975"/>
      <c r="G115" s="1973"/>
      <c r="H115" s="1973"/>
      <c r="I115" s="1974"/>
      <c r="J115" s="1973"/>
      <c r="K115" s="1973"/>
      <c r="L115" s="1972"/>
      <c r="M115" s="1719"/>
      <c r="N115" s="1719"/>
      <c r="O115" s="1719"/>
      <c r="P115" s="1719"/>
      <c r="Q115" s="1719"/>
    </row>
    <row r="116" spans="1:17">
      <c r="A116" s="1719"/>
      <c r="B116" s="1106"/>
      <c r="C116" s="1106"/>
      <c r="D116" s="1106"/>
      <c r="E116" s="1106"/>
      <c r="F116" s="1106"/>
      <c r="G116" s="1106"/>
      <c r="H116" s="1106"/>
      <c r="I116" s="1106"/>
      <c r="J116" s="1106"/>
      <c r="K116" s="1106"/>
      <c r="L116" s="1106"/>
      <c r="M116" s="1719"/>
      <c r="N116" s="1719"/>
      <c r="O116" s="1719"/>
      <c r="P116" s="1719"/>
      <c r="Q116" s="1719"/>
    </row>
    <row r="117" spans="1:17" ht="15.75" thickBot="1">
      <c r="A117" s="1719"/>
      <c r="B117" s="1106"/>
      <c r="C117" s="1106"/>
      <c r="D117" s="1106"/>
      <c r="E117" s="1106"/>
      <c r="F117" s="1106"/>
      <c r="G117" s="1106"/>
      <c r="H117" s="1106"/>
      <c r="I117" s="1106"/>
      <c r="J117" s="1106"/>
      <c r="K117" s="1106"/>
      <c r="L117" s="1106"/>
      <c r="M117" s="1719"/>
      <c r="N117" s="1719"/>
      <c r="O117" s="1719"/>
      <c r="P117" s="1719"/>
      <c r="Q117" s="1719"/>
    </row>
    <row r="118" spans="1:17" ht="18.75">
      <c r="A118" s="1719"/>
      <c r="B118" s="1106"/>
      <c r="C118" s="4498" t="s">
        <v>992</v>
      </c>
      <c r="D118" s="4499"/>
      <c r="E118" s="4499"/>
      <c r="F118" s="4499"/>
      <c r="G118" s="4499"/>
      <c r="H118" s="4499"/>
      <c r="I118" s="4499"/>
      <c r="J118" s="4499"/>
      <c r="K118" s="4499"/>
      <c r="L118" s="4500"/>
      <c r="M118" s="1719"/>
      <c r="N118" s="1719"/>
      <c r="O118" s="1719"/>
      <c r="P118" s="1719"/>
      <c r="Q118" s="1719"/>
    </row>
    <row r="119" spans="1:17">
      <c r="A119" s="1719"/>
      <c r="B119" s="1106"/>
      <c r="C119" s="4501" t="s">
        <v>991</v>
      </c>
      <c r="D119" s="4502"/>
      <c r="E119" s="4502"/>
      <c r="F119" s="4502"/>
      <c r="G119" s="4502"/>
      <c r="H119" s="4502"/>
      <c r="I119" s="4502"/>
      <c r="J119" s="4502"/>
      <c r="K119" s="4502"/>
      <c r="L119" s="4503"/>
      <c r="M119" s="1719"/>
      <c r="N119" s="1719"/>
      <c r="O119" s="1719"/>
      <c r="P119" s="1719"/>
      <c r="Q119" s="1719"/>
    </row>
    <row r="120" spans="1:17" ht="18">
      <c r="A120" s="1719"/>
      <c r="B120" s="1106"/>
      <c r="C120" s="4504" t="s">
        <v>990</v>
      </c>
      <c r="D120" s="4505"/>
      <c r="E120" s="4505"/>
      <c r="F120" s="4505"/>
      <c r="G120" s="4505"/>
      <c r="H120" s="4505"/>
      <c r="I120" s="4505"/>
      <c r="J120" s="4505"/>
      <c r="K120" s="4505"/>
      <c r="L120" s="4506"/>
      <c r="M120" s="1719"/>
      <c r="N120" s="1719"/>
      <c r="O120" s="1719"/>
      <c r="P120" s="1719"/>
      <c r="Q120" s="1719"/>
    </row>
    <row r="121" spans="1:17">
      <c r="A121" s="1719"/>
      <c r="B121" s="1106"/>
      <c r="C121" s="4507" t="str">
        <f ca="1">CELL("nomfichier")</f>
        <v>E:\0-UPRT\1-UPRT.FR-SITE-WEB\ff-fiches-fabrications\ff-fiches-fabrication-maj-08-2020\[ff-2-A-collectivite.poids.portion.xlsx]Nota</v>
      </c>
      <c r="D121" s="4508"/>
      <c r="E121" s="4508"/>
      <c r="F121" s="4508"/>
      <c r="G121" s="4508"/>
      <c r="H121" s="4508"/>
      <c r="I121" s="4508"/>
      <c r="J121" s="4508"/>
      <c r="K121" s="4508"/>
      <c r="L121" s="4509"/>
      <c r="M121" s="1719"/>
      <c r="N121" s="1719"/>
      <c r="O121" s="1719"/>
      <c r="P121" s="1719"/>
      <c r="Q121" s="1719"/>
    </row>
    <row r="122" spans="1:17" ht="26.25">
      <c r="A122" s="1719"/>
      <c r="B122" s="1106"/>
      <c r="C122" s="4510" t="s">
        <v>989</v>
      </c>
      <c r="D122" s="4511"/>
      <c r="E122" s="4511"/>
      <c r="F122" s="4511"/>
      <c r="G122" s="4511"/>
      <c r="H122" s="4511"/>
      <c r="I122" s="4511"/>
      <c r="J122" s="4511"/>
      <c r="K122" s="4511"/>
      <c r="L122" s="4512"/>
      <c r="M122" s="1719"/>
      <c r="N122" s="1719"/>
      <c r="O122" s="1719"/>
      <c r="P122" s="1719"/>
      <c r="Q122" s="1719"/>
    </row>
    <row r="123" spans="1:17" ht="26.25">
      <c r="A123" s="1719"/>
      <c r="B123" s="1106"/>
      <c r="C123" s="1815"/>
      <c r="D123" s="1971"/>
      <c r="E123" s="1971" t="s">
        <v>988</v>
      </c>
      <c r="F123" s="1106"/>
      <c r="G123" s="1970">
        <f ca="1">TODAY()</f>
        <v>44608</v>
      </c>
      <c r="H123" s="1969"/>
      <c r="I123" s="1968"/>
      <c r="J123" s="1967">
        <f ca="1">NOW()</f>
        <v>44608.74733564815</v>
      </c>
      <c r="K123" s="1967"/>
      <c r="L123" s="1966"/>
      <c r="M123" s="1719"/>
      <c r="N123" s="1719"/>
      <c r="O123" s="1719"/>
      <c r="P123" s="1719"/>
      <c r="Q123" s="1719"/>
    </row>
    <row r="124" spans="1:17" ht="15.75">
      <c r="A124" s="1719"/>
      <c r="B124" s="1106"/>
      <c r="C124" s="4494">
        <v>1</v>
      </c>
      <c r="D124" s="1956" t="s">
        <v>987</v>
      </c>
      <c r="E124" s="1719"/>
      <c r="F124" s="1106"/>
      <c r="G124" s="1965"/>
      <c r="H124" s="1965"/>
      <c r="I124" s="1965"/>
      <c r="J124" s="1965"/>
      <c r="K124" s="1965"/>
      <c r="L124" s="1964"/>
      <c r="M124" s="1719"/>
      <c r="N124" s="1719"/>
      <c r="O124" s="1719"/>
      <c r="P124" s="1719"/>
      <c r="Q124" s="1719"/>
    </row>
    <row r="125" spans="1:17">
      <c r="A125" s="1719"/>
      <c r="B125" s="1106"/>
      <c r="C125" s="4494"/>
      <c r="D125" s="4495" t="s">
        <v>58</v>
      </c>
      <c r="E125" s="4495"/>
      <c r="F125" s="4495"/>
      <c r="G125" s="1963"/>
      <c r="H125" s="1951" t="s">
        <v>128</v>
      </c>
      <c r="I125" s="1950" t="s">
        <v>129</v>
      </c>
      <c r="J125" s="1950" t="s">
        <v>28</v>
      </c>
      <c r="K125" s="1950" t="s">
        <v>136</v>
      </c>
      <c r="L125" s="1949" t="s">
        <v>979</v>
      </c>
      <c r="M125" s="1719"/>
      <c r="N125" s="1719"/>
      <c r="O125" s="1719"/>
      <c r="P125" s="1719"/>
      <c r="Q125" s="1719"/>
    </row>
    <row r="126" spans="1:17" ht="15.75">
      <c r="A126" s="1719"/>
      <c r="B126" s="1106"/>
      <c r="C126" s="4494"/>
      <c r="D126" s="4495" t="s">
        <v>986</v>
      </c>
      <c r="E126" s="4495"/>
      <c r="F126" s="4495"/>
      <c r="G126" s="1959">
        <f>SUM(H126:L126)</f>
        <v>2170</v>
      </c>
      <c r="H126" s="1962">
        <v>550</v>
      </c>
      <c r="I126" s="1962">
        <v>920</v>
      </c>
      <c r="J126" s="1962">
        <v>340</v>
      </c>
      <c r="K126" s="1962">
        <v>150</v>
      </c>
      <c r="L126" s="1961">
        <v>210</v>
      </c>
      <c r="M126" s="1719"/>
      <c r="N126" s="1719"/>
      <c r="O126" s="1719"/>
      <c r="P126" s="1719"/>
      <c r="Q126" s="1719"/>
    </row>
    <row r="127" spans="1:17" ht="15.75">
      <c r="A127" s="1719"/>
      <c r="B127" s="1106"/>
      <c r="C127" s="1948"/>
      <c r="D127" s="1960"/>
      <c r="E127" s="1960"/>
      <c r="F127" s="1960"/>
      <c r="G127" s="1959"/>
      <c r="H127" s="1958"/>
      <c r="I127" s="1958"/>
      <c r="J127" s="1958"/>
      <c r="K127" s="1958"/>
      <c r="L127" s="1957"/>
      <c r="M127" s="1719"/>
      <c r="N127" s="1719"/>
      <c r="O127" s="1719"/>
      <c r="P127" s="1719"/>
      <c r="Q127" s="1719"/>
    </row>
    <row r="128" spans="1:17" ht="15.75" customHeight="1">
      <c r="A128" s="1719"/>
      <c r="B128" s="1106"/>
      <c r="C128" s="4494">
        <v>2</v>
      </c>
      <c r="D128" s="1956" t="s">
        <v>985</v>
      </c>
      <c r="E128" s="1719"/>
      <c r="F128" s="1106"/>
      <c r="G128" s="1720"/>
      <c r="H128" s="1720"/>
      <c r="I128" s="1720"/>
      <c r="J128" s="1720"/>
      <c r="K128" s="1720"/>
      <c r="L128" s="1955"/>
      <c r="M128" s="1719"/>
      <c r="N128" s="1719"/>
      <c r="O128" s="1719"/>
      <c r="P128" s="1719"/>
      <c r="Q128" s="1719"/>
    </row>
    <row r="129" spans="1:17" ht="15" customHeight="1">
      <c r="A129" s="1719"/>
      <c r="B129" s="1106"/>
      <c r="C129" s="4494"/>
      <c r="D129" s="4513" t="s">
        <v>984</v>
      </c>
      <c r="E129" s="4513"/>
      <c r="F129" s="4513"/>
      <c r="G129" s="1876">
        <f>(H129*H126)+(I129*I126)+(J129*J126)+(K129*K126)+(L129*L126)</f>
        <v>1470</v>
      </c>
      <c r="H129" s="1953">
        <v>0</v>
      </c>
      <c r="I129" s="1953">
        <v>1</v>
      </c>
      <c r="J129" s="1953">
        <v>1</v>
      </c>
      <c r="K129" s="1953">
        <v>0</v>
      </c>
      <c r="L129" s="1952">
        <v>1</v>
      </c>
      <c r="M129" s="1719"/>
      <c r="N129" s="1719"/>
      <c r="O129" s="1719"/>
      <c r="P129" s="1719"/>
      <c r="Q129" s="1719"/>
    </row>
    <row r="130" spans="1:17" ht="15" customHeight="1">
      <c r="A130" s="1719"/>
      <c r="B130" s="1106"/>
      <c r="C130" s="4494"/>
      <c r="D130" s="4513" t="s">
        <v>983</v>
      </c>
      <c r="E130" s="4513"/>
      <c r="F130" s="4513"/>
      <c r="G130" s="1876">
        <f>(H130*H126)+(I130*I126)+(J130*J126)+(K130*K126)+(L130*L126)</f>
        <v>850</v>
      </c>
      <c r="H130" s="1953">
        <v>1</v>
      </c>
      <c r="I130" s="1953">
        <v>0</v>
      </c>
      <c r="J130" s="1953">
        <v>0</v>
      </c>
      <c r="K130" s="1953">
        <v>2</v>
      </c>
      <c r="L130" s="1952">
        <v>0</v>
      </c>
      <c r="M130" s="1719"/>
      <c r="N130" s="1719"/>
      <c r="O130" s="1719"/>
      <c r="P130" s="1719"/>
      <c r="Q130" s="1719"/>
    </row>
    <row r="131" spans="1:17" ht="15" customHeight="1">
      <c r="A131" s="1719"/>
      <c r="B131" s="1106"/>
      <c r="C131" s="4494"/>
      <c r="D131" s="4513" t="s">
        <v>982</v>
      </c>
      <c r="E131" s="4513"/>
      <c r="F131" s="4513"/>
      <c r="G131" s="1876">
        <f>(H131*H126)+(I131*I126)+(J131*J126)+(K131*K126)+(L131*L126)</f>
        <v>1895</v>
      </c>
      <c r="H131" s="1954">
        <v>0.5</v>
      </c>
      <c r="I131" s="1953">
        <v>1</v>
      </c>
      <c r="J131" s="1953">
        <v>1</v>
      </c>
      <c r="K131" s="1953">
        <v>1</v>
      </c>
      <c r="L131" s="1952">
        <v>1</v>
      </c>
      <c r="M131" s="1719"/>
      <c r="N131" s="1719"/>
      <c r="O131" s="1719"/>
      <c r="P131" s="1719"/>
      <c r="Q131" s="1719"/>
    </row>
    <row r="132" spans="1:17" ht="15" customHeight="1">
      <c r="A132" s="1719"/>
      <c r="B132" s="1106"/>
      <c r="C132" s="4494"/>
      <c r="D132" s="4513" t="s">
        <v>981</v>
      </c>
      <c r="E132" s="4513"/>
      <c r="F132" s="4513"/>
      <c r="G132" s="1876">
        <f>(H132*H126)+(I132*I126)+(J132*J126)+(K132*K126)+(L132*L126)</f>
        <v>1190</v>
      </c>
      <c r="H132" s="1953">
        <v>0</v>
      </c>
      <c r="I132" s="1953">
        <v>0</v>
      </c>
      <c r="J132" s="1953">
        <v>2</v>
      </c>
      <c r="K132" s="1953">
        <v>2</v>
      </c>
      <c r="L132" s="1952">
        <v>1</v>
      </c>
      <c r="M132" s="1719"/>
      <c r="N132" s="1719"/>
      <c r="O132" s="1719"/>
      <c r="P132" s="1719"/>
      <c r="Q132" s="1719"/>
    </row>
    <row r="133" spans="1:17" ht="15" customHeight="1">
      <c r="A133" s="1719"/>
      <c r="B133" s="1106"/>
      <c r="C133" s="4494"/>
      <c r="D133" s="4513" t="s">
        <v>980</v>
      </c>
      <c r="E133" s="4513"/>
      <c r="F133" s="4513"/>
      <c r="G133" s="1876">
        <f>(H133*H126)+(I133*I126)+(J133*J126)+(K133*K126)+(L133*L126)</f>
        <v>2540</v>
      </c>
      <c r="H133" s="1953">
        <v>1</v>
      </c>
      <c r="I133" s="1953">
        <v>2</v>
      </c>
      <c r="J133" s="1953">
        <v>0</v>
      </c>
      <c r="K133" s="1953">
        <v>1</v>
      </c>
      <c r="L133" s="1952">
        <v>0</v>
      </c>
      <c r="M133" s="1719"/>
      <c r="N133" s="1719"/>
      <c r="O133" s="1719"/>
      <c r="P133" s="1719"/>
      <c r="Q133" s="1719"/>
    </row>
    <row r="134" spans="1:17" ht="15.75">
      <c r="A134" s="1719"/>
      <c r="B134" s="1106"/>
      <c r="C134" s="1948"/>
      <c r="D134" s="1944"/>
      <c r="E134" s="1719"/>
      <c r="F134" s="1106"/>
      <c r="G134" s="1876"/>
      <c r="H134" s="1951" t="s">
        <v>128</v>
      </c>
      <c r="I134" s="1950" t="s">
        <v>129</v>
      </c>
      <c r="J134" s="1950" t="s">
        <v>28</v>
      </c>
      <c r="K134" s="1950" t="s">
        <v>136</v>
      </c>
      <c r="L134" s="1949" t="s">
        <v>979</v>
      </c>
      <c r="M134" s="1719"/>
      <c r="N134" s="1719"/>
      <c r="O134" s="1719"/>
      <c r="P134" s="1719"/>
      <c r="Q134" s="1719"/>
    </row>
    <row r="135" spans="1:17" ht="15.75">
      <c r="A135" s="1719"/>
      <c r="B135" s="1106"/>
      <c r="C135" s="1948"/>
      <c r="D135" s="1944"/>
      <c r="E135" s="1719"/>
      <c r="F135" s="1106"/>
      <c r="G135" s="1947" t="s">
        <v>978</v>
      </c>
      <c r="H135" s="1946">
        <f>SUM(H129:H134)</f>
        <v>2.5</v>
      </c>
      <c r="I135" s="1946">
        <f>SUM(I129:I134)</f>
        <v>4</v>
      </c>
      <c r="J135" s="1946">
        <f>SUM(J129:J134)</f>
        <v>4</v>
      </c>
      <c r="K135" s="1946">
        <f>SUM(K129:K134)</f>
        <v>6</v>
      </c>
      <c r="L135" s="1945">
        <f>SUM(L129:L134)</f>
        <v>3</v>
      </c>
      <c r="M135" s="1719"/>
      <c r="N135" s="1719"/>
      <c r="O135" s="1719"/>
      <c r="P135" s="1719"/>
      <c r="Q135" s="1719"/>
    </row>
    <row r="136" spans="1:17">
      <c r="A136" s="1719"/>
      <c r="B136" s="1106"/>
      <c r="C136" s="1942"/>
      <c r="D136" s="1944"/>
      <c r="E136" s="1719"/>
      <c r="F136" s="1106"/>
      <c r="G136" s="1943"/>
      <c r="H136" s="1938"/>
      <c r="I136" s="1938"/>
      <c r="J136" s="1938"/>
      <c r="K136" s="1938"/>
      <c r="L136" s="1937"/>
      <c r="M136" s="1719"/>
      <c r="N136" s="1719"/>
      <c r="O136" s="1719"/>
      <c r="P136" s="1719"/>
      <c r="Q136" s="1719"/>
    </row>
    <row r="137" spans="1:17" ht="15.75">
      <c r="A137" s="1719"/>
      <c r="B137" s="1106"/>
      <c r="C137" s="1936">
        <v>3</v>
      </c>
      <c r="D137" s="4513" t="s">
        <v>977</v>
      </c>
      <c r="E137" s="4513"/>
      <c r="F137" s="4513"/>
      <c r="G137" s="1935">
        <f>(H137*H126)+(I137*I126)+(J137*J126)+(K137*K126)+(L137*L126)</f>
        <v>208.60000000000002</v>
      </c>
      <c r="H137" s="1934">
        <v>0.06</v>
      </c>
      <c r="I137" s="1934">
        <v>0.08</v>
      </c>
      <c r="J137" s="1934">
        <v>0.15</v>
      </c>
      <c r="K137" s="1934">
        <v>0.2</v>
      </c>
      <c r="L137" s="1933">
        <v>0.1</v>
      </c>
      <c r="M137" s="1719"/>
      <c r="N137" s="1719"/>
      <c r="O137" s="1719"/>
      <c r="P137" s="1719"/>
      <c r="Q137" s="1719"/>
    </row>
    <row r="138" spans="1:17">
      <c r="A138" s="1719"/>
      <c r="B138" s="1106"/>
      <c r="C138" s="1942"/>
      <c r="D138" s="1941"/>
      <c r="E138" s="1940"/>
      <c r="F138" s="1939"/>
      <c r="G138" s="1876"/>
      <c r="H138" s="1938"/>
      <c r="I138" s="1938"/>
      <c r="J138" s="1938"/>
      <c r="K138" s="1938"/>
      <c r="L138" s="1937"/>
      <c r="M138" s="1719"/>
      <c r="N138" s="1719"/>
      <c r="O138" s="1719"/>
      <c r="P138" s="1719"/>
      <c r="Q138" s="1719"/>
    </row>
    <row r="139" spans="1:17" ht="15.75">
      <c r="A139" s="1719"/>
      <c r="B139" s="1106"/>
      <c r="C139" s="1936">
        <v>4</v>
      </c>
      <c r="D139" s="4513" t="s">
        <v>976</v>
      </c>
      <c r="E139" s="4513"/>
      <c r="F139" s="4513"/>
      <c r="G139" s="1935">
        <f>(H139*H126)+(I139*I126)+(J139*J126)+(K139*K126)+(L139*L126)</f>
        <v>213.5</v>
      </c>
      <c r="H139" s="1934">
        <v>0.06</v>
      </c>
      <c r="I139" s="1934">
        <v>0.1</v>
      </c>
      <c r="J139" s="1934">
        <v>0.12</v>
      </c>
      <c r="K139" s="1934">
        <v>0.15</v>
      </c>
      <c r="L139" s="1933">
        <v>0.12</v>
      </c>
      <c r="M139" s="1719"/>
      <c r="N139" s="1719"/>
      <c r="O139" s="1719"/>
      <c r="P139" s="1719"/>
      <c r="Q139" s="1719"/>
    </row>
    <row r="140" spans="1:17">
      <c r="A140" s="1719"/>
      <c r="B140" s="1106"/>
      <c r="C140" s="1942"/>
      <c r="D140" s="1941"/>
      <c r="E140" s="1940"/>
      <c r="F140" s="1939"/>
      <c r="G140" s="1876"/>
      <c r="H140" s="1938"/>
      <c r="I140" s="1938"/>
      <c r="J140" s="1938"/>
      <c r="K140" s="1938"/>
      <c r="L140" s="1937"/>
      <c r="M140" s="1719"/>
      <c r="N140" s="1719"/>
      <c r="O140" s="1719"/>
      <c r="P140" s="1719"/>
      <c r="Q140" s="1719"/>
    </row>
    <row r="141" spans="1:17" ht="15.75">
      <c r="A141" s="1719"/>
      <c r="B141" s="1106"/>
      <c r="C141" s="1936">
        <v>5</v>
      </c>
      <c r="D141" s="4513" t="s">
        <v>975</v>
      </c>
      <c r="E141" s="4513"/>
      <c r="F141" s="4513"/>
      <c r="G141" s="1935">
        <f>(H141*H126)+(I141*I126)+(J141*J126)+(K141*K126)+(L141*L126)</f>
        <v>237.5</v>
      </c>
      <c r="H141" s="1934">
        <v>0.06</v>
      </c>
      <c r="I141" s="1934">
        <v>0.1</v>
      </c>
      <c r="J141" s="1934">
        <v>0.15</v>
      </c>
      <c r="K141" s="1934">
        <v>0.2</v>
      </c>
      <c r="L141" s="1933">
        <v>0.15</v>
      </c>
      <c r="M141" s="1719"/>
      <c r="N141" s="1719"/>
      <c r="O141" s="1719"/>
      <c r="P141" s="1719"/>
      <c r="Q141" s="1719"/>
    </row>
    <row r="142" spans="1:17" ht="15.75" thickBot="1">
      <c r="A142" s="1719"/>
      <c r="B142" s="1106"/>
      <c r="C142" s="1932"/>
      <c r="D142" s="1931"/>
      <c r="E142" s="1930"/>
      <c r="F142" s="1929"/>
      <c r="G142" s="1928"/>
      <c r="H142" s="1927"/>
      <c r="I142" s="1927"/>
      <c r="J142" s="1926"/>
      <c r="K142" s="1926"/>
      <c r="L142" s="1925"/>
      <c r="M142" s="1719"/>
      <c r="N142" s="1719"/>
      <c r="O142" s="1719"/>
      <c r="P142" s="1719"/>
      <c r="Q142" s="1719"/>
    </row>
    <row r="143" spans="1:17">
      <c r="A143" s="1719"/>
      <c r="B143" s="1106"/>
      <c r="C143" s="1106"/>
      <c r="D143" s="1106"/>
      <c r="E143" s="1106"/>
      <c r="F143" s="1106"/>
      <c r="G143" s="1106"/>
      <c r="H143" s="1106"/>
      <c r="I143" s="1106"/>
      <c r="J143" s="1106"/>
      <c r="K143" s="1106"/>
      <c r="L143" s="1106"/>
      <c r="M143" s="1719"/>
      <c r="N143" s="1719"/>
      <c r="O143" s="1719"/>
      <c r="P143" s="1719"/>
      <c r="Q143" s="1719"/>
    </row>
    <row r="144" spans="1:17" ht="15.75" thickBot="1">
      <c r="A144" s="1719"/>
      <c r="B144" s="1106"/>
      <c r="C144" s="1106"/>
      <c r="D144" s="1106"/>
      <c r="E144" s="1106"/>
      <c r="F144" s="1106"/>
      <c r="G144" s="1106"/>
      <c r="H144" s="1106"/>
      <c r="I144" s="1106"/>
      <c r="J144" s="1106"/>
      <c r="K144" s="1106"/>
      <c r="L144" s="1106"/>
      <c r="M144" s="1719"/>
      <c r="N144" s="1719"/>
      <c r="O144" s="1719"/>
      <c r="P144" s="1719"/>
      <c r="Q144" s="1719"/>
    </row>
    <row r="145" spans="1:17" ht="18">
      <c r="A145" s="1719"/>
      <c r="B145" s="1106"/>
      <c r="C145" s="4517" t="s">
        <v>974</v>
      </c>
      <c r="D145" s="4518"/>
      <c r="E145" s="4518"/>
      <c r="F145" s="4518"/>
      <c r="G145" s="4518"/>
      <c r="H145" s="4518"/>
      <c r="I145" s="4518"/>
      <c r="J145" s="4518"/>
      <c r="K145" s="4518"/>
      <c r="L145" s="4519"/>
      <c r="M145" s="1719"/>
      <c r="N145" s="1719"/>
      <c r="O145" s="1719"/>
      <c r="P145" s="1719"/>
      <c r="Q145" s="1719"/>
    </row>
    <row r="146" spans="1:17">
      <c r="A146" s="1719"/>
      <c r="B146" s="1106"/>
      <c r="C146" s="1924" t="s">
        <v>973</v>
      </c>
      <c r="D146" s="1923"/>
      <c r="E146" s="1923"/>
      <c r="F146" s="1923"/>
      <c r="G146" s="1923"/>
      <c r="H146" s="1923"/>
      <c r="I146" s="1923"/>
      <c r="J146" s="1922"/>
      <c r="K146" s="1922"/>
      <c r="L146" s="1921"/>
      <c r="M146" s="1719"/>
      <c r="N146" s="1719"/>
      <c r="O146" s="1719"/>
      <c r="P146" s="1719"/>
      <c r="Q146" s="1719"/>
    </row>
    <row r="147" spans="1:17">
      <c r="A147" s="1719"/>
      <c r="B147" s="1106"/>
      <c r="C147" s="4520" t="s">
        <v>972</v>
      </c>
      <c r="D147" s="4521"/>
      <c r="E147" s="4521"/>
      <c r="F147" s="4521"/>
      <c r="G147" s="4521"/>
      <c r="H147" s="4521"/>
      <c r="I147" s="4521"/>
      <c r="J147" s="4521"/>
      <c r="K147" s="4521"/>
      <c r="L147" s="4522"/>
      <c r="M147" s="1719"/>
      <c r="N147" s="1719"/>
      <c r="O147" s="1719"/>
      <c r="P147" s="1719"/>
      <c r="Q147" s="1719"/>
    </row>
    <row r="148" spans="1:17">
      <c r="A148" s="1719"/>
      <c r="B148" s="1106"/>
      <c r="C148" s="4520"/>
      <c r="D148" s="4521"/>
      <c r="E148" s="4521"/>
      <c r="F148" s="4521"/>
      <c r="G148" s="4521"/>
      <c r="H148" s="4521"/>
      <c r="I148" s="4521"/>
      <c r="J148" s="4521"/>
      <c r="K148" s="4521"/>
      <c r="L148" s="4522"/>
      <c r="M148" s="1719"/>
      <c r="N148" s="1719"/>
      <c r="O148" s="1719"/>
      <c r="P148" s="1719"/>
      <c r="Q148" s="1719"/>
    </row>
    <row r="149" spans="1:17">
      <c r="A149" s="1719"/>
      <c r="B149" s="1106"/>
      <c r="C149" s="4520"/>
      <c r="D149" s="4521"/>
      <c r="E149" s="4521"/>
      <c r="F149" s="4521"/>
      <c r="G149" s="4521"/>
      <c r="H149" s="4521"/>
      <c r="I149" s="4521"/>
      <c r="J149" s="4521"/>
      <c r="K149" s="4521"/>
      <c r="L149" s="4522"/>
      <c r="M149" s="1719"/>
      <c r="N149" s="1719"/>
      <c r="O149" s="1719"/>
      <c r="P149" s="1719"/>
      <c r="Q149" s="1719"/>
    </row>
    <row r="150" spans="1:17">
      <c r="A150" s="1719"/>
      <c r="B150" s="1106"/>
      <c r="C150" s="4520"/>
      <c r="D150" s="4521"/>
      <c r="E150" s="4521"/>
      <c r="F150" s="4521"/>
      <c r="G150" s="4521"/>
      <c r="H150" s="4521"/>
      <c r="I150" s="4521"/>
      <c r="J150" s="4521"/>
      <c r="K150" s="4521"/>
      <c r="L150" s="4522"/>
      <c r="M150" s="1719"/>
      <c r="N150" s="1719"/>
      <c r="O150" s="1719"/>
      <c r="P150" s="1719"/>
      <c r="Q150" s="1719"/>
    </row>
    <row r="151" spans="1:17">
      <c r="A151" s="1719"/>
      <c r="B151" s="1106"/>
      <c r="C151" s="4520" t="s">
        <v>971</v>
      </c>
      <c r="D151" s="4521"/>
      <c r="E151" s="4521"/>
      <c r="F151" s="4521"/>
      <c r="G151" s="4521"/>
      <c r="H151" s="4521"/>
      <c r="I151" s="4521"/>
      <c r="J151" s="4521"/>
      <c r="K151" s="4521"/>
      <c r="L151" s="4522"/>
      <c r="M151" s="1719"/>
      <c r="N151" s="1719"/>
      <c r="O151" s="1719"/>
      <c r="P151" s="1719"/>
      <c r="Q151" s="1719"/>
    </row>
    <row r="152" spans="1:17">
      <c r="A152" s="1719"/>
      <c r="B152" s="1106"/>
      <c r="C152" s="4520"/>
      <c r="D152" s="4521"/>
      <c r="E152" s="4521"/>
      <c r="F152" s="4521"/>
      <c r="G152" s="4521"/>
      <c r="H152" s="4521"/>
      <c r="I152" s="4521"/>
      <c r="J152" s="4521"/>
      <c r="K152" s="4521"/>
      <c r="L152" s="4522"/>
      <c r="M152" s="1719"/>
      <c r="N152" s="1719"/>
      <c r="O152" s="1719"/>
      <c r="P152" s="1719"/>
      <c r="Q152" s="1719"/>
    </row>
    <row r="153" spans="1:17">
      <c r="A153" s="1719"/>
      <c r="B153" s="1106"/>
      <c r="C153" s="4520"/>
      <c r="D153" s="4521"/>
      <c r="E153" s="4521"/>
      <c r="F153" s="4521"/>
      <c r="G153" s="4521"/>
      <c r="H153" s="4521"/>
      <c r="I153" s="4521"/>
      <c r="J153" s="4521"/>
      <c r="K153" s="4521"/>
      <c r="L153" s="4522"/>
      <c r="M153" s="1719"/>
      <c r="N153" s="1719"/>
      <c r="O153" s="1719"/>
      <c r="P153" s="1719"/>
      <c r="Q153" s="1719"/>
    </row>
    <row r="154" spans="1:17">
      <c r="A154" s="1719"/>
      <c r="B154" s="1106"/>
      <c r="C154" s="4523"/>
      <c r="D154" s="4524"/>
      <c r="E154" s="4524"/>
      <c r="F154" s="4524"/>
      <c r="G154" s="4524"/>
      <c r="H154" s="4524"/>
      <c r="I154" s="4524"/>
      <c r="J154" s="4524"/>
      <c r="K154" s="4524"/>
      <c r="L154" s="4525"/>
      <c r="M154" s="1719"/>
      <c r="N154" s="1719"/>
      <c r="O154" s="1719"/>
      <c r="P154" s="1719"/>
      <c r="Q154" s="1719"/>
    </row>
    <row r="155" spans="1:17">
      <c r="A155" s="1719"/>
      <c r="B155" s="1106"/>
      <c r="C155" s="4514" t="s">
        <v>970</v>
      </c>
      <c r="D155" s="4515"/>
      <c r="E155" s="4515"/>
      <c r="F155" s="4515"/>
      <c r="G155" s="4516" t="s">
        <v>969</v>
      </c>
      <c r="H155" s="4516"/>
      <c r="I155" s="4526">
        <v>0.09</v>
      </c>
      <c r="J155" s="4527" t="s">
        <v>968</v>
      </c>
      <c r="K155" s="4527"/>
      <c r="L155" s="4528">
        <v>0.12</v>
      </c>
      <c r="M155" s="1719"/>
      <c r="N155" s="1719"/>
      <c r="O155" s="1719"/>
      <c r="P155" s="1719"/>
      <c r="Q155" s="1719"/>
    </row>
    <row r="156" spans="1:17">
      <c r="A156" s="1719"/>
      <c r="B156" s="1106"/>
      <c r="C156" s="4514"/>
      <c r="D156" s="4515"/>
      <c r="E156" s="4515"/>
      <c r="F156" s="4515"/>
      <c r="G156" s="4516"/>
      <c r="H156" s="4516"/>
      <c r="I156" s="4526"/>
      <c r="J156" s="4527"/>
      <c r="K156" s="4527"/>
      <c r="L156" s="4528"/>
      <c r="M156" s="1719"/>
      <c r="N156" s="1719"/>
      <c r="O156" s="1719"/>
      <c r="P156" s="1719"/>
      <c r="Q156" s="1719"/>
    </row>
    <row r="157" spans="1:17" ht="18">
      <c r="A157" s="1719"/>
      <c r="B157" s="1106"/>
      <c r="C157" s="1920"/>
      <c r="D157" s="1919"/>
      <c r="E157" s="1919"/>
      <c r="F157" s="1919"/>
      <c r="G157" s="1918"/>
      <c r="H157" s="1918"/>
      <c r="I157" s="1917"/>
      <c r="J157" s="1916"/>
      <c r="K157" s="1916"/>
      <c r="L157" s="1915"/>
      <c r="M157" s="1719"/>
      <c r="N157" s="1719"/>
      <c r="O157" s="1719"/>
      <c r="P157" s="1719"/>
      <c r="Q157" s="1719"/>
    </row>
    <row r="158" spans="1:17">
      <c r="A158" s="1719"/>
      <c r="B158" s="1106"/>
      <c r="C158" s="4529" t="str">
        <f>IF(E158="","produit à servir","produits entiers à couper en ")</f>
        <v xml:space="preserve">produits entiers à couper en </v>
      </c>
      <c r="D158" s="4530"/>
      <c r="E158" s="4531">
        <f>IF(K165=1,"",K165)</f>
        <v>1.5</v>
      </c>
      <c r="F158" s="4532">
        <f>LARGE(F166:F170,1)</f>
        <v>3</v>
      </c>
      <c r="G158" s="4532" t="s">
        <v>967</v>
      </c>
      <c r="H158" s="4532" t="s">
        <v>948</v>
      </c>
      <c r="I158" s="4532">
        <f>LARGE(G166:G170,1)</f>
        <v>2</v>
      </c>
      <c r="J158" s="4532" t="s">
        <v>966</v>
      </c>
      <c r="K158" s="1914"/>
      <c r="L158" s="1913"/>
      <c r="M158" s="1719"/>
      <c r="N158" s="1719"/>
      <c r="O158" s="1719"/>
      <c r="P158" s="1719"/>
      <c r="Q158" s="1719"/>
    </row>
    <row r="159" spans="1:17">
      <c r="A159" s="1719"/>
      <c r="B159" s="1106"/>
      <c r="C159" s="4529"/>
      <c r="D159" s="4530"/>
      <c r="E159" s="4531"/>
      <c r="F159" s="4532"/>
      <c r="G159" s="4532"/>
      <c r="H159" s="4532"/>
      <c r="I159" s="4532"/>
      <c r="J159" s="4532"/>
      <c r="K159" s="1914"/>
      <c r="L159" s="1913"/>
      <c r="M159" s="1719"/>
      <c r="N159" s="1719"/>
      <c r="O159" s="1719"/>
      <c r="P159" s="1719"/>
      <c r="Q159" s="1719"/>
    </row>
    <row r="160" spans="1:17" ht="15.75">
      <c r="A160" s="1719"/>
      <c r="B160" s="1106"/>
      <c r="C160" s="1912"/>
      <c r="D160" s="1911"/>
      <c r="E160" s="1910"/>
      <c r="F160" s="1804"/>
      <c r="G160" s="1804"/>
      <c r="H160" s="1804"/>
      <c r="I160" s="1804"/>
      <c r="J160" s="1823"/>
      <c r="K160" s="1909"/>
      <c r="L160" s="1908"/>
      <c r="M160" s="1719"/>
      <c r="N160" s="1719"/>
      <c r="O160" s="1719"/>
      <c r="P160" s="1719"/>
      <c r="Q160" s="1719"/>
    </row>
    <row r="161" spans="1:17">
      <c r="A161" s="1719"/>
      <c r="B161" s="1106"/>
      <c r="C161" s="4541" t="str">
        <f>IF(D161="","MOINS","Servir ")</f>
        <v xml:space="preserve">Servir </v>
      </c>
      <c r="D161" s="4534">
        <f>IF(F158-1=0,"",F158-1)</f>
        <v>2</v>
      </c>
      <c r="E161" s="4533" t="str">
        <f>IF(D161="","",IF(G161=1,"produits entiers de","produits coupés en "))</f>
        <v>produits entiers de</v>
      </c>
      <c r="F161" s="4533"/>
      <c r="G161" s="4534">
        <f>IF(D161="","",I158/D161)</f>
        <v>1</v>
      </c>
      <c r="H161" s="4532" t="str">
        <f>IF(D161="","","parts")</f>
        <v>parts</v>
      </c>
      <c r="I161" s="4533" t="str">
        <f>IF(D161="","","grammage unitaire")</f>
        <v>grammage unitaire</v>
      </c>
      <c r="J161" s="4533"/>
      <c r="K161" s="4539">
        <f>IF(D161="","",I155/G161)</f>
        <v>0.09</v>
      </c>
      <c r="L161" s="4540"/>
      <c r="M161" s="1719"/>
      <c r="N161" s="1719"/>
      <c r="O161" s="1719"/>
      <c r="P161" s="1719"/>
      <c r="Q161" s="1719"/>
    </row>
    <row r="162" spans="1:17">
      <c r="A162" s="1719"/>
      <c r="B162" s="1106"/>
      <c r="C162" s="4541"/>
      <c r="D162" s="4534"/>
      <c r="E162" s="4533"/>
      <c r="F162" s="4533"/>
      <c r="G162" s="4534"/>
      <c r="H162" s="4532"/>
      <c r="I162" s="4533"/>
      <c r="J162" s="4533"/>
      <c r="K162" s="4539"/>
      <c r="L162" s="4540"/>
      <c r="M162" s="1719"/>
      <c r="N162" s="1719"/>
      <c r="O162" s="1719"/>
      <c r="P162" s="1719"/>
      <c r="Q162" s="1719"/>
    </row>
    <row r="163" spans="1:17">
      <c r="A163" s="1719"/>
      <c r="B163" s="1106"/>
      <c r="C163" s="4541" t="str">
        <f>IF(D161="","","plus")</f>
        <v>plus</v>
      </c>
      <c r="D163" s="4542">
        <f>IF(D161="","",F158-D161)</f>
        <v>1</v>
      </c>
      <c r="E163" s="4533" t="str">
        <f>IF(D163="","","produit coupé en ")</f>
        <v xml:space="preserve">produit coupé en </v>
      </c>
      <c r="F163" s="4533"/>
      <c r="G163" s="4542">
        <f>IF(E163="","",I158)</f>
        <v>2</v>
      </c>
      <c r="H163" s="4532" t="str">
        <f>IF(E163="","","parts")</f>
        <v>parts</v>
      </c>
      <c r="I163" s="1907"/>
      <c r="J163" s="4543" t="str">
        <f>IF(D163="","moins"," de")</f>
        <v xml:space="preserve"> de</v>
      </c>
      <c r="K163" s="4539">
        <f>IF(E163="",I155-L155,I155/G163)</f>
        <v>4.4999999999999998E-2</v>
      </c>
      <c r="L163" s="4540"/>
      <c r="M163" s="1719"/>
      <c r="N163" s="1719"/>
      <c r="O163" s="1719"/>
      <c r="P163" s="1719"/>
      <c r="Q163" s="1719"/>
    </row>
    <row r="164" spans="1:17">
      <c r="A164" s="1719"/>
      <c r="B164" s="1106"/>
      <c r="C164" s="4541"/>
      <c r="D164" s="4542"/>
      <c r="E164" s="4533"/>
      <c r="F164" s="4533"/>
      <c r="G164" s="4542"/>
      <c r="H164" s="4532"/>
      <c r="I164" s="1907"/>
      <c r="J164" s="4543"/>
      <c r="K164" s="4539"/>
      <c r="L164" s="4540"/>
      <c r="M164" s="1719"/>
      <c r="N164" s="1719"/>
      <c r="O164" s="1719"/>
      <c r="P164" s="1719"/>
      <c r="Q164" s="1719"/>
    </row>
    <row r="165" spans="1:17" ht="22.5">
      <c r="A165" s="1719"/>
      <c r="B165" s="1106"/>
      <c r="C165" s="1906" t="s">
        <v>965</v>
      </c>
      <c r="D165" s="1905" t="s">
        <v>964</v>
      </c>
      <c r="E165" s="1905" t="s">
        <v>963</v>
      </c>
      <c r="F165" s="1904" t="s">
        <v>962</v>
      </c>
      <c r="G165" s="1904"/>
      <c r="H165" s="1903" t="s">
        <v>961</v>
      </c>
      <c r="I165" s="1902" t="s">
        <v>948</v>
      </c>
      <c r="J165" s="1902"/>
      <c r="K165" s="1896">
        <f>LARGE(L166:L170,1)</f>
        <v>1.5</v>
      </c>
      <c r="L165" s="1901">
        <f>SMALL(E166:E170,COUNTIF(E166:E170,0)+1)</f>
        <v>3.0000000000000027E-2</v>
      </c>
      <c r="M165" s="1719"/>
      <c r="N165" s="1719"/>
      <c r="O165" s="1719"/>
      <c r="P165" s="1719"/>
      <c r="Q165" s="1719"/>
    </row>
    <row r="166" spans="1:17">
      <c r="A166" s="1719"/>
      <c r="B166" s="1106"/>
      <c r="C166" s="1900">
        <f>L155*I166</f>
        <v>0</v>
      </c>
      <c r="D166" s="1899">
        <f>I155*H166</f>
        <v>0.09</v>
      </c>
      <c r="E166" s="1899">
        <f>D166-C166</f>
        <v>0.09</v>
      </c>
      <c r="F166" s="1898">
        <f>IF(E166=L165,H166,0)</f>
        <v>0</v>
      </c>
      <c r="G166" s="1898">
        <f>IF(F166&gt;0,I166,0)</f>
        <v>0</v>
      </c>
      <c r="H166" s="1896">
        <v>1</v>
      </c>
      <c r="I166" s="1897">
        <f>INT(J166)</f>
        <v>0</v>
      </c>
      <c r="J166" s="1897">
        <f>D166/L155</f>
        <v>0.75</v>
      </c>
      <c r="K166" s="1896">
        <f>IF(F166=0,0,F166/G166)</f>
        <v>0</v>
      </c>
      <c r="L166" s="1895">
        <f>ROUNDDOWN(K166,1)</f>
        <v>0</v>
      </c>
      <c r="M166" s="1719"/>
      <c r="N166" s="1719"/>
      <c r="O166" s="1719"/>
      <c r="P166" s="1719"/>
      <c r="Q166" s="1719"/>
    </row>
    <row r="167" spans="1:17">
      <c r="A167" s="1719"/>
      <c r="B167" s="1106"/>
      <c r="C167" s="1900">
        <f>L155*I167</f>
        <v>0.12</v>
      </c>
      <c r="D167" s="1899">
        <f>I155*H167</f>
        <v>0.18</v>
      </c>
      <c r="E167" s="1899">
        <f>D167-C167</f>
        <v>0.06</v>
      </c>
      <c r="F167" s="1898">
        <f>IF(E167=L165,H167,0)</f>
        <v>0</v>
      </c>
      <c r="G167" s="1898">
        <f>IF(F167&gt;0,I167,0)</f>
        <v>0</v>
      </c>
      <c r="H167" s="1896">
        <v>2</v>
      </c>
      <c r="I167" s="1897">
        <f>INT(J167)</f>
        <v>1</v>
      </c>
      <c r="J167" s="1897">
        <f>D167/L155</f>
        <v>1.5</v>
      </c>
      <c r="K167" s="1896">
        <f>IF(F167=0,0,F167/G167)</f>
        <v>0</v>
      </c>
      <c r="L167" s="1895">
        <f>ROUNDDOWN(K167,1)</f>
        <v>0</v>
      </c>
      <c r="M167" s="1719"/>
      <c r="N167" s="1719"/>
      <c r="O167" s="1719"/>
      <c r="P167" s="1719"/>
      <c r="Q167" s="1719"/>
    </row>
    <row r="168" spans="1:17">
      <c r="A168" s="1719"/>
      <c r="B168" s="1106"/>
      <c r="C168" s="1900">
        <f>L155*I168</f>
        <v>0.24</v>
      </c>
      <c r="D168" s="1899">
        <f>I155*H168</f>
        <v>0.27</v>
      </c>
      <c r="E168" s="1899">
        <f>D168-C168</f>
        <v>3.0000000000000027E-2</v>
      </c>
      <c r="F168" s="1898">
        <f>IF(E168=L165,H168,0)</f>
        <v>3</v>
      </c>
      <c r="G168" s="1898">
        <f>IF(F168&gt;0,I168,0)</f>
        <v>2</v>
      </c>
      <c r="H168" s="1896">
        <v>3</v>
      </c>
      <c r="I168" s="1897">
        <f>INT(J168)</f>
        <v>2</v>
      </c>
      <c r="J168" s="1897">
        <f>D168/L155</f>
        <v>2.2500000000000004</v>
      </c>
      <c r="K168" s="1896">
        <f>IF(F168=0,0,F168/G168)</f>
        <v>1.5</v>
      </c>
      <c r="L168" s="1895">
        <f>ROUNDDOWN(K168,1)</f>
        <v>1.5</v>
      </c>
      <c r="M168" s="1719"/>
      <c r="N168" s="1719"/>
      <c r="O168" s="1719"/>
      <c r="P168" s="1719"/>
      <c r="Q168" s="1719"/>
    </row>
    <row r="169" spans="1:17">
      <c r="A169" s="1719"/>
      <c r="B169" s="1106"/>
      <c r="C169" s="1900">
        <f>L155*I169</f>
        <v>0.36</v>
      </c>
      <c r="D169" s="1899">
        <f>I155*H169</f>
        <v>0.36</v>
      </c>
      <c r="E169" s="1899">
        <f>D169-C169</f>
        <v>0</v>
      </c>
      <c r="F169" s="1898">
        <f>IF(E169=L165,H169,0)</f>
        <v>0</v>
      </c>
      <c r="G169" s="1898">
        <f>IF(F169&gt;0,I169,0)</f>
        <v>0</v>
      </c>
      <c r="H169" s="1896">
        <v>4</v>
      </c>
      <c r="I169" s="1897">
        <f>INT(J169)</f>
        <v>3</v>
      </c>
      <c r="J169" s="1897">
        <f>D169/L155</f>
        <v>3</v>
      </c>
      <c r="K169" s="1896">
        <f>IF(F169=0,0,F169/G169)</f>
        <v>0</v>
      </c>
      <c r="L169" s="1895">
        <f>ROUNDDOWN(K169,1)</f>
        <v>0</v>
      </c>
      <c r="M169" s="1719"/>
      <c r="N169" s="1719"/>
      <c r="O169" s="1719"/>
      <c r="P169" s="1719"/>
      <c r="Q169" s="1719"/>
    </row>
    <row r="170" spans="1:17" ht="15.75" thickBot="1">
      <c r="A170" s="1719"/>
      <c r="B170" s="1106"/>
      <c r="C170" s="1894">
        <f>L155*I170</f>
        <v>0.36</v>
      </c>
      <c r="D170" s="1893">
        <f>I155*H170</f>
        <v>0.44999999999999996</v>
      </c>
      <c r="E170" s="1893">
        <f>D170-C170</f>
        <v>8.9999999999999969E-2</v>
      </c>
      <c r="F170" s="1892">
        <f>IF(E170=L165,H170,0)</f>
        <v>0</v>
      </c>
      <c r="G170" s="1892">
        <f>IF(F170&gt;0,I170,0)</f>
        <v>0</v>
      </c>
      <c r="H170" s="1890">
        <v>5</v>
      </c>
      <c r="I170" s="1891">
        <f>INT(J170)</f>
        <v>3</v>
      </c>
      <c r="J170" s="1891">
        <f>D170/L155</f>
        <v>3.7499999999999996</v>
      </c>
      <c r="K170" s="1890">
        <f>IF(F170=0,0,F170/G170)</f>
        <v>0</v>
      </c>
      <c r="L170" s="1889">
        <f>ROUNDDOWN(K170,1)</f>
        <v>0</v>
      </c>
      <c r="M170" s="1719"/>
      <c r="N170" s="1719"/>
      <c r="O170" s="1719"/>
      <c r="P170" s="1719"/>
      <c r="Q170" s="1719"/>
    </row>
    <row r="171" spans="1:17">
      <c r="A171" s="1719"/>
      <c r="B171" s="1106"/>
      <c r="C171" s="1106"/>
      <c r="D171" s="1106"/>
      <c r="E171" s="1106"/>
      <c r="F171" s="1106"/>
      <c r="G171" s="1106"/>
      <c r="H171" s="1106"/>
      <c r="I171" s="1106"/>
      <c r="J171" s="1106"/>
      <c r="K171" s="1106"/>
      <c r="L171" s="1106"/>
      <c r="M171" s="1719"/>
      <c r="N171" s="1719"/>
      <c r="O171" s="1719"/>
      <c r="P171" s="1719"/>
      <c r="Q171" s="1719"/>
    </row>
    <row r="172" spans="1:17">
      <c r="A172" s="1719"/>
      <c r="B172" s="1106"/>
      <c r="C172" s="1106"/>
      <c r="D172" s="1106"/>
      <c r="E172" s="1106"/>
      <c r="F172" s="1106"/>
      <c r="G172" s="1106"/>
      <c r="H172" s="1106"/>
      <c r="I172" s="1106"/>
      <c r="J172" s="1106"/>
      <c r="K172" s="1106"/>
      <c r="L172" s="1106"/>
      <c r="M172" s="1719"/>
      <c r="N172" s="1719"/>
      <c r="O172" s="1719"/>
      <c r="P172" s="1719"/>
      <c r="Q172" s="1719"/>
    </row>
    <row r="173" spans="1:17" ht="18">
      <c r="A173" s="1719"/>
      <c r="B173" s="1106"/>
      <c r="C173" s="4544" t="s">
        <v>960</v>
      </c>
      <c r="D173" s="4545"/>
      <c r="E173" s="4545"/>
      <c r="F173" s="4545"/>
      <c r="G173" s="4545"/>
      <c r="H173" s="4545"/>
      <c r="I173" s="4545"/>
      <c r="J173" s="4545"/>
      <c r="K173" s="4545"/>
      <c r="L173" s="4545"/>
      <c r="M173" s="4546"/>
      <c r="N173" s="1719"/>
      <c r="O173" s="1719"/>
      <c r="P173" s="1719"/>
      <c r="Q173" s="1719"/>
    </row>
    <row r="174" spans="1:17" ht="15.75">
      <c r="A174" s="1719"/>
      <c r="B174" s="1106"/>
      <c r="C174" s="4547" t="s">
        <v>956</v>
      </c>
      <c r="D174" s="4548"/>
      <c r="E174" s="4548"/>
      <c r="F174" s="4548"/>
      <c r="G174" s="4548"/>
      <c r="H174" s="4548"/>
      <c r="I174" s="4548"/>
      <c r="J174" s="4548"/>
      <c r="K174" s="4548"/>
      <c r="L174" s="4548"/>
      <c r="M174" s="4549"/>
      <c r="N174" s="1719"/>
      <c r="O174" s="1719"/>
      <c r="P174" s="1719"/>
      <c r="Q174" s="1719"/>
    </row>
    <row r="175" spans="1:17" ht="15.75">
      <c r="A175" s="1719"/>
      <c r="B175" s="1106"/>
      <c r="C175" s="1888"/>
      <c r="D175" s="1887"/>
      <c r="E175" s="4550" t="s">
        <v>959</v>
      </c>
      <c r="F175" s="4550"/>
      <c r="G175" s="4550"/>
      <c r="H175" s="4550"/>
      <c r="I175" s="4550"/>
      <c r="J175" s="4550"/>
      <c r="K175" s="4550"/>
      <c r="L175" s="4550"/>
      <c r="M175" s="4551"/>
      <c r="N175" s="1719"/>
      <c r="O175" s="1719"/>
      <c r="P175" s="1719"/>
      <c r="Q175" s="1719"/>
    </row>
    <row r="176" spans="1:17">
      <c r="A176" s="1719"/>
      <c r="B176" s="1106"/>
      <c r="C176" s="4552" t="s">
        <v>944</v>
      </c>
      <c r="D176" s="4553"/>
      <c r="E176" s="4553"/>
      <c r="F176" s="4553"/>
      <c r="G176" s="4553"/>
      <c r="H176" s="4553"/>
      <c r="I176" s="4553"/>
      <c r="J176" s="4553"/>
      <c r="K176" s="4553"/>
      <c r="L176" s="4553"/>
      <c r="M176" s="4554"/>
      <c r="N176" s="1719"/>
      <c r="O176" s="1719"/>
      <c r="P176" s="1719"/>
      <c r="Q176" s="1719"/>
    </row>
    <row r="177" spans="1:17">
      <c r="A177" s="1719"/>
      <c r="B177" s="1106"/>
      <c r="C177" s="4535" t="s">
        <v>954</v>
      </c>
      <c r="D177" s="4536"/>
      <c r="E177" s="4537" t="s">
        <v>958</v>
      </c>
      <c r="F177" s="4537"/>
      <c r="G177" s="1720"/>
      <c r="H177" s="1106"/>
      <c r="I177" s="1106"/>
      <c r="J177" s="1720"/>
      <c r="K177" s="1886"/>
      <c r="L177" s="1720"/>
      <c r="M177" s="1881"/>
      <c r="N177" s="1719"/>
      <c r="O177" s="1719"/>
      <c r="P177" s="1719"/>
      <c r="Q177" s="1719"/>
    </row>
    <row r="178" spans="1:17">
      <c r="A178" s="1719"/>
      <c r="B178" s="1106"/>
      <c r="C178" s="4535"/>
      <c r="D178" s="4536"/>
      <c r="E178" s="4537"/>
      <c r="F178" s="4537"/>
      <c r="G178" s="1720"/>
      <c r="H178" s="1106"/>
      <c r="I178" s="1106"/>
      <c r="J178" s="1720"/>
      <c r="K178" s="1886"/>
      <c r="L178" s="1720"/>
      <c r="M178" s="1881"/>
      <c r="N178" s="1719"/>
      <c r="O178" s="1719"/>
      <c r="P178" s="1719"/>
      <c r="Q178" s="1719"/>
    </row>
    <row r="179" spans="1:17">
      <c r="A179" s="1719"/>
      <c r="B179" s="1106"/>
      <c r="C179" s="4562">
        <v>10</v>
      </c>
      <c r="D179" s="4563"/>
      <c r="E179" s="4563">
        <v>0.1</v>
      </c>
      <c r="F179" s="4563"/>
      <c r="G179" s="1720"/>
      <c r="H179" s="1106"/>
      <c r="I179" s="1106"/>
      <c r="J179" s="1720"/>
      <c r="K179" s="1885" t="s">
        <v>957</v>
      </c>
      <c r="L179" s="1884">
        <f>C179/E179</f>
        <v>100</v>
      </c>
      <c r="M179" s="1881"/>
      <c r="N179" s="1719"/>
      <c r="O179" s="1719"/>
      <c r="P179" s="1719"/>
      <c r="Q179" s="1719"/>
    </row>
    <row r="180" spans="1:17">
      <c r="A180" s="1719"/>
      <c r="B180" s="1106"/>
      <c r="C180" s="4562">
        <v>1</v>
      </c>
      <c r="D180" s="4563"/>
      <c r="E180" s="4563">
        <v>7.0000000000000007E-2</v>
      </c>
      <c r="F180" s="4563"/>
      <c r="G180" s="1720"/>
      <c r="H180" s="1106"/>
      <c r="I180" s="1106"/>
      <c r="J180" s="1720"/>
      <c r="K180" s="1885" t="s">
        <v>957</v>
      </c>
      <c r="L180" s="1884">
        <f>C180/E180</f>
        <v>14.285714285714285</v>
      </c>
      <c r="M180" s="1881"/>
      <c r="N180" s="1719"/>
      <c r="O180" s="1719"/>
      <c r="P180" s="1719"/>
      <c r="Q180" s="1719"/>
    </row>
    <row r="181" spans="1:17">
      <c r="A181" s="1719"/>
      <c r="B181" s="1106"/>
      <c r="C181" s="1883"/>
      <c r="E181" s="1882"/>
      <c r="G181" s="1720"/>
      <c r="H181" s="1106"/>
      <c r="I181" s="1106"/>
      <c r="J181" s="1720"/>
      <c r="K181" s="1720"/>
      <c r="L181" s="1720"/>
      <c r="M181" s="1881"/>
      <c r="N181" s="1719"/>
      <c r="O181" s="1719"/>
      <c r="P181" s="1719"/>
      <c r="Q181" s="1719"/>
    </row>
    <row r="182" spans="1:17" ht="15.75">
      <c r="A182" s="1719"/>
      <c r="B182" s="1106"/>
      <c r="C182" s="4566" t="s">
        <v>956</v>
      </c>
      <c r="D182" s="4567"/>
      <c r="E182" s="4567"/>
      <c r="F182" s="4567"/>
      <c r="G182" s="4567"/>
      <c r="H182" s="4567"/>
      <c r="I182" s="4567"/>
      <c r="J182" s="4567"/>
      <c r="K182" s="4567"/>
      <c r="L182" s="4567"/>
      <c r="M182" s="4568"/>
      <c r="N182" s="1719"/>
      <c r="O182" s="1719"/>
      <c r="P182" s="1719"/>
      <c r="Q182" s="1719"/>
    </row>
    <row r="183" spans="1:17" ht="15.75">
      <c r="A183" s="1719"/>
      <c r="B183" s="1106"/>
      <c r="C183" s="1880"/>
      <c r="D183" s="1879"/>
      <c r="E183" s="4569" t="s">
        <v>955</v>
      </c>
      <c r="F183" s="4569"/>
      <c r="G183" s="4569"/>
      <c r="H183" s="4569"/>
      <c r="I183" s="4569"/>
      <c r="J183" s="4569"/>
      <c r="K183" s="4569"/>
      <c r="L183" s="4569"/>
      <c r="M183" s="4570"/>
      <c r="N183" s="1719"/>
      <c r="O183" s="1719"/>
      <c r="P183" s="1719"/>
      <c r="Q183" s="1719"/>
    </row>
    <row r="184" spans="1:17">
      <c r="A184" s="1719"/>
      <c r="B184" s="1106"/>
      <c r="C184" s="4535" t="s">
        <v>954</v>
      </c>
      <c r="D184" s="4536"/>
      <c r="E184" s="4537" t="s">
        <v>953</v>
      </c>
      <c r="F184" s="4537"/>
      <c r="G184" s="4538" t="s">
        <v>952</v>
      </c>
      <c r="H184" s="4538"/>
      <c r="I184" s="4538"/>
      <c r="J184" s="1878"/>
      <c r="K184" s="1878"/>
      <c r="L184" s="1878"/>
      <c r="M184" s="4561" t="s">
        <v>951</v>
      </c>
      <c r="N184" s="1719"/>
      <c r="O184" s="1719"/>
      <c r="P184" s="1719"/>
      <c r="Q184" s="1719"/>
    </row>
    <row r="185" spans="1:17">
      <c r="A185" s="1719"/>
      <c r="B185" s="1106"/>
      <c r="C185" s="4535"/>
      <c r="D185" s="4536"/>
      <c r="E185" s="4537"/>
      <c r="F185" s="4537"/>
      <c r="G185" s="4538"/>
      <c r="H185" s="4538"/>
      <c r="I185" s="4538"/>
      <c r="J185" s="1878"/>
      <c r="K185" s="1878"/>
      <c r="L185" s="1878"/>
      <c r="M185" s="4561"/>
      <c r="N185" s="1719"/>
      <c r="O185" s="1719"/>
      <c r="P185" s="1719"/>
      <c r="Q185" s="1719"/>
    </row>
    <row r="186" spans="1:17">
      <c r="A186" s="1719"/>
      <c r="B186" s="1106"/>
      <c r="C186" s="4562">
        <v>0.9</v>
      </c>
      <c r="D186" s="4563"/>
      <c r="E186" s="4564">
        <v>7</v>
      </c>
      <c r="F186" s="4564"/>
      <c r="G186" s="4565" t="s">
        <v>950</v>
      </c>
      <c r="H186" s="4565"/>
      <c r="I186" s="4565"/>
      <c r="J186" s="1877">
        <f>C186</f>
        <v>0.9</v>
      </c>
      <c r="K186" s="1876" t="s">
        <v>948</v>
      </c>
      <c r="L186" s="1875">
        <f>E186</f>
        <v>7</v>
      </c>
      <c r="M186" s="1874">
        <f>C186/E186</f>
        <v>0.12857142857142859</v>
      </c>
      <c r="N186" s="1719"/>
      <c r="O186" s="1719"/>
      <c r="P186" s="1719"/>
      <c r="Q186" s="1719"/>
    </row>
    <row r="187" spans="1:17">
      <c r="A187" s="1719"/>
      <c r="B187" s="1106"/>
      <c r="C187" s="4562">
        <v>3.5</v>
      </c>
      <c r="D187" s="4563"/>
      <c r="E187" s="4564">
        <v>20</v>
      </c>
      <c r="F187" s="4564"/>
      <c r="G187" s="4565" t="s">
        <v>949</v>
      </c>
      <c r="H187" s="4565"/>
      <c r="I187" s="4565"/>
      <c r="J187" s="1877">
        <f>C187</f>
        <v>3.5</v>
      </c>
      <c r="K187" s="1876" t="s">
        <v>948</v>
      </c>
      <c r="L187" s="1875">
        <f>E187</f>
        <v>20</v>
      </c>
      <c r="M187" s="1874">
        <f>C187/E187</f>
        <v>0.17499999999999999</v>
      </c>
      <c r="N187" s="1719"/>
      <c r="O187" s="1719"/>
      <c r="P187" s="1719"/>
      <c r="Q187" s="1719"/>
    </row>
    <row r="188" spans="1:17">
      <c r="A188" s="1719"/>
      <c r="B188" s="1106"/>
      <c r="C188" s="1873"/>
      <c r="D188" s="1872"/>
      <c r="E188" s="1871"/>
      <c r="F188" s="1872"/>
      <c r="G188" s="1871"/>
      <c r="H188" s="1872"/>
      <c r="I188" s="1872"/>
      <c r="J188" s="1871"/>
      <c r="K188" s="1871"/>
      <c r="L188" s="1871"/>
      <c r="M188" s="1870"/>
      <c r="N188" s="1719"/>
      <c r="O188" s="1719"/>
      <c r="P188" s="1719"/>
      <c r="Q188" s="1719"/>
    </row>
    <row r="189" spans="1:17">
      <c r="A189" s="1719"/>
      <c r="B189" s="1106"/>
      <c r="C189" s="1720"/>
      <c r="D189" s="1720"/>
      <c r="E189" s="1720"/>
      <c r="F189" s="1720"/>
      <c r="G189" s="1720"/>
      <c r="H189" s="1720"/>
      <c r="I189" s="1720"/>
      <c r="J189" s="1720"/>
      <c r="K189" s="1720"/>
      <c r="L189" s="1106"/>
      <c r="M189" s="1719"/>
      <c r="N189" s="1719"/>
      <c r="O189" s="1719"/>
      <c r="P189" s="1719"/>
      <c r="Q189" s="1719"/>
    </row>
    <row r="190" spans="1:17" ht="15.75" thickBot="1">
      <c r="A190" s="1719"/>
      <c r="B190" s="1106"/>
      <c r="C190" s="1720"/>
      <c r="D190" s="1720"/>
      <c r="E190" s="1720"/>
      <c r="F190" s="1720"/>
      <c r="G190" s="1720"/>
      <c r="H190" s="1720"/>
      <c r="I190" s="1720"/>
      <c r="J190" s="1720"/>
      <c r="K190" s="1720"/>
      <c r="L190" s="1106"/>
      <c r="M190" s="1719"/>
      <c r="N190" s="1719"/>
      <c r="O190" s="1719"/>
      <c r="P190" s="1719"/>
      <c r="Q190" s="1719"/>
    </row>
    <row r="191" spans="1:17">
      <c r="A191" s="1719"/>
      <c r="B191" s="1106"/>
      <c r="C191" s="4571" t="s">
        <v>947</v>
      </c>
      <c r="D191" s="4572"/>
      <c r="E191" s="4575" t="s">
        <v>946</v>
      </c>
      <c r="F191" s="4575"/>
      <c r="G191" s="4577" t="s">
        <v>945</v>
      </c>
      <c r="H191" s="4579" t="s">
        <v>944</v>
      </c>
      <c r="I191" s="4579"/>
      <c r="J191" s="4579"/>
      <c r="K191" s="4579"/>
      <c r="L191" s="4579"/>
      <c r="M191" s="4580"/>
      <c r="N191" s="1719"/>
      <c r="O191" s="1719"/>
      <c r="P191" s="1719"/>
      <c r="Q191" s="1719"/>
    </row>
    <row r="192" spans="1:17">
      <c r="A192" s="1719"/>
      <c r="B192" s="1106"/>
      <c r="C192" s="4573"/>
      <c r="D192" s="4574"/>
      <c r="E192" s="4576"/>
      <c r="F192" s="4576"/>
      <c r="G192" s="4578"/>
      <c r="H192" s="1869"/>
      <c r="I192" s="1869"/>
      <c r="J192" s="1869"/>
      <c r="K192" s="1869"/>
      <c r="L192" s="1869"/>
      <c r="M192" s="1868"/>
      <c r="N192" s="1719"/>
      <c r="O192" s="1719"/>
      <c r="P192" s="1719"/>
      <c r="Q192" s="1719"/>
    </row>
    <row r="193" spans="1:17">
      <c r="A193" s="1719"/>
      <c r="B193" s="1106"/>
      <c r="C193" s="4581">
        <v>32</v>
      </c>
      <c r="D193" s="4582"/>
      <c r="E193" s="4583">
        <v>1.45</v>
      </c>
      <c r="F193" s="4583"/>
      <c r="G193" s="4584">
        <f>C193/E193</f>
        <v>22.068965517241381</v>
      </c>
      <c r="H193" s="4585" t="s">
        <v>943</v>
      </c>
      <c r="I193" s="4585"/>
      <c r="J193" s="4585"/>
      <c r="K193" s="4585"/>
      <c r="L193" s="4585"/>
      <c r="M193" s="4586"/>
      <c r="N193" s="1719"/>
      <c r="O193" s="1719"/>
      <c r="P193" s="1719"/>
      <c r="Q193" s="1719"/>
    </row>
    <row r="194" spans="1:17">
      <c r="A194" s="1719"/>
      <c r="B194" s="1106"/>
      <c r="C194" s="4581"/>
      <c r="D194" s="4582"/>
      <c r="E194" s="4583"/>
      <c r="F194" s="4583"/>
      <c r="G194" s="4584"/>
      <c r="H194" s="4585"/>
      <c r="I194" s="4585"/>
      <c r="J194" s="4585"/>
      <c r="K194" s="4585"/>
      <c r="L194" s="4585"/>
      <c r="M194" s="4586"/>
      <c r="N194" s="1719"/>
      <c r="O194" s="1719"/>
      <c r="P194" s="1719"/>
      <c r="Q194" s="1719"/>
    </row>
    <row r="195" spans="1:17" ht="15.75">
      <c r="A195" s="1719"/>
      <c r="B195" s="1106"/>
      <c r="C195" s="4555" t="s">
        <v>942</v>
      </c>
      <c r="D195" s="4556"/>
      <c r="E195" s="4556"/>
      <c r="F195" s="4556"/>
      <c r="G195" s="4556"/>
      <c r="H195" s="4556"/>
      <c r="I195" s="4556"/>
      <c r="J195" s="4556"/>
      <c r="K195" s="4556"/>
      <c r="L195" s="4556"/>
      <c r="M195" s="4557"/>
      <c r="N195" s="1719"/>
      <c r="O195" s="1719"/>
      <c r="P195" s="1719"/>
      <c r="Q195" s="1719"/>
    </row>
    <row r="196" spans="1:17" ht="15.75">
      <c r="A196" s="1719"/>
      <c r="B196" s="1106"/>
      <c r="C196" s="4558">
        <v>32</v>
      </c>
      <c r="D196" s="4559"/>
      <c r="E196" s="4560">
        <v>1.2</v>
      </c>
      <c r="F196" s="4560"/>
      <c r="G196" s="1863">
        <f t="shared" ref="G196:G207" si="4">C196/E196</f>
        <v>26.666666666666668</v>
      </c>
      <c r="H196" s="1862" t="s">
        <v>941</v>
      </c>
      <c r="I196" s="1861"/>
      <c r="J196" s="1861"/>
      <c r="K196" s="1861"/>
      <c r="L196" s="1860"/>
      <c r="M196" s="1859"/>
      <c r="N196" s="1719"/>
      <c r="O196" s="1719"/>
      <c r="P196" s="1719"/>
      <c r="Q196" s="1719"/>
    </row>
    <row r="197" spans="1:17" ht="15.75">
      <c r="A197" s="1719"/>
      <c r="B197" s="1106"/>
      <c r="C197" s="4558">
        <v>12</v>
      </c>
      <c r="D197" s="4559"/>
      <c r="E197" s="4560">
        <v>1</v>
      </c>
      <c r="F197" s="4560"/>
      <c r="G197" s="1863">
        <f t="shared" si="4"/>
        <v>12</v>
      </c>
      <c r="H197" s="1862" t="s">
        <v>940</v>
      </c>
      <c r="I197" s="1861"/>
      <c r="J197" s="1861"/>
      <c r="K197" s="1861"/>
      <c r="L197" s="1860"/>
      <c r="M197" s="1859"/>
      <c r="N197" s="1719"/>
      <c r="O197" s="1719"/>
      <c r="P197" s="1719"/>
      <c r="Q197" s="1719"/>
    </row>
    <row r="198" spans="1:17" ht="15.75">
      <c r="A198" s="1719"/>
      <c r="B198" s="1106"/>
      <c r="C198" s="4558">
        <v>32</v>
      </c>
      <c r="D198" s="4559"/>
      <c r="E198" s="4560">
        <v>2</v>
      </c>
      <c r="F198" s="4560"/>
      <c r="G198" s="1863">
        <f t="shared" si="4"/>
        <v>16</v>
      </c>
      <c r="H198" s="1862" t="s">
        <v>939</v>
      </c>
      <c r="I198" s="1861"/>
      <c r="J198" s="1861"/>
      <c r="K198" s="1861"/>
      <c r="L198" s="1860"/>
      <c r="M198" s="1859"/>
      <c r="N198" s="1719"/>
      <c r="O198" s="1719"/>
      <c r="P198" s="1719"/>
      <c r="Q198" s="1719"/>
    </row>
    <row r="199" spans="1:17" ht="15.75">
      <c r="A199" s="1719"/>
      <c r="B199" s="1106"/>
      <c r="C199" s="4558">
        <v>32</v>
      </c>
      <c r="D199" s="4559"/>
      <c r="E199" s="4560">
        <v>1.2</v>
      </c>
      <c r="F199" s="4560"/>
      <c r="G199" s="1863">
        <f t="shared" si="4"/>
        <v>26.666666666666668</v>
      </c>
      <c r="H199" s="1862" t="s">
        <v>939</v>
      </c>
      <c r="I199" s="1861"/>
      <c r="J199" s="1861"/>
      <c r="K199" s="1861"/>
      <c r="L199" s="1860"/>
      <c r="M199" s="1859"/>
      <c r="N199" s="1719"/>
      <c r="O199" s="1719"/>
      <c r="P199" s="1719"/>
      <c r="Q199" s="1719"/>
    </row>
    <row r="200" spans="1:17" ht="15.75">
      <c r="A200" s="1719"/>
      <c r="B200" s="1106"/>
      <c r="C200" s="4558">
        <v>33</v>
      </c>
      <c r="D200" s="4559"/>
      <c r="E200" s="4560">
        <v>1.3</v>
      </c>
      <c r="F200" s="4560"/>
      <c r="G200" s="1863">
        <f t="shared" si="4"/>
        <v>25.384615384615383</v>
      </c>
      <c r="H200" s="1862" t="s">
        <v>938</v>
      </c>
      <c r="I200" s="1861"/>
      <c r="J200" s="1861"/>
      <c r="K200" s="1861"/>
      <c r="L200" s="1860"/>
      <c r="M200" s="1859"/>
      <c r="N200" s="1719"/>
      <c r="O200" s="1719"/>
      <c r="P200" s="1719"/>
      <c r="Q200" s="1719"/>
    </row>
    <row r="201" spans="1:17" ht="15.75">
      <c r="A201" s="1719"/>
      <c r="B201" s="1106"/>
      <c r="C201" s="4558">
        <v>33</v>
      </c>
      <c r="D201" s="4559"/>
      <c r="E201" s="4560">
        <v>1.5</v>
      </c>
      <c r="F201" s="4560"/>
      <c r="G201" s="1863">
        <f t="shared" si="4"/>
        <v>22</v>
      </c>
      <c r="H201" s="1862" t="s">
        <v>937</v>
      </c>
      <c r="I201" s="1861"/>
      <c r="J201" s="1861"/>
      <c r="K201" s="1861"/>
      <c r="L201" s="1860"/>
      <c r="M201" s="1859"/>
      <c r="N201" s="1719"/>
      <c r="O201" s="1719"/>
      <c r="P201" s="1719"/>
      <c r="Q201" s="1719"/>
    </row>
    <row r="202" spans="1:17" ht="15.75">
      <c r="A202" s="1719"/>
      <c r="B202" s="1106"/>
      <c r="C202" s="4558">
        <v>30</v>
      </c>
      <c r="D202" s="4559"/>
      <c r="E202" s="4560">
        <v>1.2</v>
      </c>
      <c r="F202" s="4560"/>
      <c r="G202" s="1863">
        <f t="shared" si="4"/>
        <v>25</v>
      </c>
      <c r="H202" s="1862" t="s">
        <v>936</v>
      </c>
      <c r="I202" s="1861"/>
      <c r="J202" s="1861"/>
      <c r="K202" s="1861"/>
      <c r="L202" s="1860"/>
      <c r="M202" s="1859"/>
      <c r="N202" s="1719"/>
      <c r="O202" s="1719"/>
      <c r="P202" s="1719"/>
      <c r="Q202" s="1719"/>
    </row>
    <row r="203" spans="1:17" ht="15.75">
      <c r="A203" s="1719"/>
      <c r="B203" s="1106"/>
      <c r="C203" s="4558">
        <v>33</v>
      </c>
      <c r="D203" s="4559"/>
      <c r="E203" s="4560">
        <v>1.6</v>
      </c>
      <c r="F203" s="4560"/>
      <c r="G203" s="1863">
        <f t="shared" si="4"/>
        <v>20.625</v>
      </c>
      <c r="H203" s="1862" t="s">
        <v>935</v>
      </c>
      <c r="I203" s="1861"/>
      <c r="J203" s="1861"/>
      <c r="K203" s="1861"/>
      <c r="L203" s="1860"/>
      <c r="M203" s="1859"/>
      <c r="N203" s="1719"/>
      <c r="O203" s="1719"/>
      <c r="P203" s="1719"/>
      <c r="Q203" s="1719"/>
    </row>
    <row r="204" spans="1:17" ht="15.75">
      <c r="A204" s="1719"/>
      <c r="B204" s="1106"/>
      <c r="C204" s="4558">
        <v>33</v>
      </c>
      <c r="D204" s="4559"/>
      <c r="E204" s="4560">
        <v>2</v>
      </c>
      <c r="F204" s="4560"/>
      <c r="G204" s="1863">
        <f t="shared" si="4"/>
        <v>16.5</v>
      </c>
      <c r="H204" s="1862" t="s">
        <v>934</v>
      </c>
      <c r="I204" s="1861"/>
      <c r="J204" s="1861"/>
      <c r="K204" s="1861"/>
      <c r="L204" s="1860"/>
      <c r="M204" s="1859"/>
      <c r="N204" s="1719"/>
      <c r="O204" s="1719"/>
      <c r="P204" s="1719"/>
      <c r="Q204" s="1719"/>
    </row>
    <row r="205" spans="1:17" ht="15.75">
      <c r="A205" s="1719"/>
      <c r="B205" s="1106"/>
      <c r="C205" s="4558">
        <v>48</v>
      </c>
      <c r="D205" s="4559"/>
      <c r="E205" s="4560">
        <v>6</v>
      </c>
      <c r="F205" s="4560"/>
      <c r="G205" s="1863">
        <f t="shared" si="4"/>
        <v>8</v>
      </c>
      <c r="H205" s="1862" t="s">
        <v>933</v>
      </c>
      <c r="I205" s="1861"/>
      <c r="J205" s="1861"/>
      <c r="K205" s="1861"/>
      <c r="L205" s="1860"/>
      <c r="M205" s="1859"/>
      <c r="N205" s="1719"/>
      <c r="O205" s="1719"/>
      <c r="P205" s="1719"/>
      <c r="Q205" s="1719"/>
    </row>
    <row r="206" spans="1:17" ht="15.75">
      <c r="A206" s="1719"/>
      <c r="B206" s="1106"/>
      <c r="C206" s="4558">
        <v>1</v>
      </c>
      <c r="D206" s="4559"/>
      <c r="E206" s="4560">
        <v>0.25</v>
      </c>
      <c r="F206" s="4560"/>
      <c r="G206" s="1863">
        <f t="shared" si="4"/>
        <v>4</v>
      </c>
      <c r="H206" s="1862" t="s">
        <v>932</v>
      </c>
      <c r="I206" s="1861"/>
      <c r="J206" s="1861"/>
      <c r="K206" s="1861"/>
      <c r="L206" s="1860"/>
      <c r="M206" s="1859"/>
      <c r="N206" s="1719"/>
      <c r="O206" s="1719"/>
      <c r="P206" s="1719"/>
      <c r="Q206" s="1719"/>
    </row>
    <row r="207" spans="1:17" ht="15.75">
      <c r="A207" s="1719"/>
      <c r="B207" s="1106"/>
      <c r="C207" s="4558">
        <v>25</v>
      </c>
      <c r="D207" s="4559"/>
      <c r="E207" s="4560">
        <v>1</v>
      </c>
      <c r="F207" s="4560"/>
      <c r="G207" s="1863">
        <f t="shared" si="4"/>
        <v>25</v>
      </c>
      <c r="H207" s="1862" t="s">
        <v>931</v>
      </c>
      <c r="I207" s="1861"/>
      <c r="J207" s="1861"/>
      <c r="K207" s="1861"/>
      <c r="L207" s="1860"/>
      <c r="M207" s="1859"/>
      <c r="N207" s="1719"/>
      <c r="O207" s="1719"/>
      <c r="P207" s="1719"/>
      <c r="Q207" s="1719"/>
    </row>
    <row r="208" spans="1:17" ht="15.75">
      <c r="A208" s="1719"/>
      <c r="B208" s="1106"/>
      <c r="C208" s="1867"/>
      <c r="D208" s="1865"/>
      <c r="E208" s="1864"/>
      <c r="F208" s="1864"/>
      <c r="G208" s="1863"/>
      <c r="H208" s="1862"/>
      <c r="I208" s="1861"/>
      <c r="J208" s="1861"/>
      <c r="K208" s="1861"/>
      <c r="L208" s="1860"/>
      <c r="M208" s="1859"/>
      <c r="N208" s="1719"/>
      <c r="O208" s="1719"/>
      <c r="P208" s="1719"/>
      <c r="Q208" s="1719"/>
    </row>
    <row r="209" spans="1:17" ht="15.75">
      <c r="A209" s="1719"/>
      <c r="B209" s="1106"/>
      <c r="C209" s="1866" t="s">
        <v>930</v>
      </c>
      <c r="D209" s="1865"/>
      <c r="E209" s="1864"/>
      <c r="F209" s="1864"/>
      <c r="G209" s="1863"/>
      <c r="H209" s="1862"/>
      <c r="I209" s="1861"/>
      <c r="J209" s="1861"/>
      <c r="K209" s="1861"/>
      <c r="L209" s="1860"/>
      <c r="M209" s="1859"/>
      <c r="N209" s="1719"/>
      <c r="O209" s="1719"/>
      <c r="P209" s="1719"/>
      <c r="Q209" s="1719"/>
    </row>
    <row r="210" spans="1:17">
      <c r="A210" s="1719"/>
      <c r="B210" s="1106"/>
      <c r="C210" s="4587" t="s">
        <v>929</v>
      </c>
      <c r="D210" s="4588"/>
      <c r="E210" s="4588"/>
      <c r="F210" s="4588"/>
      <c r="G210" s="4588"/>
      <c r="H210" s="4588"/>
      <c r="I210" s="4588"/>
      <c r="J210" s="4588"/>
      <c r="K210" s="4588"/>
      <c r="L210" s="4588"/>
      <c r="M210" s="4589"/>
      <c r="N210" s="1719"/>
      <c r="O210" s="1719"/>
      <c r="P210" s="1719"/>
      <c r="Q210" s="1719"/>
    </row>
    <row r="211" spans="1:17">
      <c r="A211" s="1719"/>
      <c r="B211" s="1106"/>
      <c r="C211" s="4587"/>
      <c r="D211" s="4588"/>
      <c r="E211" s="4588"/>
      <c r="F211" s="4588"/>
      <c r="G211" s="4588"/>
      <c r="H211" s="4588"/>
      <c r="I211" s="4588"/>
      <c r="J211" s="4588"/>
      <c r="K211" s="4588"/>
      <c r="L211" s="4588"/>
      <c r="M211" s="4589"/>
      <c r="N211" s="1719"/>
      <c r="O211" s="1719"/>
      <c r="P211" s="1719"/>
      <c r="Q211" s="1719"/>
    </row>
    <row r="212" spans="1:17" ht="15.75" thickBot="1">
      <c r="A212" s="1719"/>
      <c r="B212" s="1106"/>
      <c r="C212" s="4590"/>
      <c r="D212" s="4591"/>
      <c r="E212" s="4591"/>
      <c r="F212" s="4591"/>
      <c r="G212" s="4591"/>
      <c r="H212" s="4591"/>
      <c r="I212" s="4591"/>
      <c r="J212" s="4591"/>
      <c r="K212" s="4591"/>
      <c r="L212" s="4591"/>
      <c r="M212" s="4592"/>
      <c r="N212" s="1719"/>
      <c r="O212" s="1719"/>
      <c r="P212" s="1719"/>
      <c r="Q212" s="1719"/>
    </row>
    <row r="213" spans="1:17">
      <c r="A213" s="1719"/>
      <c r="B213" s="1106"/>
      <c r="C213" s="1106"/>
      <c r="D213" s="1106"/>
      <c r="E213" s="1106"/>
      <c r="F213" s="1106"/>
      <c r="G213" s="1106"/>
      <c r="H213" s="1106"/>
      <c r="I213" s="1106"/>
      <c r="J213" s="1106"/>
      <c r="K213" s="1106"/>
      <c r="L213" s="1106"/>
      <c r="M213" s="1719"/>
      <c r="N213" s="1719"/>
      <c r="O213" s="1719"/>
      <c r="P213" s="1719"/>
      <c r="Q213" s="1719"/>
    </row>
    <row r="214" spans="1:17">
      <c r="A214" s="1719"/>
      <c r="B214" s="1106"/>
      <c r="C214" s="1106"/>
      <c r="D214" s="1106"/>
      <c r="E214" s="1106"/>
      <c r="F214" s="1106"/>
      <c r="G214" s="1106"/>
      <c r="H214" s="1106"/>
      <c r="I214" s="1106"/>
      <c r="J214" s="1106"/>
      <c r="K214" s="1106"/>
      <c r="L214" s="1106"/>
      <c r="M214" s="1719"/>
      <c r="N214" s="1719"/>
      <c r="O214" s="1719"/>
      <c r="P214" s="1719"/>
      <c r="Q214" s="1719"/>
    </row>
    <row r="215" spans="1:17" ht="15.75" thickBot="1">
      <c r="A215" s="1719"/>
      <c r="B215" s="1106"/>
      <c r="C215" s="1106"/>
      <c r="D215" s="1106"/>
      <c r="E215" s="1106"/>
      <c r="F215" s="1106"/>
      <c r="G215" s="1106"/>
      <c r="H215" s="1106"/>
      <c r="I215" s="1106"/>
      <c r="J215" s="1106"/>
      <c r="K215" s="1106"/>
      <c r="L215" s="1106"/>
      <c r="M215" s="1719"/>
      <c r="N215" s="1719"/>
      <c r="O215" s="1719"/>
      <c r="P215" s="1719"/>
      <c r="Q215" s="1719"/>
    </row>
    <row r="216" spans="1:17">
      <c r="A216" s="4593" t="s">
        <v>928</v>
      </c>
      <c r="B216" s="4594"/>
      <c r="C216" s="4594"/>
      <c r="D216" s="4594"/>
      <c r="E216" s="4594"/>
      <c r="F216" s="4594"/>
      <c r="G216" s="4594"/>
      <c r="H216" s="4594"/>
      <c r="I216" s="4594"/>
      <c r="J216" s="4594"/>
      <c r="K216" s="4594"/>
      <c r="L216" s="4594"/>
      <c r="M216" s="4594"/>
      <c r="N216" s="4594"/>
      <c r="O216" s="1719"/>
      <c r="P216" s="1719"/>
      <c r="Q216" s="1719"/>
    </row>
    <row r="217" spans="1:17" ht="15.75" thickBot="1">
      <c r="A217" s="4595"/>
      <c r="B217" s="4596"/>
      <c r="C217" s="4596"/>
      <c r="D217" s="4596"/>
      <c r="E217" s="4596"/>
      <c r="F217" s="4596"/>
      <c r="G217" s="4596"/>
      <c r="H217" s="4596"/>
      <c r="I217" s="4596"/>
      <c r="J217" s="4596"/>
      <c r="K217" s="4596"/>
      <c r="L217" s="4596"/>
      <c r="M217" s="4596"/>
      <c r="N217" s="4596"/>
      <c r="O217" s="1719"/>
      <c r="P217" s="1719"/>
      <c r="Q217" s="1719"/>
    </row>
    <row r="218" spans="1:17" ht="23.25">
      <c r="A218" s="1858"/>
      <c r="B218" s="4616" t="s">
        <v>927</v>
      </c>
      <c r="C218" s="4616"/>
      <c r="D218" s="4616"/>
      <c r="E218" s="4616"/>
      <c r="F218" s="4616"/>
      <c r="G218" s="4616"/>
      <c r="H218" s="4616"/>
      <c r="I218" s="4616"/>
      <c r="J218" s="4616"/>
      <c r="K218" s="4616"/>
      <c r="L218" s="4616"/>
      <c r="M218" s="4616"/>
      <c r="N218" s="4616"/>
      <c r="O218" s="1719"/>
      <c r="P218" s="1719"/>
      <c r="Q218" s="1719"/>
    </row>
    <row r="219" spans="1:17" ht="23.25">
      <c r="A219" s="1858"/>
      <c r="B219" s="4617"/>
      <c r="C219" s="4617"/>
      <c r="D219" s="4617"/>
      <c r="E219" s="4617"/>
      <c r="F219" s="4617"/>
      <c r="G219" s="4617"/>
      <c r="H219" s="4617"/>
      <c r="I219" s="4617"/>
      <c r="J219" s="4617"/>
      <c r="K219" s="4617"/>
      <c r="L219" s="4617"/>
      <c r="M219" s="4617"/>
      <c r="N219" s="4617"/>
      <c r="O219" s="1719"/>
      <c r="P219" s="1719"/>
      <c r="Q219" s="1719"/>
    </row>
    <row r="220" spans="1:17" ht="15.75" thickBot="1">
      <c r="A220" s="1811"/>
      <c r="B220" s="1811"/>
      <c r="C220" s="1811"/>
      <c r="D220" s="1811"/>
      <c r="E220" s="1811"/>
      <c r="F220" s="1811"/>
      <c r="G220" s="1811"/>
      <c r="H220" s="1811"/>
      <c r="I220" s="1811"/>
      <c r="J220" s="1811"/>
      <c r="K220" s="1811"/>
      <c r="L220" s="1811"/>
      <c r="M220" s="1811"/>
      <c r="N220" s="1811"/>
      <c r="O220" s="1719"/>
      <c r="P220" s="1719"/>
      <c r="Q220" s="1719"/>
    </row>
    <row r="221" spans="1:17">
      <c r="A221" s="4597" t="s">
        <v>307</v>
      </c>
      <c r="B221" s="4599" t="s">
        <v>926</v>
      </c>
      <c r="C221" s="4600"/>
      <c r="D221" s="4600"/>
      <c r="E221" s="4600"/>
      <c r="F221" s="4600"/>
      <c r="G221" s="4600"/>
      <c r="H221" s="4600"/>
      <c r="I221" s="4600"/>
      <c r="J221" s="4600"/>
      <c r="K221" s="4600"/>
      <c r="L221" s="4600"/>
      <c r="M221" s="4600"/>
      <c r="N221" s="4603">
        <v>1</v>
      </c>
      <c r="O221" s="1719"/>
      <c r="P221" s="1719"/>
      <c r="Q221" s="1719"/>
    </row>
    <row r="222" spans="1:17">
      <c r="A222" s="4598"/>
      <c r="B222" s="4601"/>
      <c r="C222" s="4602"/>
      <c r="D222" s="4602"/>
      <c r="E222" s="4602"/>
      <c r="F222" s="4602"/>
      <c r="G222" s="4602"/>
      <c r="H222" s="4602"/>
      <c r="I222" s="4602"/>
      <c r="J222" s="4602"/>
      <c r="K222" s="4602"/>
      <c r="L222" s="4602"/>
      <c r="M222" s="4602"/>
      <c r="N222" s="4604"/>
      <c r="O222" s="1719"/>
      <c r="P222" s="1719"/>
      <c r="Q222" s="1719"/>
    </row>
    <row r="223" spans="1:17" ht="20.25">
      <c r="A223" s="4605"/>
      <c r="B223" s="4606" t="s">
        <v>921</v>
      </c>
      <c r="C223" s="4607"/>
      <c r="D223" s="4607"/>
      <c r="E223" s="4607"/>
      <c r="F223" s="4607"/>
      <c r="G223" s="4607"/>
      <c r="H223" s="4607"/>
      <c r="I223" s="4607"/>
      <c r="J223" s="4607"/>
      <c r="K223" s="4607"/>
      <c r="L223" s="4607"/>
      <c r="M223" s="4607"/>
      <c r="N223" s="4608"/>
      <c r="O223" s="1719"/>
      <c r="P223" s="1719"/>
      <c r="Q223" s="1719"/>
    </row>
    <row r="224" spans="1:17">
      <c r="A224" s="4605"/>
      <c r="B224" s="4609" t="s">
        <v>925</v>
      </c>
      <c r="C224" s="4610"/>
      <c r="D224" s="4610"/>
      <c r="E224" s="4610"/>
      <c r="F224" s="4610"/>
      <c r="G224" s="4610"/>
      <c r="H224" s="4610"/>
      <c r="I224" s="4610"/>
      <c r="J224" s="4610"/>
      <c r="K224" s="4610"/>
      <c r="L224" s="4610"/>
      <c r="M224" s="4610"/>
      <c r="N224" s="4611"/>
      <c r="O224" s="1719"/>
      <c r="P224" s="1719"/>
      <c r="Q224" s="1719"/>
    </row>
    <row r="225" spans="1:17">
      <c r="A225" s="4605"/>
      <c r="B225" s="4609"/>
      <c r="C225" s="4610"/>
      <c r="D225" s="4610"/>
      <c r="E225" s="4610"/>
      <c r="F225" s="4610"/>
      <c r="G225" s="4610"/>
      <c r="H225" s="4610"/>
      <c r="I225" s="4610"/>
      <c r="J225" s="4610"/>
      <c r="K225" s="4610"/>
      <c r="L225" s="4610"/>
      <c r="M225" s="4610"/>
      <c r="N225" s="4611"/>
      <c r="O225" s="1719"/>
      <c r="P225" s="1719"/>
      <c r="Q225" s="1719"/>
    </row>
    <row r="226" spans="1:17">
      <c r="A226" s="4605"/>
      <c r="B226" s="4609"/>
      <c r="C226" s="4610"/>
      <c r="D226" s="4610"/>
      <c r="E226" s="4610"/>
      <c r="F226" s="4610"/>
      <c r="G226" s="4610"/>
      <c r="H226" s="4610"/>
      <c r="I226" s="4610"/>
      <c r="J226" s="4610"/>
      <c r="K226" s="4610"/>
      <c r="L226" s="4610"/>
      <c r="M226" s="4610"/>
      <c r="N226" s="4611"/>
      <c r="O226" s="1719"/>
      <c r="P226" s="1719"/>
      <c r="Q226" s="1719"/>
    </row>
    <row r="227" spans="1:17">
      <c r="A227" s="4605"/>
      <c r="B227" s="4609"/>
      <c r="C227" s="4610"/>
      <c r="D227" s="4610"/>
      <c r="E227" s="4610"/>
      <c r="F227" s="4610"/>
      <c r="G227" s="4610"/>
      <c r="H227" s="4610"/>
      <c r="I227" s="4610"/>
      <c r="J227" s="4610"/>
      <c r="K227" s="4610"/>
      <c r="L227" s="4610"/>
      <c r="M227" s="4610"/>
      <c r="N227" s="4611"/>
      <c r="O227" s="1719"/>
      <c r="P227" s="1719"/>
      <c r="Q227" s="1719"/>
    </row>
    <row r="228" spans="1:17">
      <c r="A228" s="4605"/>
      <c r="B228" s="4612"/>
      <c r="C228" s="4613"/>
      <c r="D228" s="4613"/>
      <c r="E228" s="4613"/>
      <c r="F228" s="4613"/>
      <c r="G228" s="4613"/>
      <c r="H228" s="4613"/>
      <c r="I228" s="4613"/>
      <c r="J228" s="4613"/>
      <c r="K228" s="4613"/>
      <c r="L228" s="4613"/>
      <c r="M228" s="4613"/>
      <c r="N228" s="4614"/>
      <c r="O228" s="1719"/>
      <c r="P228" s="1719"/>
      <c r="Q228" s="1719"/>
    </row>
    <row r="229" spans="1:17">
      <c r="A229" s="4605"/>
      <c r="B229" s="1845"/>
      <c r="C229" s="1844"/>
      <c r="D229" s="1844"/>
      <c r="E229" s="1844"/>
      <c r="F229" s="1844"/>
      <c r="G229" s="1844"/>
      <c r="H229" s="1844"/>
      <c r="I229" s="1844"/>
      <c r="J229" s="1844"/>
      <c r="K229" s="1844"/>
      <c r="L229" s="4618" t="s">
        <v>422</v>
      </c>
      <c r="M229" s="4618"/>
      <c r="N229" s="1843"/>
      <c r="O229" s="1719"/>
      <c r="P229" s="1719"/>
      <c r="Q229" s="1719"/>
    </row>
    <row r="230" spans="1:17" ht="15.75">
      <c r="A230" s="4605"/>
      <c r="B230" s="1844"/>
      <c r="C230" s="1844"/>
      <c r="D230" s="1844"/>
      <c r="E230" s="1844"/>
      <c r="F230" s="1844"/>
      <c r="G230" s="1844"/>
      <c r="H230" s="1844"/>
      <c r="I230" s="1844"/>
      <c r="J230" s="1844"/>
      <c r="K230" s="1857" t="s">
        <v>911</v>
      </c>
      <c r="L230" s="4619" t="s">
        <v>71</v>
      </c>
      <c r="M230" s="4620"/>
      <c r="N230" s="1843"/>
      <c r="O230" s="1719"/>
      <c r="P230" s="1719"/>
      <c r="Q230" s="1719"/>
    </row>
    <row r="231" spans="1:17">
      <c r="A231" s="4605"/>
      <c r="B231" s="1845"/>
      <c r="C231" s="1844"/>
      <c r="D231" s="1844"/>
      <c r="E231" s="1844"/>
      <c r="F231" s="1844"/>
      <c r="G231" s="1844"/>
      <c r="H231" s="1844"/>
      <c r="I231" s="1844"/>
      <c r="J231" s="1844"/>
      <c r="K231" s="1844"/>
      <c r="L231" s="1844"/>
      <c r="M231" s="1847"/>
      <c r="N231" s="1843"/>
      <c r="O231" s="1719"/>
      <c r="P231" s="1719"/>
      <c r="Q231" s="1719"/>
    </row>
    <row r="232" spans="1:17" ht="18">
      <c r="A232" s="4605"/>
      <c r="B232" s="1845"/>
      <c r="C232" s="1844"/>
      <c r="D232" s="1844"/>
      <c r="E232" s="1844"/>
      <c r="F232" s="1856" t="s">
        <v>58</v>
      </c>
      <c r="G232" s="1855" t="s">
        <v>128</v>
      </c>
      <c r="H232" s="1853" t="s">
        <v>129</v>
      </c>
      <c r="I232" s="1854" t="s">
        <v>28</v>
      </c>
      <c r="J232" s="1853" t="s">
        <v>136</v>
      </c>
      <c r="K232" s="1853" t="s">
        <v>918</v>
      </c>
      <c r="L232" s="1844"/>
      <c r="M232" s="1844"/>
      <c r="N232" s="1843"/>
      <c r="O232" s="1719"/>
      <c r="P232" s="1719"/>
      <c r="Q232" s="1719"/>
    </row>
    <row r="233" spans="1:17" ht="18.75">
      <c r="A233" s="4605"/>
      <c r="B233" s="1845"/>
      <c r="C233" s="1844"/>
      <c r="D233" s="1844"/>
      <c r="E233" s="1844"/>
      <c r="F233" s="1819" t="s">
        <v>910</v>
      </c>
      <c r="G233" s="1818">
        <v>50</v>
      </c>
      <c r="H233" s="1818">
        <v>500</v>
      </c>
      <c r="I233" s="1818">
        <v>150</v>
      </c>
      <c r="J233" s="1818">
        <v>13</v>
      </c>
      <c r="K233" s="1818">
        <v>13</v>
      </c>
      <c r="L233" s="1804">
        <f>SUM(G233:K233)</f>
        <v>726</v>
      </c>
      <c r="M233" s="1803" t="s">
        <v>280</v>
      </c>
      <c r="N233" s="1843"/>
      <c r="O233" s="1719"/>
      <c r="P233" s="1719"/>
      <c r="Q233" s="1719"/>
    </row>
    <row r="234" spans="1:17" ht="18.75">
      <c r="A234" s="4605"/>
      <c r="B234" s="1845"/>
      <c r="C234" s="1844"/>
      <c r="D234" s="1844"/>
      <c r="E234" s="1844"/>
      <c r="F234" s="1830" t="s">
        <v>924</v>
      </c>
      <c r="G234" s="1852">
        <v>0.5</v>
      </c>
      <c r="H234" s="1852">
        <v>1</v>
      </c>
      <c r="I234" s="1852">
        <v>1</v>
      </c>
      <c r="J234" s="1852">
        <v>2</v>
      </c>
      <c r="K234" s="1852">
        <v>1</v>
      </c>
      <c r="L234" s="1828">
        <f>SUM(G234:K234)/COUNTIF(G234:K234,"&gt;0")</f>
        <v>1.1000000000000001</v>
      </c>
      <c r="M234" s="1803" t="s">
        <v>916</v>
      </c>
      <c r="N234" s="1843"/>
      <c r="O234" s="1719"/>
      <c r="P234" s="1719"/>
      <c r="Q234" s="1719"/>
    </row>
    <row r="235" spans="1:17" ht="18">
      <c r="A235" s="4605"/>
      <c r="B235" s="1845"/>
      <c r="C235" s="1844"/>
      <c r="D235" s="1844"/>
      <c r="E235" s="1844"/>
      <c r="F235" s="1806" t="s">
        <v>923</v>
      </c>
      <c r="G235" s="1851">
        <f>G234*G233</f>
        <v>25</v>
      </c>
      <c r="H235" s="1850">
        <f>H234*H233</f>
        <v>500</v>
      </c>
      <c r="I235" s="1850">
        <f>I234*I233</f>
        <v>150</v>
      </c>
      <c r="J235" s="1850">
        <f>J234*J233</f>
        <v>26</v>
      </c>
      <c r="K235" s="1850">
        <f>K234*K233</f>
        <v>13</v>
      </c>
      <c r="L235" s="1804">
        <f>SUM(G235:K235)</f>
        <v>714</v>
      </c>
      <c r="M235" s="1803" t="str">
        <f>L230</f>
        <v>pommes</v>
      </c>
      <c r="N235" s="1843"/>
      <c r="O235" s="1719"/>
      <c r="P235" s="1719"/>
      <c r="Q235" s="1719"/>
    </row>
    <row r="236" spans="1:17">
      <c r="A236" s="4605"/>
      <c r="B236" s="1845"/>
      <c r="C236" s="1844"/>
      <c r="D236" s="1844"/>
      <c r="E236" s="1844"/>
      <c r="F236" s="1844"/>
      <c r="G236" s="1816" t="str">
        <f>L230</f>
        <v>pommes</v>
      </c>
      <c r="H236" s="1816" t="str">
        <f>L230</f>
        <v>pommes</v>
      </c>
      <c r="I236" s="1816" t="str">
        <f>L230</f>
        <v>pommes</v>
      </c>
      <c r="J236" s="1816" t="str">
        <f>L230</f>
        <v>pommes</v>
      </c>
      <c r="K236" s="1816" t="str">
        <f>L230</f>
        <v>pommes</v>
      </c>
      <c r="L236" s="1844"/>
      <c r="M236" s="1847"/>
      <c r="N236" s="1843"/>
      <c r="O236" s="1719"/>
      <c r="P236" s="1719"/>
      <c r="Q236" s="1719"/>
    </row>
    <row r="237" spans="1:17" ht="18">
      <c r="A237" s="4605"/>
      <c r="B237" s="1849"/>
      <c r="C237" s="1814" t="s">
        <v>908</v>
      </c>
      <c r="D237" s="1813">
        <v>10</v>
      </c>
      <c r="E237" s="1812" t="s">
        <v>59</v>
      </c>
      <c r="F237" s="1848"/>
      <c r="G237" s="1848"/>
      <c r="H237" s="1844"/>
      <c r="I237" s="1844"/>
      <c r="J237" s="1844"/>
      <c r="K237" s="1844"/>
      <c r="L237" s="1844"/>
      <c r="M237" s="1847"/>
      <c r="N237" s="1843"/>
      <c r="O237" s="1719"/>
      <c r="P237" s="1719"/>
      <c r="Q237" s="1719"/>
    </row>
    <row r="238" spans="1:17" ht="18">
      <c r="A238" s="4605"/>
      <c r="B238" s="1845"/>
      <c r="C238" s="1844"/>
      <c r="D238" s="1844"/>
      <c r="E238" s="1844"/>
      <c r="F238" s="1806" t="s">
        <v>907</v>
      </c>
      <c r="G238" s="1809">
        <f>G235/(100-D237)*100</f>
        <v>27.777777777777779</v>
      </c>
      <c r="H238" s="1809">
        <f>H235/(100-D237)*100</f>
        <v>555.55555555555554</v>
      </c>
      <c r="I238" s="1809">
        <f>I235/(100-D237)*100</f>
        <v>166.66666666666669</v>
      </c>
      <c r="J238" s="1809">
        <f>J235/(100-D237)*100</f>
        <v>28.888888888888886</v>
      </c>
      <c r="K238" s="1809">
        <f>K235/(100-D237)*100</f>
        <v>14.444444444444443</v>
      </c>
      <c r="L238" s="1846">
        <f>SUM(G238:K238)</f>
        <v>793.33333333333337</v>
      </c>
      <c r="M238" s="1803" t="str">
        <f>L230</f>
        <v>pommes</v>
      </c>
      <c r="N238" s="1843"/>
      <c r="O238" s="1719"/>
      <c r="P238" s="1719"/>
      <c r="Q238" s="1719"/>
    </row>
    <row r="239" spans="1:17" ht="18">
      <c r="A239" s="4605"/>
      <c r="B239" s="1845"/>
      <c r="C239" s="1844"/>
      <c r="D239" s="1844"/>
      <c r="E239" s="1844"/>
      <c r="F239" s="1806"/>
      <c r="G239" s="1805" t="str">
        <f>L230</f>
        <v>pommes</v>
      </c>
      <c r="H239" s="1805" t="str">
        <f>L230</f>
        <v>pommes</v>
      </c>
      <c r="I239" s="1805" t="str">
        <f>L230</f>
        <v>pommes</v>
      </c>
      <c r="J239" s="1805" t="str">
        <f>L230</f>
        <v>pommes</v>
      </c>
      <c r="K239" s="1805" t="str">
        <f>L230</f>
        <v>pommes</v>
      </c>
      <c r="L239" s="1804"/>
      <c r="M239" s="1803"/>
      <c r="N239" s="1843"/>
      <c r="O239" s="1719"/>
      <c r="P239" s="1719"/>
      <c r="Q239" s="1719"/>
    </row>
    <row r="240" spans="1:17">
      <c r="A240" s="4605"/>
      <c r="B240" s="1842"/>
      <c r="C240" s="1841"/>
      <c r="D240" s="1841"/>
      <c r="E240" s="1841"/>
      <c r="F240" s="1841"/>
      <c r="G240" s="1841"/>
      <c r="H240" s="1841"/>
      <c r="I240" s="1841"/>
      <c r="J240" s="1841"/>
      <c r="K240" s="1841"/>
      <c r="L240" s="1841"/>
      <c r="M240" s="1841"/>
      <c r="N240" s="1840"/>
      <c r="O240" s="1719"/>
      <c r="P240" s="1719"/>
      <c r="Q240" s="1719"/>
    </row>
    <row r="241" spans="1:17" ht="18.75">
      <c r="A241" s="4605"/>
      <c r="B241" s="1839" t="s">
        <v>422</v>
      </c>
      <c r="C241" s="1838" t="s">
        <v>905</v>
      </c>
      <c r="D241" s="1795"/>
      <c r="E241" s="1795"/>
      <c r="F241" s="1795"/>
      <c r="G241" s="1795"/>
      <c r="H241" s="1795"/>
      <c r="I241" s="1795"/>
      <c r="J241" s="1795"/>
      <c r="K241" s="1795"/>
      <c r="L241" s="1795"/>
      <c r="M241" s="1795"/>
      <c r="N241" s="1794"/>
      <c r="O241" s="1719"/>
      <c r="P241" s="1719"/>
      <c r="Q241" s="1719"/>
    </row>
    <row r="242" spans="1:17" ht="18.75">
      <c r="A242" s="4605"/>
      <c r="B242" s="1793"/>
      <c r="C242" s="4619" t="s">
        <v>903</v>
      </c>
      <c r="D242" s="4620"/>
      <c r="E242" s="1792"/>
      <c r="F242" s="4619" t="s">
        <v>22</v>
      </c>
      <c r="G242" s="4620"/>
      <c r="H242" s="1792"/>
      <c r="I242" s="4619" t="s">
        <v>184</v>
      </c>
      <c r="J242" s="4620"/>
      <c r="K242" s="1792"/>
      <c r="L242" s="4619" t="s">
        <v>904</v>
      </c>
      <c r="M242" s="4620"/>
      <c r="N242" s="1791"/>
      <c r="O242" s="1719"/>
      <c r="P242" s="1719"/>
      <c r="Q242" s="1719"/>
    </row>
    <row r="243" spans="1:17" ht="18.75">
      <c r="A243" s="4605"/>
      <c r="B243" s="1837" t="s">
        <v>59</v>
      </c>
      <c r="C243" s="1800" t="s">
        <v>906</v>
      </c>
      <c r="D243" s="1792"/>
      <c r="E243" s="1792"/>
      <c r="F243" s="1792"/>
      <c r="G243" s="1792"/>
      <c r="H243" s="1792"/>
      <c r="I243" s="1792"/>
      <c r="J243" s="1792"/>
      <c r="K243" s="1792"/>
      <c r="L243" s="1792"/>
      <c r="M243" s="1792"/>
      <c r="N243" s="1791"/>
      <c r="O243" s="1719"/>
      <c r="P243" s="1719"/>
      <c r="Q243" s="1719"/>
    </row>
    <row r="244" spans="1:17">
      <c r="A244" s="4605"/>
      <c r="B244" s="4621" t="s">
        <v>902</v>
      </c>
      <c r="C244" s="4622"/>
      <c r="D244" s="4622"/>
      <c r="E244" s="4622"/>
      <c r="F244" s="4622"/>
      <c r="G244" s="4622"/>
      <c r="H244" s="4622"/>
      <c r="I244" s="4622"/>
      <c r="J244" s="4622"/>
      <c r="K244" s="4622"/>
      <c r="L244" s="4622"/>
      <c r="M244" s="4622"/>
      <c r="N244" s="4623"/>
      <c r="O244" s="1719"/>
      <c r="P244" s="1719"/>
      <c r="Q244" s="1719"/>
    </row>
    <row r="245" spans="1:17">
      <c r="A245" s="4605"/>
      <c r="B245" s="4624"/>
      <c r="C245" s="4625"/>
      <c r="D245" s="4625"/>
      <c r="E245" s="4625"/>
      <c r="F245" s="4625"/>
      <c r="G245" s="4625"/>
      <c r="H245" s="4625"/>
      <c r="I245" s="4625"/>
      <c r="J245" s="4625"/>
      <c r="K245" s="4625"/>
      <c r="L245" s="4625"/>
      <c r="M245" s="4625"/>
      <c r="N245" s="4626"/>
      <c r="O245" s="1719"/>
      <c r="P245" s="1719"/>
      <c r="Q245" s="1719"/>
    </row>
    <row r="246" spans="1:17">
      <c r="A246" s="4605"/>
      <c r="B246" s="1790" t="s">
        <v>777</v>
      </c>
      <c r="C246" s="4627" t="str">
        <f ca="1">CELL("nomfichier")</f>
        <v>E:\0-UPRT\1-UPRT.FR-SITE-WEB\ff-fiches-fabrications\ff-fiches-fabrication-maj-08-2020\[ff-2-A-collectivite.poids.portion.xlsx]Nota</v>
      </c>
      <c r="D246" s="4627"/>
      <c r="E246" s="4627"/>
      <c r="F246" s="4627"/>
      <c r="G246" s="4627"/>
      <c r="H246" s="4627"/>
      <c r="I246" s="4627"/>
      <c r="J246" s="4627"/>
      <c r="K246" s="4627"/>
      <c r="L246" s="4627"/>
      <c r="M246" s="4627"/>
      <c r="N246" s="4628"/>
      <c r="O246" s="1719"/>
      <c r="P246" s="1719"/>
      <c r="Q246" s="1719"/>
    </row>
    <row r="247" spans="1:17">
      <c r="A247" s="4605"/>
      <c r="B247" s="1789" t="s">
        <v>901</v>
      </c>
      <c r="C247" s="4630" t="s">
        <v>900</v>
      </c>
      <c r="D247" s="4630"/>
      <c r="E247" s="4630"/>
      <c r="F247" s="4630"/>
      <c r="G247" s="4630"/>
      <c r="H247" s="4630"/>
      <c r="I247" s="4630"/>
      <c r="J247" s="4630"/>
      <c r="K247" s="4630"/>
      <c r="L247" s="4630"/>
      <c r="M247" s="4630"/>
      <c r="N247" s="4631"/>
      <c r="O247" s="1719"/>
      <c r="P247" s="1719"/>
      <c r="Q247" s="1719"/>
    </row>
    <row r="248" spans="1:17" ht="15.75" thickBot="1">
      <c r="A248" s="4605"/>
      <c r="B248" s="4632" t="s">
        <v>826</v>
      </c>
      <c r="C248" s="4633"/>
      <c r="D248" s="4633"/>
      <c r="E248" s="4633"/>
      <c r="F248" s="4633"/>
      <c r="G248" s="4633"/>
      <c r="H248" s="4633"/>
      <c r="I248" s="4633"/>
      <c r="J248" s="4633"/>
      <c r="K248" s="4633"/>
      <c r="L248" s="4633"/>
      <c r="M248" s="4633"/>
      <c r="N248" s="4634"/>
      <c r="O248" s="1719"/>
      <c r="P248" s="1719"/>
      <c r="Q248" s="1719"/>
    </row>
    <row r="249" spans="1:17" ht="15.75" thickBot="1">
      <c r="A249" s="1811"/>
      <c r="B249" s="1811"/>
      <c r="C249" s="1811"/>
      <c r="D249" s="1811"/>
      <c r="E249" s="1811"/>
      <c r="F249" s="1811"/>
      <c r="G249" s="1811"/>
      <c r="H249" s="1811"/>
      <c r="I249" s="1811"/>
      <c r="J249" s="1811"/>
      <c r="K249" s="1811"/>
      <c r="L249" s="1811"/>
      <c r="M249" s="1811"/>
      <c r="N249" s="1811"/>
      <c r="O249" s="1719"/>
      <c r="P249" s="1719"/>
      <c r="Q249" s="1719"/>
    </row>
    <row r="250" spans="1:17">
      <c r="A250" s="4597" t="s">
        <v>307</v>
      </c>
      <c r="B250" s="4599" t="s">
        <v>922</v>
      </c>
      <c r="C250" s="4600"/>
      <c r="D250" s="4600"/>
      <c r="E250" s="4600"/>
      <c r="F250" s="4600"/>
      <c r="G250" s="4600"/>
      <c r="H250" s="4600"/>
      <c r="I250" s="4600"/>
      <c r="J250" s="4600"/>
      <c r="K250" s="4600"/>
      <c r="L250" s="4600"/>
      <c r="M250" s="4600"/>
      <c r="N250" s="4603">
        <v>2</v>
      </c>
      <c r="O250" s="1719"/>
      <c r="P250" s="1719"/>
      <c r="Q250" s="1719"/>
    </row>
    <row r="251" spans="1:17">
      <c r="A251" s="4598"/>
      <c r="B251" s="4601"/>
      <c r="C251" s="4602"/>
      <c r="D251" s="4602"/>
      <c r="E251" s="4602"/>
      <c r="F251" s="4602"/>
      <c r="G251" s="4602"/>
      <c r="H251" s="4602"/>
      <c r="I251" s="4602"/>
      <c r="J251" s="4602"/>
      <c r="K251" s="4602"/>
      <c r="L251" s="4602"/>
      <c r="M251" s="4602"/>
      <c r="N251" s="4604"/>
      <c r="O251" s="1719"/>
      <c r="P251" s="1719"/>
      <c r="Q251" s="1719"/>
    </row>
    <row r="252" spans="1:17" ht="20.25">
      <c r="A252" s="4605"/>
      <c r="B252" s="4606" t="s">
        <v>921</v>
      </c>
      <c r="C252" s="4607"/>
      <c r="D252" s="4607"/>
      <c r="E252" s="4607"/>
      <c r="F252" s="4607"/>
      <c r="G252" s="4607"/>
      <c r="H252" s="4607"/>
      <c r="I252" s="4607"/>
      <c r="J252" s="4607"/>
      <c r="K252" s="4607"/>
      <c r="L252" s="4607"/>
      <c r="M252" s="4607"/>
      <c r="N252" s="4608"/>
      <c r="O252" s="1719"/>
      <c r="P252" s="1719"/>
      <c r="Q252" s="1719"/>
    </row>
    <row r="253" spans="1:17">
      <c r="A253" s="4605"/>
      <c r="B253" s="4609" t="s">
        <v>920</v>
      </c>
      <c r="C253" s="4610"/>
      <c r="D253" s="4610"/>
      <c r="E253" s="4610"/>
      <c r="F253" s="4610"/>
      <c r="G253" s="4610"/>
      <c r="H253" s="4610"/>
      <c r="I253" s="4610"/>
      <c r="J253" s="4610"/>
      <c r="K253" s="4610"/>
      <c r="L253" s="4610"/>
      <c r="M253" s="4610"/>
      <c r="N253" s="4611"/>
      <c r="O253" s="1719"/>
      <c r="P253" s="1719"/>
      <c r="Q253" s="1719"/>
    </row>
    <row r="254" spans="1:17">
      <c r="A254" s="4605"/>
      <c r="B254" s="4609"/>
      <c r="C254" s="4610"/>
      <c r="D254" s="4610"/>
      <c r="E254" s="4610"/>
      <c r="F254" s="4610"/>
      <c r="G254" s="4610"/>
      <c r="H254" s="4610"/>
      <c r="I254" s="4610"/>
      <c r="J254" s="4610"/>
      <c r="K254" s="4610"/>
      <c r="L254" s="4610"/>
      <c r="M254" s="4610"/>
      <c r="N254" s="4611"/>
      <c r="O254" s="1719"/>
      <c r="P254" s="1719"/>
      <c r="Q254" s="1719"/>
    </row>
    <row r="255" spans="1:17">
      <c r="A255" s="4605"/>
      <c r="B255" s="4609"/>
      <c r="C255" s="4610"/>
      <c r="D255" s="4610"/>
      <c r="E255" s="4610"/>
      <c r="F255" s="4610"/>
      <c r="G255" s="4610"/>
      <c r="H255" s="4610"/>
      <c r="I255" s="4610"/>
      <c r="J255" s="4610"/>
      <c r="K255" s="4610"/>
      <c r="L255" s="4610"/>
      <c r="M255" s="4610"/>
      <c r="N255" s="4611"/>
      <c r="O255" s="1719"/>
      <c r="P255" s="1719"/>
      <c r="Q255" s="1719"/>
    </row>
    <row r="256" spans="1:17">
      <c r="A256" s="4605"/>
      <c r="B256" s="4609"/>
      <c r="C256" s="4610"/>
      <c r="D256" s="4610"/>
      <c r="E256" s="4610"/>
      <c r="F256" s="4610"/>
      <c r="G256" s="4610"/>
      <c r="H256" s="4610"/>
      <c r="I256" s="4610"/>
      <c r="J256" s="4610"/>
      <c r="K256" s="4610"/>
      <c r="L256" s="4610"/>
      <c r="M256" s="4610"/>
      <c r="N256" s="4611"/>
      <c r="O256" s="1719"/>
      <c r="P256" s="1719"/>
      <c r="Q256" s="1719"/>
    </row>
    <row r="257" spans="1:17">
      <c r="A257" s="4605"/>
      <c r="B257" s="4612"/>
      <c r="C257" s="4613"/>
      <c r="D257" s="4613"/>
      <c r="E257" s="4613"/>
      <c r="F257" s="4613"/>
      <c r="G257" s="4613"/>
      <c r="H257" s="4613"/>
      <c r="I257" s="4613"/>
      <c r="J257" s="4613"/>
      <c r="K257" s="4613"/>
      <c r="L257" s="4613"/>
      <c r="M257" s="4613"/>
      <c r="N257" s="4614"/>
      <c r="O257" s="1719"/>
      <c r="P257" s="1719"/>
      <c r="Q257" s="1719"/>
    </row>
    <row r="258" spans="1:17">
      <c r="A258" s="4605"/>
      <c r="B258" s="1808"/>
      <c r="C258" s="1807"/>
      <c r="D258" s="1807"/>
      <c r="E258" s="1807"/>
      <c r="F258" s="1807"/>
      <c r="G258" s="1807"/>
      <c r="H258" s="1807"/>
      <c r="I258" s="1807"/>
      <c r="J258" s="1807"/>
      <c r="K258" s="1807"/>
      <c r="L258" s="4615" t="s">
        <v>422</v>
      </c>
      <c r="M258" s="4615"/>
      <c r="N258" s="1802"/>
      <c r="O258" s="1719"/>
      <c r="P258" s="1719"/>
      <c r="Q258" s="1719"/>
    </row>
    <row r="259" spans="1:17" ht="18">
      <c r="A259" s="4605"/>
      <c r="B259" s="1808"/>
      <c r="C259" s="1807"/>
      <c r="D259" s="1807"/>
      <c r="E259" s="1807"/>
      <c r="F259" s="1807"/>
      <c r="G259" s="1807"/>
      <c r="H259" s="1807"/>
      <c r="I259" s="1807"/>
      <c r="J259" s="1811"/>
      <c r="K259" s="1806" t="s">
        <v>919</v>
      </c>
      <c r="L259" s="4639">
        <v>2.4</v>
      </c>
      <c r="M259" s="4639"/>
      <c r="N259" s="1802"/>
      <c r="O259" s="1719"/>
      <c r="P259" s="1719"/>
      <c r="Q259" s="1719"/>
    </row>
    <row r="260" spans="1:17">
      <c r="A260" s="4605"/>
      <c r="B260" s="1836"/>
      <c r="C260" s="1835"/>
      <c r="D260" s="1835"/>
      <c r="E260" s="1835"/>
      <c r="F260" s="1807"/>
      <c r="G260" s="1807"/>
      <c r="H260" s="1807"/>
      <c r="I260" s="1807"/>
      <c r="J260" s="1807"/>
      <c r="K260" s="1834"/>
      <c r="L260" s="4639"/>
      <c r="M260" s="4639"/>
      <c r="N260" s="1802"/>
      <c r="O260" s="1719"/>
      <c r="P260" s="1719"/>
      <c r="Q260" s="1719"/>
    </row>
    <row r="261" spans="1:17">
      <c r="A261" s="4605"/>
      <c r="B261" s="1808"/>
      <c r="C261" s="1807"/>
      <c r="D261" s="1807"/>
      <c r="E261" s="1807"/>
      <c r="F261" s="1807"/>
      <c r="G261" s="1807"/>
      <c r="H261" s="1807"/>
      <c r="I261" s="1807"/>
      <c r="J261" s="1807"/>
      <c r="K261" s="1807"/>
      <c r="L261" s="1807"/>
      <c r="M261" s="1807"/>
      <c r="N261" s="1802"/>
      <c r="O261" s="1719"/>
      <c r="P261" s="1719"/>
      <c r="Q261" s="1719"/>
    </row>
    <row r="262" spans="1:17" ht="18">
      <c r="A262" s="4605"/>
      <c r="B262" s="1808"/>
      <c r="C262" s="1807"/>
      <c r="D262" s="1807"/>
      <c r="E262" s="1807"/>
      <c r="F262" s="1833" t="s">
        <v>58</v>
      </c>
      <c r="G262" s="1831" t="s">
        <v>128</v>
      </c>
      <c r="H262" s="1831" t="s">
        <v>129</v>
      </c>
      <c r="I262" s="1832" t="s">
        <v>28</v>
      </c>
      <c r="J262" s="1831" t="s">
        <v>136</v>
      </c>
      <c r="K262" s="1831" t="s">
        <v>918</v>
      </c>
      <c r="L262" s="1807"/>
      <c r="M262" s="1807"/>
      <c r="N262" s="1802"/>
      <c r="O262" s="1719"/>
      <c r="P262" s="1719"/>
      <c r="Q262" s="1719"/>
    </row>
    <row r="263" spans="1:17" ht="18">
      <c r="A263" s="4605"/>
      <c r="B263" s="1808"/>
      <c r="C263" s="1807"/>
      <c r="D263" s="1807"/>
      <c r="E263" s="1807"/>
      <c r="F263" s="1830" t="s">
        <v>917</v>
      </c>
      <c r="G263" s="1829">
        <v>0.05</v>
      </c>
      <c r="H263" s="1829">
        <v>0.08</v>
      </c>
      <c r="I263" s="1829">
        <v>0.11</v>
      </c>
      <c r="J263" s="1829">
        <v>0.125</v>
      </c>
      <c r="K263" s="1829">
        <v>7.0000000000000007E-2</v>
      </c>
      <c r="L263" s="1828">
        <f>SUM(G263:K263)/COUNTIF(G263:K263,"&gt;0")</f>
        <v>8.6999999999999994E-2</v>
      </c>
      <c r="M263" s="1803" t="s">
        <v>916</v>
      </c>
      <c r="N263" s="1802"/>
      <c r="O263" s="1719"/>
      <c r="P263" s="1719"/>
      <c r="Q263" s="1719"/>
    </row>
    <row r="264" spans="1:17" ht="18.75">
      <c r="A264" s="4605"/>
      <c r="B264" s="1808"/>
      <c r="C264" s="1807"/>
      <c r="D264" s="1807"/>
      <c r="E264" s="1807"/>
      <c r="F264" s="1806" t="s">
        <v>915</v>
      </c>
      <c r="G264" s="1827">
        <f>L259/G263</f>
        <v>47.999999999999993</v>
      </c>
      <c r="H264" s="1827">
        <f>L259/H263</f>
        <v>30</v>
      </c>
      <c r="I264" s="1827">
        <f>L259/I263</f>
        <v>21.818181818181817</v>
      </c>
      <c r="J264" s="1827">
        <f>L259/J263</f>
        <v>19.2</v>
      </c>
      <c r="K264" s="1827">
        <f>L259/K263</f>
        <v>34.285714285714285</v>
      </c>
      <c r="L264" s="1823" t="s">
        <v>914</v>
      </c>
      <c r="M264" s="1803"/>
      <c r="N264" s="1802"/>
      <c r="O264" s="1719"/>
      <c r="P264" s="1719"/>
      <c r="Q264" s="1719"/>
    </row>
    <row r="265" spans="1:17" ht="18.75">
      <c r="A265" s="4605"/>
      <c r="B265" s="1826" t="s">
        <v>422</v>
      </c>
      <c r="C265" s="1825" t="s">
        <v>913</v>
      </c>
      <c r="D265" s="1807"/>
      <c r="E265" s="1807"/>
      <c r="F265" s="1806"/>
      <c r="G265" s="1824"/>
      <c r="H265" s="1824"/>
      <c r="I265" s="1824"/>
      <c r="J265" s="1824"/>
      <c r="K265" s="1824"/>
      <c r="L265" s="1823"/>
      <c r="M265" s="1803"/>
      <c r="N265" s="1802"/>
      <c r="O265" s="1719"/>
      <c r="P265" s="1719"/>
      <c r="Q265" s="1719"/>
    </row>
    <row r="266" spans="1:17">
      <c r="A266" s="4605"/>
      <c r="B266" s="4640" t="s">
        <v>912</v>
      </c>
      <c r="C266" s="4641"/>
      <c r="D266" s="4641"/>
      <c r="E266" s="4641"/>
      <c r="F266" s="4641"/>
      <c r="G266" s="4641"/>
      <c r="H266" s="4641"/>
      <c r="I266" s="4641"/>
      <c r="J266" s="4641"/>
      <c r="K266" s="4641"/>
      <c r="L266" s="4641"/>
      <c r="M266" s="4641"/>
      <c r="N266" s="4642"/>
      <c r="O266" s="1719"/>
      <c r="P266" s="1719"/>
      <c r="Q266" s="1719"/>
    </row>
    <row r="267" spans="1:17" ht="15.75">
      <c r="A267" s="4605"/>
      <c r="B267" s="1822"/>
      <c r="C267" s="1821"/>
      <c r="D267" s="1821"/>
      <c r="E267" s="1821"/>
      <c r="F267" s="1807"/>
      <c r="G267" s="1807"/>
      <c r="H267" s="1804"/>
      <c r="I267" s="1804"/>
      <c r="J267" s="1804"/>
      <c r="K267" s="1804"/>
      <c r="L267" s="4643" t="s">
        <v>59</v>
      </c>
      <c r="M267" s="4643"/>
      <c r="N267" s="1802"/>
      <c r="O267" s="1719"/>
      <c r="P267" s="1719"/>
      <c r="Q267" s="1719"/>
    </row>
    <row r="268" spans="1:17" ht="15.75">
      <c r="A268" s="4605"/>
      <c r="B268" s="1822"/>
      <c r="C268" s="1821"/>
      <c r="D268" s="1821"/>
      <c r="E268" s="1821"/>
      <c r="F268" s="1807"/>
      <c r="G268" s="1807"/>
      <c r="H268" s="1804"/>
      <c r="I268" s="1804"/>
      <c r="J268" s="1804"/>
      <c r="K268" s="1820" t="s">
        <v>911</v>
      </c>
      <c r="L268" s="4644" t="s">
        <v>22</v>
      </c>
      <c r="M268" s="4645"/>
      <c r="N268" s="1802"/>
      <c r="O268" s="1719"/>
      <c r="P268" s="1719"/>
      <c r="Q268" s="1719"/>
    </row>
    <row r="269" spans="1:17" ht="18">
      <c r="A269" s="4605"/>
      <c r="B269" s="1808"/>
      <c r="C269" s="1807"/>
      <c r="D269" s="1804"/>
      <c r="E269" s="1804"/>
      <c r="F269" s="1804"/>
      <c r="G269" s="1804"/>
      <c r="H269" s="1804"/>
      <c r="I269" s="1804"/>
      <c r="J269" s="1804"/>
      <c r="K269" s="1804"/>
      <c r="L269" s="1804"/>
      <c r="M269" s="1803"/>
      <c r="N269" s="1802"/>
      <c r="O269" s="1719"/>
      <c r="P269" s="1719"/>
      <c r="Q269" s="1719"/>
    </row>
    <row r="270" spans="1:17" ht="18.75">
      <c r="A270" s="4605"/>
      <c r="B270" s="1808"/>
      <c r="C270" s="1807"/>
      <c r="D270" s="1807"/>
      <c r="E270" s="1807"/>
      <c r="F270" s="1819" t="s">
        <v>910</v>
      </c>
      <c r="G270" s="1818">
        <v>50</v>
      </c>
      <c r="H270" s="1818">
        <v>500</v>
      </c>
      <c r="I270" s="1818">
        <v>150</v>
      </c>
      <c r="J270" s="1818">
        <v>13</v>
      </c>
      <c r="K270" s="1818">
        <v>13</v>
      </c>
      <c r="L270" s="1804">
        <f>SUM(G270:K270)</f>
        <v>726</v>
      </c>
      <c r="M270" s="1803" t="s">
        <v>280</v>
      </c>
      <c r="N270" s="1802"/>
      <c r="O270" s="1719"/>
      <c r="P270" s="1719"/>
      <c r="Q270" s="1719"/>
    </row>
    <row r="271" spans="1:17" ht="18.75">
      <c r="A271" s="4605"/>
      <c r="B271" s="1808"/>
      <c r="C271" s="1807"/>
      <c r="D271" s="1807"/>
      <c r="E271" s="1807"/>
      <c r="F271" s="1806" t="s">
        <v>909</v>
      </c>
      <c r="G271" s="1817">
        <f>G263*G270</f>
        <v>2.5</v>
      </c>
      <c r="H271" s="1817">
        <f>H263*H270</f>
        <v>40</v>
      </c>
      <c r="I271" s="1817">
        <f>I263*I270</f>
        <v>16.5</v>
      </c>
      <c r="J271" s="1817">
        <f>J263*J270</f>
        <v>1.625</v>
      </c>
      <c r="K271" s="1817">
        <f>K263*K270</f>
        <v>0.91000000000000014</v>
      </c>
      <c r="L271" s="1804">
        <f>SUM(G271:K271)</f>
        <v>61.534999999999997</v>
      </c>
      <c r="M271" s="1803" t="str">
        <f>L268</f>
        <v>Kg</v>
      </c>
      <c r="N271" s="1802"/>
      <c r="O271" s="1719"/>
      <c r="P271" s="1719"/>
      <c r="Q271" s="1719"/>
    </row>
    <row r="272" spans="1:17">
      <c r="A272" s="4605"/>
      <c r="B272" s="1808"/>
      <c r="C272" s="1807"/>
      <c r="D272" s="1807"/>
      <c r="E272" s="1807"/>
      <c r="F272" s="1807"/>
      <c r="G272" s="1816" t="str">
        <f>L268</f>
        <v>Kg</v>
      </c>
      <c r="H272" s="1816" t="str">
        <f>L268</f>
        <v>Kg</v>
      </c>
      <c r="I272" s="1816" t="str">
        <f>L268</f>
        <v>Kg</v>
      </c>
      <c r="J272" s="1816" t="str">
        <f>L268</f>
        <v>Kg</v>
      </c>
      <c r="K272" s="1816" t="str">
        <f>L268</f>
        <v>Kg</v>
      </c>
      <c r="L272" s="1807"/>
      <c r="M272" s="1810"/>
      <c r="N272" s="1802"/>
      <c r="O272" s="1719"/>
      <c r="P272" s="1719"/>
      <c r="Q272" s="1719"/>
    </row>
    <row r="273" spans="1:17" ht="18">
      <c r="A273" s="4605"/>
      <c r="B273" s="1815"/>
      <c r="C273" s="1814" t="s">
        <v>908</v>
      </c>
      <c r="D273" s="1813">
        <v>50</v>
      </c>
      <c r="E273" s="1812" t="s">
        <v>60</v>
      </c>
      <c r="F273" s="1811"/>
      <c r="G273" s="1811"/>
      <c r="H273" s="1807"/>
      <c r="I273" s="1807"/>
      <c r="J273" s="1807"/>
      <c r="K273" s="1807"/>
      <c r="L273" s="1807"/>
      <c r="M273" s="1810"/>
      <c r="N273" s="1802"/>
      <c r="O273" s="1719"/>
      <c r="P273" s="1719"/>
      <c r="Q273" s="1719"/>
    </row>
    <row r="274" spans="1:17" ht="18">
      <c r="A274" s="4605"/>
      <c r="B274" s="1808"/>
      <c r="C274" s="1807"/>
      <c r="D274" s="1807"/>
      <c r="E274" s="1807"/>
      <c r="F274" s="1806" t="s">
        <v>907</v>
      </c>
      <c r="G274" s="1809">
        <f>G271/(100-D273)*100</f>
        <v>5</v>
      </c>
      <c r="H274" s="1809">
        <f>H271/(100-D273)*100</f>
        <v>80</v>
      </c>
      <c r="I274" s="1809">
        <f>I271/(100-D273)*100</f>
        <v>33</v>
      </c>
      <c r="J274" s="1809">
        <f>J271/(100-D273)*100</f>
        <v>3.25</v>
      </c>
      <c r="K274" s="1809">
        <f>K271/(100-D273)*100</f>
        <v>1.8200000000000005</v>
      </c>
      <c r="L274" s="1804">
        <f>SUM(G274:K274)</f>
        <v>123.07000000000001</v>
      </c>
      <c r="M274" s="1803" t="str">
        <f>L268</f>
        <v>Kg</v>
      </c>
      <c r="N274" s="1802"/>
      <c r="O274" s="1719"/>
      <c r="P274" s="1719"/>
      <c r="Q274" s="1719"/>
    </row>
    <row r="275" spans="1:17" ht="18">
      <c r="A275" s="4605"/>
      <c r="B275" s="1808"/>
      <c r="C275" s="1807"/>
      <c r="D275" s="1807"/>
      <c r="E275" s="1807"/>
      <c r="F275" s="1806"/>
      <c r="G275" s="1805" t="str">
        <f>L268</f>
        <v>Kg</v>
      </c>
      <c r="H275" s="1805" t="str">
        <f>L268</f>
        <v>Kg</v>
      </c>
      <c r="I275" s="1805" t="str">
        <f>L268</f>
        <v>Kg</v>
      </c>
      <c r="J275" s="1805" t="str">
        <f>L268</f>
        <v>Kg</v>
      </c>
      <c r="K275" s="1805" t="str">
        <f>L268</f>
        <v>Kg</v>
      </c>
      <c r="L275" s="1804"/>
      <c r="M275" s="1803"/>
      <c r="N275" s="1802"/>
      <c r="O275" s="1719"/>
      <c r="P275" s="1719"/>
      <c r="Q275" s="1719"/>
    </row>
    <row r="276" spans="1:17" ht="15.75">
      <c r="A276" s="4605"/>
      <c r="B276" s="1801" t="s">
        <v>60</v>
      </c>
      <c r="C276" s="1800" t="s">
        <v>906</v>
      </c>
      <c r="D276" s="1799"/>
      <c r="E276" s="1799"/>
      <c r="F276" s="1799"/>
      <c r="G276" s="1799"/>
      <c r="H276" s="1799"/>
      <c r="I276" s="1799"/>
      <c r="J276" s="1799"/>
      <c r="K276" s="1799"/>
      <c r="L276" s="1799"/>
      <c r="M276" s="1799"/>
      <c r="N276" s="1798"/>
      <c r="O276" s="1719"/>
      <c r="P276" s="1719"/>
      <c r="Q276" s="1719"/>
    </row>
    <row r="277" spans="1:17" ht="18.75">
      <c r="A277" s="4605"/>
      <c r="B277" s="1797" t="s">
        <v>59</v>
      </c>
      <c r="C277" s="1796" t="s">
        <v>905</v>
      </c>
      <c r="D277" s="1795"/>
      <c r="E277" s="1795"/>
      <c r="F277" s="1795"/>
      <c r="G277" s="1795"/>
      <c r="H277" s="1795"/>
      <c r="I277" s="1795"/>
      <c r="J277" s="1795"/>
      <c r="K277" s="1795"/>
      <c r="L277" s="1795"/>
      <c r="M277" s="1795"/>
      <c r="N277" s="1794"/>
      <c r="O277" s="1719"/>
      <c r="P277" s="1719"/>
      <c r="Q277" s="1719"/>
    </row>
    <row r="278" spans="1:17" ht="18.75">
      <c r="A278" s="4605"/>
      <c r="B278" s="1793"/>
      <c r="C278" s="4644" t="s">
        <v>22</v>
      </c>
      <c r="D278" s="4645"/>
      <c r="E278" s="1792"/>
      <c r="F278" s="4644" t="s">
        <v>184</v>
      </c>
      <c r="G278" s="4645"/>
      <c r="H278" s="1792"/>
      <c r="I278" s="4644" t="s">
        <v>904</v>
      </c>
      <c r="J278" s="4645"/>
      <c r="K278" s="1792"/>
      <c r="L278" s="4644" t="s">
        <v>903</v>
      </c>
      <c r="M278" s="4645"/>
      <c r="N278" s="1791"/>
      <c r="O278" s="1719"/>
      <c r="P278" s="1719"/>
      <c r="Q278" s="1719"/>
    </row>
    <row r="279" spans="1:17" ht="18.75">
      <c r="A279" s="4605"/>
      <c r="B279" s="1793"/>
      <c r="C279" s="1792"/>
      <c r="D279" s="1792"/>
      <c r="E279" s="1792"/>
      <c r="F279" s="1792"/>
      <c r="G279" s="1792"/>
      <c r="H279" s="1792"/>
      <c r="I279" s="1792"/>
      <c r="J279" s="1792"/>
      <c r="K279" s="1792"/>
      <c r="L279" s="1792"/>
      <c r="M279" s="1792"/>
      <c r="N279" s="1791"/>
      <c r="O279" s="1719"/>
      <c r="P279" s="1719"/>
      <c r="Q279" s="1719"/>
    </row>
    <row r="280" spans="1:17">
      <c r="A280" s="4605"/>
      <c r="B280" s="4621" t="s">
        <v>902</v>
      </c>
      <c r="C280" s="4622"/>
      <c r="D280" s="4622"/>
      <c r="E280" s="4622"/>
      <c r="F280" s="4622"/>
      <c r="G280" s="4622"/>
      <c r="H280" s="4622"/>
      <c r="I280" s="4622"/>
      <c r="J280" s="4622"/>
      <c r="K280" s="4622"/>
      <c r="L280" s="4622"/>
      <c r="M280" s="4622"/>
      <c r="N280" s="4623"/>
      <c r="O280" s="1719"/>
      <c r="P280" s="1719"/>
      <c r="Q280" s="1719"/>
    </row>
    <row r="281" spans="1:17">
      <c r="A281" s="4605"/>
      <c r="B281" s="4624"/>
      <c r="C281" s="4625"/>
      <c r="D281" s="4625"/>
      <c r="E281" s="4625"/>
      <c r="F281" s="4625"/>
      <c r="G281" s="4625"/>
      <c r="H281" s="4625"/>
      <c r="I281" s="4625"/>
      <c r="J281" s="4625"/>
      <c r="K281" s="4625"/>
      <c r="L281" s="4625"/>
      <c r="M281" s="4625"/>
      <c r="N281" s="4626"/>
      <c r="O281" s="1719"/>
      <c r="P281" s="1719"/>
      <c r="Q281" s="1719"/>
    </row>
    <row r="282" spans="1:17">
      <c r="A282" s="4605"/>
      <c r="B282" s="1790" t="s">
        <v>777</v>
      </c>
      <c r="C282" s="4627" t="str">
        <f ca="1">CELL("nomfichier")</f>
        <v>E:\0-UPRT\1-UPRT.FR-SITE-WEB\ff-fiches-fabrications\ff-fiches-fabrication-maj-08-2020\[ff-2-A-collectivite.poids.portion.xlsx]Nota</v>
      </c>
      <c r="D282" s="4627"/>
      <c r="E282" s="4627"/>
      <c r="F282" s="4627"/>
      <c r="G282" s="4627"/>
      <c r="H282" s="4627"/>
      <c r="I282" s="4627"/>
      <c r="J282" s="4627"/>
      <c r="K282" s="4627"/>
      <c r="L282" s="4627"/>
      <c r="M282" s="4627"/>
      <c r="N282" s="4628"/>
      <c r="O282" s="1719"/>
      <c r="P282" s="1719"/>
      <c r="Q282" s="1719"/>
    </row>
    <row r="283" spans="1:17">
      <c r="A283" s="4605"/>
      <c r="B283" s="1789" t="s">
        <v>901</v>
      </c>
      <c r="C283" s="4630" t="s">
        <v>900</v>
      </c>
      <c r="D283" s="4630"/>
      <c r="E283" s="4630"/>
      <c r="F283" s="4630"/>
      <c r="G283" s="4630"/>
      <c r="H283" s="4630"/>
      <c r="I283" s="4630"/>
      <c r="J283" s="4630"/>
      <c r="K283" s="4630"/>
      <c r="L283" s="4630"/>
      <c r="M283" s="4630"/>
      <c r="N283" s="4631"/>
      <c r="O283" s="1719"/>
      <c r="P283" s="1719"/>
      <c r="Q283" s="1719"/>
    </row>
    <row r="284" spans="1:17" ht="15.75" thickBot="1">
      <c r="A284" s="4605"/>
      <c r="B284" s="4632" t="s">
        <v>826</v>
      </c>
      <c r="C284" s="4633"/>
      <c r="D284" s="4633"/>
      <c r="E284" s="4633"/>
      <c r="F284" s="4633"/>
      <c r="G284" s="4633"/>
      <c r="H284" s="4633"/>
      <c r="I284" s="4633"/>
      <c r="J284" s="4633"/>
      <c r="K284" s="4633"/>
      <c r="L284" s="4633"/>
      <c r="M284" s="4633"/>
      <c r="N284" s="4634"/>
      <c r="O284" s="1719"/>
      <c r="P284" s="1719"/>
      <c r="Q284" s="1719"/>
    </row>
    <row r="285" spans="1:17">
      <c r="A285" s="1719"/>
      <c r="B285" s="1106"/>
      <c r="C285" s="1106"/>
      <c r="D285" s="1106"/>
      <c r="E285" s="1106"/>
      <c r="F285" s="1106"/>
      <c r="G285" s="1106"/>
      <c r="H285" s="1106"/>
      <c r="I285" s="1106"/>
      <c r="J285" s="1106"/>
      <c r="K285" s="1106"/>
      <c r="L285" s="1106"/>
      <c r="M285" s="1719"/>
      <c r="N285" s="1719"/>
      <c r="O285" s="1719"/>
      <c r="P285" s="1719"/>
      <c r="Q285" s="1719"/>
    </row>
    <row r="286" spans="1:17" ht="16.5" thickBot="1">
      <c r="A286" s="1719"/>
      <c r="B286" s="1788"/>
      <c r="C286" s="1787"/>
      <c r="D286" s="1787"/>
      <c r="E286" s="1787"/>
      <c r="F286" s="1787"/>
      <c r="G286" s="1787"/>
      <c r="H286" s="1106"/>
      <c r="I286" s="1106"/>
      <c r="J286" s="1106"/>
      <c r="K286" s="1106"/>
      <c r="L286" s="1106"/>
      <c r="M286" s="1719"/>
      <c r="N286" s="1719"/>
      <c r="O286" s="1719"/>
      <c r="P286" s="1719"/>
      <c r="Q286" s="1719"/>
    </row>
    <row r="287" spans="1:17" ht="15.75">
      <c r="B287" s="1786"/>
      <c r="C287" s="1756"/>
      <c r="D287" s="1756"/>
      <c r="E287" s="1756"/>
      <c r="F287" s="1756"/>
      <c r="G287" s="1756"/>
      <c r="H287" s="1756"/>
      <c r="I287" s="1756"/>
      <c r="J287" s="1755" t="s">
        <v>899</v>
      </c>
      <c r="K287" s="1106"/>
      <c r="L287" s="1106"/>
      <c r="M287" s="1719"/>
      <c r="N287" s="1719"/>
      <c r="O287" s="1719"/>
      <c r="P287" s="1719"/>
      <c r="Q287" s="1719"/>
    </row>
    <row r="288" spans="1:17">
      <c r="B288" s="1777"/>
      <c r="C288" s="1785" t="s">
        <v>896</v>
      </c>
      <c r="D288" s="1775">
        <v>0.44</v>
      </c>
      <c r="E288" s="1106"/>
      <c r="F288" s="1776" t="s">
        <v>896</v>
      </c>
      <c r="G288" s="1775">
        <v>100</v>
      </c>
      <c r="H288" s="1106"/>
      <c r="I288" s="1773" t="s">
        <v>898</v>
      </c>
      <c r="J288" s="1769">
        <v>115</v>
      </c>
      <c r="K288" s="1106"/>
      <c r="L288" s="1106"/>
      <c r="M288" s="1719"/>
      <c r="N288" s="1719"/>
      <c r="O288" s="1719"/>
      <c r="P288" s="1719"/>
      <c r="Q288" s="1719"/>
    </row>
    <row r="289" spans="2:17" ht="45">
      <c r="B289" s="1784"/>
      <c r="C289" s="1770" t="s">
        <v>895</v>
      </c>
      <c r="D289" s="1783">
        <v>60</v>
      </c>
      <c r="E289" s="1106"/>
      <c r="F289" s="1770" t="s">
        <v>897</v>
      </c>
      <c r="G289" s="1772">
        <v>10</v>
      </c>
      <c r="H289" s="1106"/>
      <c r="I289" s="1776" t="s">
        <v>896</v>
      </c>
      <c r="J289" s="1782">
        <v>133</v>
      </c>
      <c r="K289" s="1106"/>
      <c r="L289" s="1106"/>
      <c r="M289" s="1719"/>
      <c r="N289" s="1719"/>
      <c r="O289" s="1719"/>
      <c r="P289" s="1719"/>
      <c r="Q289" s="1719"/>
    </row>
    <row r="290" spans="2:17" ht="20.100000000000001" customHeight="1">
      <c r="B290" s="1768"/>
      <c r="C290" s="1767" t="s">
        <v>897</v>
      </c>
      <c r="D290" s="1766">
        <f>D288*D289%</f>
        <v>0.26400000000000001</v>
      </c>
      <c r="E290" s="1106"/>
      <c r="F290" s="1765" t="s">
        <v>898</v>
      </c>
      <c r="G290" s="1766">
        <f>IF(G288=0,0,G288+G289)</f>
        <v>110</v>
      </c>
      <c r="H290" s="1106"/>
      <c r="I290" s="1767" t="s">
        <v>897</v>
      </c>
      <c r="J290" s="1764">
        <f>IF(J288=0,0,IF(J289=0,0,J288-J289))</f>
        <v>-18</v>
      </c>
      <c r="K290" s="1106"/>
      <c r="L290" s="1106"/>
      <c r="M290" s="1719"/>
      <c r="N290" s="1719"/>
      <c r="O290" s="1719"/>
      <c r="P290" s="1719"/>
      <c r="Q290" s="1719"/>
    </row>
    <row r="291" spans="2:17" ht="20.100000000000001" customHeight="1">
      <c r="B291" s="1781"/>
      <c r="C291" s="1765" t="s">
        <v>898</v>
      </c>
      <c r="D291" s="1766">
        <f>((D288*D289)/100)+D288</f>
        <v>0.70399999999999996</v>
      </c>
      <c r="E291" s="1106"/>
      <c r="F291" s="1779" t="s">
        <v>895</v>
      </c>
      <c r="G291" s="1780">
        <f>IF(G288=0,0,IF(ISBLANK(G288),0,(G289/G288)*100))</f>
        <v>10</v>
      </c>
      <c r="H291" s="1106"/>
      <c r="I291" s="1779" t="s">
        <v>895</v>
      </c>
      <c r="J291" s="1778">
        <f>IF(J289=0,0,IF(ISBLANK(J289),0,(J290/J289)*100))</f>
        <v>-13.533834586466165</v>
      </c>
      <c r="K291" s="1106"/>
      <c r="L291" s="1106"/>
      <c r="M291" s="1719"/>
      <c r="N291" s="1719"/>
      <c r="O291" s="1719"/>
      <c r="P291" s="1719"/>
      <c r="Q291" s="1719"/>
    </row>
    <row r="292" spans="2:17">
      <c r="B292" s="1751"/>
      <c r="C292" s="1750"/>
      <c r="D292" s="1749"/>
      <c r="E292" s="1747"/>
      <c r="F292" s="1746"/>
      <c r="G292" s="1748"/>
      <c r="H292" s="1747"/>
      <c r="I292" s="1746"/>
      <c r="J292" s="1745"/>
      <c r="K292" s="1106"/>
      <c r="L292" s="1106"/>
      <c r="M292" s="1719"/>
      <c r="N292" s="1719"/>
      <c r="O292" s="1719"/>
      <c r="P292" s="1719"/>
      <c r="Q292" s="1719"/>
    </row>
    <row r="293" spans="2:17">
      <c r="B293" s="1777"/>
      <c r="C293" s="1776" t="s">
        <v>896</v>
      </c>
      <c r="D293" s="1775">
        <v>5.8970000000000002</v>
      </c>
      <c r="E293" s="1106"/>
      <c r="F293" s="1773" t="s">
        <v>898</v>
      </c>
      <c r="G293" s="1772">
        <v>9.64</v>
      </c>
      <c r="H293" s="1106"/>
      <c r="I293" s="1773" t="s">
        <v>898</v>
      </c>
      <c r="J293" s="1769">
        <v>100</v>
      </c>
      <c r="K293" s="1106"/>
      <c r="L293" s="1106"/>
      <c r="M293" s="1719"/>
      <c r="N293" s="1719"/>
      <c r="O293" s="1719"/>
      <c r="P293" s="1719"/>
      <c r="Q293" s="1719"/>
    </row>
    <row r="294" spans="2:17" ht="45">
      <c r="B294" s="1774"/>
      <c r="C294" s="1773" t="s">
        <v>898</v>
      </c>
      <c r="D294" s="1772">
        <v>9.64</v>
      </c>
      <c r="E294" s="1106"/>
      <c r="F294" s="1770" t="s">
        <v>895</v>
      </c>
      <c r="G294" s="1771">
        <v>63.5</v>
      </c>
      <c r="H294" s="1106"/>
      <c r="I294" s="1770" t="s">
        <v>897</v>
      </c>
      <c r="J294" s="1769">
        <v>50</v>
      </c>
      <c r="K294" s="1106"/>
      <c r="L294" s="1106"/>
      <c r="M294" s="1719"/>
      <c r="N294" s="1719"/>
      <c r="O294" s="1719"/>
      <c r="P294" s="1719"/>
      <c r="Q294" s="1719"/>
    </row>
    <row r="295" spans="2:17" ht="20.100000000000001" customHeight="1">
      <c r="B295" s="1768"/>
      <c r="C295" s="1767" t="s">
        <v>897</v>
      </c>
      <c r="D295" s="1766">
        <f>IF(D293=0,0,IF(D294=0,0,D294-D293))</f>
        <v>3.7430000000000003</v>
      </c>
      <c r="E295" s="1106"/>
      <c r="F295" s="1767" t="s">
        <v>897</v>
      </c>
      <c r="G295" s="1766">
        <f>G293-G296</f>
        <v>3.7439755351681958</v>
      </c>
      <c r="H295" s="1106"/>
      <c r="I295" s="1765" t="s">
        <v>896</v>
      </c>
      <c r="J295" s="1764">
        <f>IF(J293=0,0,IF(ISBLANK(J293),0,J293-J294))</f>
        <v>50</v>
      </c>
      <c r="K295" s="1106"/>
      <c r="L295" s="1106"/>
      <c r="M295" s="1719"/>
      <c r="N295" s="1719"/>
      <c r="O295" s="1719"/>
      <c r="P295" s="1719"/>
      <c r="Q295" s="1719"/>
    </row>
    <row r="296" spans="2:17" ht="20.100000000000001" customHeight="1">
      <c r="B296" s="1763"/>
      <c r="C296" s="1759" t="s">
        <v>895</v>
      </c>
      <c r="D296" s="1762">
        <f>IF(D293=0,0,IF(ISBLANK(D293),0,(D295/D293)*100))</f>
        <v>63.472952348651859</v>
      </c>
      <c r="E296" s="1106"/>
      <c r="F296" s="1761" t="s">
        <v>896</v>
      </c>
      <c r="G296" s="1760">
        <f>(G293/(100+G294)*100)</f>
        <v>5.8960244648318048</v>
      </c>
      <c r="H296" s="1106"/>
      <c r="I296" s="1759" t="s">
        <v>895</v>
      </c>
      <c r="J296" s="1758">
        <f>IF(J295=0,0,IF(ISBLANK(J294),0,(J294/J295)*100))</f>
        <v>100</v>
      </c>
      <c r="K296" s="1106"/>
      <c r="L296" s="1106"/>
      <c r="M296" s="1719"/>
      <c r="N296" s="1719"/>
      <c r="O296" s="1719"/>
      <c r="P296" s="1719"/>
      <c r="Q296" s="1719"/>
    </row>
    <row r="297" spans="2:17">
      <c r="B297" s="4635" t="s">
        <v>887</v>
      </c>
      <c r="C297" s="4636"/>
      <c r="D297" s="4636"/>
      <c r="E297" s="4636"/>
      <c r="F297" s="4636"/>
      <c r="G297" s="4636"/>
      <c r="H297" s="4636"/>
      <c r="I297" s="4636"/>
      <c r="J297" s="4636"/>
      <c r="K297" s="1106"/>
      <c r="L297" s="1106"/>
      <c r="M297" s="1719"/>
      <c r="N297" s="1719"/>
      <c r="O297" s="1719"/>
      <c r="P297" s="1719"/>
      <c r="Q297" s="1719"/>
    </row>
    <row r="298" spans="2:17" ht="15.75" thickBot="1">
      <c r="K298" s="1106"/>
      <c r="L298" s="1106"/>
      <c r="M298" s="1719"/>
      <c r="N298" s="1719"/>
      <c r="O298" s="1719"/>
      <c r="P298" s="1719"/>
      <c r="Q298" s="1719"/>
    </row>
    <row r="299" spans="2:17" ht="18">
      <c r="B299" s="1757" t="s">
        <v>894</v>
      </c>
      <c r="C299" s="1756"/>
      <c r="D299" s="1756"/>
      <c r="E299" s="1756"/>
      <c r="F299" s="1756"/>
      <c r="G299" s="1756"/>
      <c r="H299" s="1756"/>
      <c r="I299" s="1756"/>
      <c r="J299" s="1755" t="s">
        <v>893</v>
      </c>
      <c r="K299" s="1106"/>
      <c r="L299" s="1106"/>
      <c r="M299" s="1719"/>
      <c r="N299" s="1719"/>
      <c r="O299" s="1719"/>
      <c r="P299" s="1719"/>
      <c r="Q299" s="1719"/>
    </row>
    <row r="300" spans="2:17" ht="20.100000000000001" customHeight="1">
      <c r="B300" s="1754"/>
      <c r="C300" s="1753" t="s">
        <v>461</v>
      </c>
      <c r="D300" s="1743">
        <v>1</v>
      </c>
      <c r="E300" s="1753"/>
      <c r="F300" s="1753" t="s">
        <v>461</v>
      </c>
      <c r="G300" s="1743">
        <v>10</v>
      </c>
      <c r="H300" s="1753"/>
      <c r="I300" s="1753" t="s">
        <v>460</v>
      </c>
      <c r="J300" s="1752">
        <v>10</v>
      </c>
      <c r="K300" s="1106"/>
      <c r="L300" s="1106"/>
      <c r="M300" s="1719"/>
      <c r="N300" s="1719"/>
      <c r="O300" s="1719"/>
      <c r="P300" s="1719"/>
      <c r="Q300" s="1719"/>
    </row>
    <row r="301" spans="2:17" ht="20.100000000000001" customHeight="1">
      <c r="B301" s="1740"/>
      <c r="C301" s="1737" t="s">
        <v>888</v>
      </c>
      <c r="D301" s="1738">
        <v>50</v>
      </c>
      <c r="E301" s="1737"/>
      <c r="F301" s="1737" t="s">
        <v>891</v>
      </c>
      <c r="G301" s="1739">
        <v>2</v>
      </c>
      <c r="H301" s="1737"/>
      <c r="I301" s="1737" t="s">
        <v>461</v>
      </c>
      <c r="J301" s="1736">
        <v>3.2</v>
      </c>
      <c r="K301" s="1106"/>
      <c r="L301" s="1106"/>
      <c r="M301" s="1719"/>
      <c r="N301" s="1719"/>
      <c r="O301" s="1719"/>
      <c r="P301" s="1719"/>
      <c r="Q301" s="1719"/>
    </row>
    <row r="302" spans="2:17" ht="20.100000000000001" customHeight="1">
      <c r="B302" s="1735"/>
      <c r="C302" s="1732" t="s">
        <v>890</v>
      </c>
      <c r="D302" s="1734">
        <f>D303*D301%</f>
        <v>1</v>
      </c>
      <c r="E302" s="1732"/>
      <c r="F302" s="1732" t="s">
        <v>892</v>
      </c>
      <c r="G302" s="1734">
        <f>IF(G300=0,0,G300+G301)</f>
        <v>12</v>
      </c>
      <c r="H302" s="1732"/>
      <c r="I302" s="1732" t="s">
        <v>890</v>
      </c>
      <c r="J302" s="1731">
        <f>IF(J300=0,0,IF(J301=0,0,J300-J301))</f>
        <v>6.8</v>
      </c>
      <c r="K302" s="1106"/>
      <c r="L302" s="1106"/>
      <c r="M302" s="1719"/>
      <c r="N302" s="1719"/>
      <c r="O302" s="1719"/>
      <c r="P302" s="1719"/>
      <c r="Q302" s="1719"/>
    </row>
    <row r="303" spans="2:17" ht="20.100000000000001" customHeight="1">
      <c r="B303" s="1730"/>
      <c r="C303" s="1727" t="s">
        <v>460</v>
      </c>
      <c r="D303" s="1728">
        <f>D300/(100-D301)*100</f>
        <v>2</v>
      </c>
      <c r="E303" s="1727"/>
      <c r="F303" s="1727" t="s">
        <v>888</v>
      </c>
      <c r="G303" s="1729">
        <f>IF(G300=0,0,G301/G302)</f>
        <v>0.16666666666666666</v>
      </c>
      <c r="H303" s="1727"/>
      <c r="I303" s="1727" t="s">
        <v>888</v>
      </c>
      <c r="J303" s="1726">
        <f>IF(J300=0,0,J302/J300)</f>
        <v>0.67999999999999994</v>
      </c>
      <c r="K303" s="1106"/>
      <c r="L303" s="1106"/>
      <c r="M303" s="1719"/>
      <c r="N303" s="1719"/>
      <c r="O303" s="1719"/>
      <c r="P303" s="1719"/>
      <c r="Q303" s="1719"/>
    </row>
    <row r="304" spans="2:17" ht="20.100000000000001" customHeight="1">
      <c r="B304" s="1751"/>
      <c r="C304" s="1750"/>
      <c r="D304" s="1749"/>
      <c r="E304" s="1747"/>
      <c r="F304" s="1746"/>
      <c r="G304" s="1748"/>
      <c r="H304" s="1747"/>
      <c r="I304" s="1746"/>
      <c r="J304" s="1745"/>
      <c r="K304" s="1106"/>
      <c r="L304" s="1106"/>
      <c r="M304" s="1719"/>
      <c r="N304" s="1719"/>
      <c r="O304" s="1719"/>
      <c r="P304" s="1719"/>
      <c r="Q304" s="1719"/>
    </row>
    <row r="305" spans="1:17" ht="20.100000000000001" customHeight="1">
      <c r="B305" s="1744"/>
      <c r="C305" s="1742" t="s">
        <v>461</v>
      </c>
      <c r="D305" s="1743">
        <v>100</v>
      </c>
      <c r="E305" s="1742"/>
      <c r="F305" s="1742" t="s">
        <v>460</v>
      </c>
      <c r="G305" s="1743">
        <v>183</v>
      </c>
      <c r="H305" s="1742"/>
      <c r="I305" s="1742" t="s">
        <v>460</v>
      </c>
      <c r="J305" s="1741">
        <v>100</v>
      </c>
      <c r="K305" s="1106"/>
      <c r="L305" s="1106"/>
      <c r="M305" s="1719"/>
      <c r="N305" s="1719"/>
      <c r="O305" s="1719"/>
      <c r="P305" s="1719"/>
      <c r="Q305" s="1719"/>
    </row>
    <row r="306" spans="1:17" ht="20.100000000000001" customHeight="1">
      <c r="B306" s="1740"/>
      <c r="C306" s="1737" t="s">
        <v>460</v>
      </c>
      <c r="D306" s="1739">
        <v>150</v>
      </c>
      <c r="E306" s="1737"/>
      <c r="F306" s="1737" t="s">
        <v>888</v>
      </c>
      <c r="G306" s="1738">
        <v>40</v>
      </c>
      <c r="H306" s="1737"/>
      <c r="I306" s="1737" t="s">
        <v>891</v>
      </c>
      <c r="J306" s="1736">
        <v>15</v>
      </c>
      <c r="K306" s="1106"/>
      <c r="L306" s="1106"/>
      <c r="M306" s="1719"/>
      <c r="N306" s="1719"/>
      <c r="O306" s="1719"/>
      <c r="P306" s="1719"/>
      <c r="Q306" s="1719"/>
    </row>
    <row r="307" spans="1:17" ht="20.100000000000001" customHeight="1">
      <c r="B307" s="1735"/>
      <c r="C307" s="1732" t="s">
        <v>890</v>
      </c>
      <c r="D307" s="1734">
        <f>IF(D305=0,0,IF(D306=0,0,D306-D305))</f>
        <v>50</v>
      </c>
      <c r="E307" s="1732"/>
      <c r="F307" s="1732" t="s">
        <v>890</v>
      </c>
      <c r="G307" s="1733">
        <f>G305*G306%</f>
        <v>73.2</v>
      </c>
      <c r="H307" s="1732"/>
      <c r="I307" s="1732" t="s">
        <v>889</v>
      </c>
      <c r="J307" s="1731">
        <f>IF(J305=0,0,IF(J306=0,0,J305-J306))</f>
        <v>85</v>
      </c>
      <c r="K307" s="1106"/>
      <c r="L307" s="1106"/>
      <c r="M307" s="1719"/>
      <c r="N307" s="1719"/>
      <c r="O307" s="1719"/>
      <c r="P307" s="1719"/>
      <c r="Q307" s="1719"/>
    </row>
    <row r="308" spans="1:17" ht="20.100000000000001" customHeight="1">
      <c r="B308" s="1730"/>
      <c r="C308" s="1727" t="s">
        <v>888</v>
      </c>
      <c r="D308" s="1729">
        <f>IF(D305=0,0,IF(D306=0,0,D307/D306))</f>
        <v>0.33333333333333331</v>
      </c>
      <c r="E308" s="1727"/>
      <c r="F308" s="1727" t="s">
        <v>461</v>
      </c>
      <c r="G308" s="1728">
        <f>G305-G307</f>
        <v>109.8</v>
      </c>
      <c r="H308" s="1727"/>
      <c r="I308" s="1727" t="s">
        <v>888</v>
      </c>
      <c r="J308" s="1726">
        <f>IF(J305=0,0,IF(J306=0,0,J306/J305))</f>
        <v>0.15</v>
      </c>
      <c r="K308" s="1106"/>
      <c r="L308" s="1106"/>
      <c r="M308" s="1719"/>
      <c r="N308" s="1719"/>
      <c r="O308" s="1719"/>
      <c r="P308" s="1719"/>
      <c r="Q308" s="1719"/>
    </row>
    <row r="309" spans="1:17">
      <c r="B309" s="4637" t="s">
        <v>887</v>
      </c>
      <c r="C309" s="4638"/>
      <c r="D309" s="4638"/>
      <c r="E309" s="4638"/>
      <c r="F309" s="4638"/>
      <c r="G309" s="4638"/>
      <c r="H309" s="4638"/>
      <c r="I309" s="4638"/>
      <c r="J309" s="4638"/>
      <c r="K309" s="1106"/>
      <c r="L309" s="1106"/>
      <c r="M309" s="1719"/>
      <c r="N309" s="1719"/>
      <c r="O309" s="1719"/>
      <c r="P309" s="1719"/>
      <c r="Q309" s="1719"/>
    </row>
    <row r="310" spans="1:17" ht="15.75" thickBot="1">
      <c r="A310" s="1719"/>
      <c r="B310" s="1106"/>
      <c r="C310" s="1106"/>
      <c r="D310" s="1106"/>
      <c r="E310" s="1106"/>
      <c r="F310" s="1106"/>
      <c r="G310" s="1106"/>
      <c r="H310" s="1106"/>
      <c r="I310" s="1106"/>
      <c r="J310" s="1106"/>
      <c r="K310" s="1106"/>
      <c r="L310" s="1106"/>
      <c r="M310" s="1719"/>
      <c r="N310" s="1719"/>
      <c r="O310" s="1719"/>
      <c r="P310" s="1719"/>
      <c r="Q310" s="1719"/>
    </row>
    <row r="311" spans="1:17">
      <c r="A311" s="4646" t="s">
        <v>886</v>
      </c>
      <c r="B311" s="4647"/>
      <c r="C311" s="4647"/>
      <c r="D311" s="4647"/>
      <c r="E311" s="4647"/>
      <c r="F311" s="4647"/>
      <c r="G311" s="4647"/>
      <c r="H311" s="4647"/>
      <c r="I311" s="4647"/>
      <c r="J311" s="4647"/>
      <c r="K311" s="4647"/>
      <c r="L311" s="4647"/>
      <c r="M311" s="4647"/>
      <c r="N311" s="4647"/>
      <c r="O311" s="1719"/>
      <c r="P311" s="1719"/>
      <c r="Q311" s="1719"/>
    </row>
    <row r="312" spans="1:17" ht="15.75" thickBot="1">
      <c r="A312" s="4648"/>
      <c r="B312" s="4649"/>
      <c r="C312" s="4649"/>
      <c r="D312" s="4649"/>
      <c r="E312" s="4649"/>
      <c r="F312" s="4649"/>
      <c r="G312" s="4649"/>
      <c r="H312" s="4649"/>
      <c r="I312" s="4649"/>
      <c r="J312" s="4649"/>
      <c r="K312" s="4649"/>
      <c r="L312" s="4649"/>
      <c r="M312" s="4649"/>
      <c r="N312" s="4649"/>
      <c r="O312" s="1719"/>
      <c r="P312" s="1719"/>
      <c r="Q312" s="1719"/>
    </row>
    <row r="313" spans="1:17">
      <c r="A313" s="1720"/>
      <c r="B313" s="1720"/>
      <c r="C313" s="1720"/>
      <c r="D313" s="1720"/>
      <c r="E313" s="1720"/>
      <c r="F313" s="1720"/>
      <c r="G313" s="1720"/>
      <c r="H313" s="1720"/>
      <c r="I313" s="1720"/>
      <c r="J313" s="1720"/>
      <c r="K313" s="1720"/>
      <c r="L313" s="1720"/>
      <c r="M313" s="1720"/>
      <c r="N313" s="1720"/>
      <c r="O313" s="1719"/>
      <c r="P313" s="1719"/>
      <c r="Q313" s="1719"/>
    </row>
    <row r="314" spans="1:17" ht="15.75">
      <c r="A314" s="1720"/>
      <c r="B314" s="1720"/>
      <c r="C314" s="1720"/>
      <c r="D314" s="1720"/>
      <c r="E314" s="1725" t="s">
        <v>885</v>
      </c>
      <c r="F314" s="1725"/>
      <c r="G314" s="1725"/>
      <c r="H314" s="1720"/>
      <c r="I314" s="1720"/>
      <c r="J314" s="1720"/>
      <c r="K314" s="1720"/>
      <c r="L314" s="1720"/>
      <c r="M314" s="1720"/>
      <c r="N314" s="1720"/>
      <c r="O314" s="1719"/>
      <c r="P314" s="1719"/>
      <c r="Q314" s="1719"/>
    </row>
    <row r="315" spans="1:17" ht="15.75">
      <c r="A315" s="1720"/>
      <c r="B315" s="1720"/>
      <c r="C315" s="1720"/>
      <c r="D315" s="1720"/>
      <c r="E315" s="1725"/>
      <c r="F315" s="1725" t="s">
        <v>884</v>
      </c>
      <c r="G315" s="1725"/>
      <c r="H315" s="1720"/>
      <c r="I315" s="1720"/>
      <c r="J315" s="1720"/>
      <c r="K315" s="1720"/>
      <c r="L315" s="1720"/>
      <c r="M315" s="1720"/>
      <c r="N315" s="1720"/>
      <c r="O315" s="1719"/>
      <c r="P315" s="1719"/>
      <c r="Q315" s="1719"/>
    </row>
    <row r="316" spans="1:17" ht="15.75">
      <c r="A316" s="1720"/>
      <c r="B316" s="1720"/>
      <c r="C316" s="1720"/>
      <c r="D316" s="1720"/>
      <c r="E316" s="1725"/>
      <c r="F316" s="1725" t="s">
        <v>883</v>
      </c>
      <c r="G316" s="1725"/>
      <c r="H316" s="1720"/>
      <c r="I316" s="1720"/>
      <c r="J316" s="1720"/>
      <c r="K316" s="1720"/>
      <c r="L316" s="1720"/>
      <c r="M316" s="1720"/>
      <c r="N316" s="1720"/>
      <c r="O316" s="1719"/>
      <c r="P316" s="1719"/>
      <c r="Q316" s="1719"/>
    </row>
    <row r="317" spans="1:17" ht="15.75">
      <c r="A317" s="1720"/>
      <c r="B317" s="1720"/>
      <c r="C317" s="1720"/>
      <c r="D317" s="1720"/>
      <c r="E317" s="1725"/>
      <c r="F317" s="1725" t="s">
        <v>882</v>
      </c>
      <c r="G317" s="1725"/>
      <c r="H317" s="1720"/>
      <c r="I317" s="1720"/>
      <c r="J317" s="1720"/>
      <c r="K317" s="1720"/>
      <c r="L317" s="1720"/>
      <c r="M317" s="1720"/>
      <c r="N317" s="1720"/>
      <c r="O317" s="1719"/>
      <c r="P317" s="1719"/>
      <c r="Q317" s="1719"/>
    </row>
    <row r="318" spans="1:17" ht="15.75">
      <c r="A318" s="1720"/>
      <c r="B318" s="1720"/>
      <c r="C318" s="1720"/>
      <c r="D318" s="1720"/>
      <c r="E318" s="1720"/>
      <c r="F318" s="1725" t="s">
        <v>881</v>
      </c>
      <c r="G318" s="1720"/>
      <c r="H318" s="1720"/>
      <c r="I318" s="1720"/>
      <c r="J318" s="1720"/>
      <c r="K318" s="1720"/>
      <c r="L318" s="1720"/>
      <c r="M318" s="1720"/>
      <c r="N318" s="1720"/>
      <c r="O318" s="1719"/>
      <c r="P318" s="1719"/>
      <c r="Q318" s="1719"/>
    </row>
    <row r="319" spans="1:17" ht="15.75">
      <c r="A319" s="1720"/>
      <c r="B319" s="1720"/>
      <c r="C319" s="1720"/>
      <c r="D319" s="1720"/>
      <c r="E319" s="1725" t="s">
        <v>880</v>
      </c>
      <c r="F319" s="1720"/>
      <c r="G319" s="1720"/>
      <c r="H319" s="1720"/>
      <c r="I319" s="1720"/>
      <c r="J319" s="1720"/>
      <c r="K319" s="1720"/>
      <c r="L319" s="1720"/>
      <c r="M319" s="1720"/>
      <c r="N319" s="1720"/>
      <c r="O319" s="1719"/>
      <c r="P319" s="1719"/>
      <c r="Q319" s="1719"/>
    </row>
    <row r="320" spans="1:17" ht="100.5" customHeight="1">
      <c r="A320" s="1720"/>
      <c r="B320" s="1720"/>
      <c r="C320" s="1720"/>
      <c r="D320" s="1720"/>
      <c r="E320" s="1720"/>
      <c r="F320" s="1720"/>
      <c r="G320" s="1720"/>
      <c r="H320" s="1720"/>
      <c r="I320" s="1720"/>
      <c r="J320" s="1720"/>
      <c r="K320" s="1720"/>
      <c r="L320" s="1720"/>
      <c r="M320" s="1720"/>
      <c r="N320" s="1720"/>
      <c r="O320" s="1719"/>
      <c r="P320" s="1719"/>
      <c r="Q320" s="1719"/>
    </row>
    <row r="321" spans="1:17" ht="21">
      <c r="A321" s="1720"/>
      <c r="B321" s="1720"/>
      <c r="C321" s="1721" t="s">
        <v>879</v>
      </c>
      <c r="D321" s="1721"/>
      <c r="E321" s="1721"/>
      <c r="F321" s="1721"/>
      <c r="G321" s="1721"/>
      <c r="H321" s="1721"/>
      <c r="I321" s="1721" t="s">
        <v>878</v>
      </c>
      <c r="J321" s="1720"/>
      <c r="K321" s="1720"/>
      <c r="L321" s="1720"/>
      <c r="M321" s="1720"/>
      <c r="N321" s="1720"/>
      <c r="O321" s="1719"/>
      <c r="P321" s="1719"/>
      <c r="Q321" s="1719"/>
    </row>
    <row r="322" spans="1:17">
      <c r="A322" s="1720"/>
      <c r="B322" s="1720"/>
      <c r="C322" s="1720"/>
      <c r="D322" s="1720"/>
      <c r="E322" s="1720"/>
      <c r="F322" s="1720"/>
      <c r="G322" s="1720"/>
      <c r="H322" s="1720"/>
      <c r="I322" s="1720"/>
      <c r="J322" s="1720"/>
      <c r="K322" s="1720"/>
      <c r="L322" s="1720"/>
      <c r="M322" s="1720"/>
      <c r="N322" s="1720"/>
      <c r="O322" s="1719"/>
      <c r="P322" s="1719"/>
      <c r="Q322" s="1719"/>
    </row>
    <row r="323" spans="1:17" ht="21">
      <c r="A323" s="1720"/>
      <c r="B323" s="1720"/>
      <c r="C323" s="1720"/>
      <c r="D323" s="1721" t="s">
        <v>877</v>
      </c>
      <c r="E323" s="1720"/>
      <c r="F323" s="1720"/>
      <c r="G323" s="1720"/>
      <c r="H323" s="1720"/>
      <c r="I323" s="1721"/>
      <c r="J323" s="1720"/>
      <c r="K323" s="1720"/>
      <c r="L323" s="1720"/>
      <c r="M323" s="1720"/>
      <c r="N323" s="1720"/>
      <c r="O323" s="1719"/>
      <c r="P323" s="1719"/>
      <c r="Q323" s="1719"/>
    </row>
    <row r="324" spans="1:17" ht="21">
      <c r="A324" s="1720"/>
      <c r="B324" s="1720"/>
      <c r="C324" s="1720"/>
      <c r="D324" s="1721" t="s">
        <v>2</v>
      </c>
      <c r="E324" s="1720"/>
      <c r="F324" s="1720"/>
      <c r="G324" s="1720"/>
      <c r="H324" s="1724" t="s">
        <v>39</v>
      </c>
      <c r="I324" s="1721"/>
      <c r="J324" s="1720"/>
      <c r="K324" s="1720"/>
      <c r="L324" s="1720"/>
      <c r="M324" s="1720"/>
      <c r="N324" s="1720"/>
      <c r="O324" s="1719"/>
      <c r="P324" s="1719"/>
      <c r="Q324" s="1719"/>
    </row>
    <row r="325" spans="1:17" ht="21">
      <c r="A325" s="1720"/>
      <c r="B325" s="1720"/>
      <c r="C325" s="1720"/>
      <c r="D325" s="1721" t="s">
        <v>27</v>
      </c>
      <c r="E325" s="1720"/>
      <c r="F325" s="1720"/>
      <c r="G325" s="1720"/>
      <c r="H325" s="1723"/>
      <c r="I325" s="1723" t="s">
        <v>876</v>
      </c>
      <c r="J325" s="1720"/>
      <c r="K325" s="1720"/>
      <c r="L325" s="1720"/>
      <c r="M325" s="1720"/>
      <c r="N325" s="1720"/>
      <c r="O325" s="1719"/>
      <c r="P325" s="1719"/>
      <c r="Q325" s="1719"/>
    </row>
    <row r="326" spans="1:17" ht="21">
      <c r="A326" s="1720"/>
      <c r="B326" s="1720"/>
      <c r="C326" s="1720"/>
      <c r="D326" s="1721" t="s">
        <v>39</v>
      </c>
      <c r="E326" s="1720"/>
      <c r="F326" s="1720"/>
      <c r="G326" s="1720"/>
      <c r="H326" s="1723"/>
      <c r="I326" s="1723" t="s">
        <v>875</v>
      </c>
      <c r="J326" s="1720"/>
      <c r="K326" s="1720"/>
      <c r="L326" s="1720"/>
      <c r="M326" s="1720"/>
      <c r="N326" s="1720"/>
      <c r="O326" s="1719"/>
      <c r="P326" s="1719"/>
      <c r="Q326" s="1719"/>
    </row>
    <row r="327" spans="1:17" ht="21">
      <c r="A327" s="1720"/>
      <c r="B327" s="1720"/>
      <c r="C327" s="1720"/>
      <c r="D327" s="1721" t="s">
        <v>52</v>
      </c>
      <c r="E327" s="1720"/>
      <c r="F327" s="1720"/>
      <c r="G327" s="1720"/>
      <c r="H327" s="1724" t="s">
        <v>874</v>
      </c>
      <c r="I327" s="1720"/>
      <c r="J327" s="1720"/>
      <c r="K327" s="1720"/>
      <c r="L327" s="1720"/>
      <c r="M327" s="1720"/>
      <c r="N327" s="1720"/>
      <c r="O327" s="1719"/>
      <c r="P327" s="1719"/>
      <c r="Q327" s="1719"/>
    </row>
    <row r="328" spans="1:17" ht="21">
      <c r="A328" s="1720"/>
      <c r="B328" s="1720"/>
      <c r="C328" s="1720"/>
      <c r="D328" s="1721" t="s">
        <v>859</v>
      </c>
      <c r="E328" s="1720"/>
      <c r="F328" s="1720"/>
      <c r="G328" s="1720"/>
      <c r="H328" s="1723"/>
      <c r="I328" s="1723" t="s">
        <v>873</v>
      </c>
      <c r="J328" s="1720"/>
      <c r="K328" s="1720"/>
      <c r="L328" s="1721"/>
      <c r="M328" s="1720"/>
      <c r="N328" s="1720"/>
      <c r="O328" s="1719"/>
      <c r="P328" s="1719"/>
      <c r="Q328" s="1719"/>
    </row>
    <row r="329" spans="1:17" ht="21">
      <c r="A329" s="1720"/>
      <c r="B329" s="1720"/>
      <c r="C329" s="1720"/>
      <c r="D329" s="1720"/>
      <c r="E329" s="1720"/>
      <c r="F329" s="1720"/>
      <c r="G329" s="1720"/>
      <c r="H329" s="1724" t="s">
        <v>872</v>
      </c>
      <c r="I329" s="1721"/>
      <c r="J329" s="1721"/>
      <c r="K329" s="1720"/>
      <c r="L329" s="1721"/>
      <c r="M329" s="1720"/>
      <c r="N329" s="1720"/>
      <c r="O329" s="1719"/>
      <c r="P329" s="1719"/>
      <c r="Q329" s="1719"/>
    </row>
    <row r="330" spans="1:17" ht="21">
      <c r="A330" s="1720"/>
      <c r="B330" s="1720"/>
      <c r="C330" s="1720"/>
      <c r="D330" s="1721" t="s">
        <v>631</v>
      </c>
      <c r="E330" s="1720"/>
      <c r="F330" s="1720"/>
      <c r="G330" s="1720"/>
      <c r="H330" s="1723"/>
      <c r="I330" s="1723" t="s">
        <v>871</v>
      </c>
      <c r="J330" s="1723"/>
      <c r="K330" s="1720"/>
      <c r="L330" s="1721"/>
      <c r="M330" s="1720"/>
      <c r="N330" s="1720"/>
      <c r="O330" s="1719"/>
      <c r="P330" s="1719"/>
      <c r="Q330" s="1719"/>
    </row>
    <row r="331" spans="1:17" ht="21">
      <c r="A331" s="1720"/>
      <c r="B331" s="1720"/>
      <c r="C331" s="1720"/>
      <c r="D331" s="1721" t="s">
        <v>2</v>
      </c>
      <c r="E331" s="1720"/>
      <c r="F331" s="1720"/>
      <c r="G331" s="1720"/>
      <c r="H331" s="1724" t="s">
        <v>870</v>
      </c>
      <c r="I331" s="1721"/>
      <c r="J331" s="1720"/>
      <c r="K331" s="1720"/>
      <c r="L331" s="1721"/>
      <c r="M331" s="1720"/>
      <c r="N331" s="1720"/>
      <c r="O331" s="1719"/>
      <c r="P331" s="1719"/>
      <c r="Q331" s="1719"/>
    </row>
    <row r="332" spans="1:17" ht="21">
      <c r="A332" s="1720"/>
      <c r="B332" s="1720"/>
      <c r="C332" s="1720"/>
      <c r="D332" s="1721" t="s">
        <v>27</v>
      </c>
      <c r="E332" s="1720"/>
      <c r="F332" s="1720"/>
      <c r="G332" s="1720"/>
      <c r="H332" s="1723"/>
      <c r="I332" s="1723" t="s">
        <v>869</v>
      </c>
      <c r="J332" s="1720"/>
      <c r="K332" s="1720"/>
      <c r="L332" s="1721"/>
      <c r="M332" s="1720"/>
      <c r="N332" s="1720"/>
      <c r="O332" s="1719"/>
      <c r="P332" s="1719"/>
      <c r="Q332" s="1719"/>
    </row>
    <row r="333" spans="1:17" ht="21">
      <c r="A333" s="1720"/>
      <c r="B333" s="1720"/>
      <c r="C333" s="1720"/>
      <c r="D333" s="1721" t="s">
        <v>39</v>
      </c>
      <c r="E333" s="1720"/>
      <c r="F333" s="1720"/>
      <c r="G333" s="1720"/>
      <c r="H333" s="1724" t="s">
        <v>868</v>
      </c>
      <c r="I333" s="1721"/>
      <c r="J333" s="1720"/>
      <c r="K333" s="1720"/>
      <c r="L333" s="1721"/>
      <c r="M333" s="1720"/>
      <c r="N333" s="1720"/>
      <c r="O333" s="1719"/>
      <c r="P333" s="1719"/>
      <c r="Q333" s="1719"/>
    </row>
    <row r="334" spans="1:17" ht="21">
      <c r="A334" s="1720"/>
      <c r="B334" s="1720"/>
      <c r="C334" s="1720"/>
      <c r="D334" s="1721" t="s">
        <v>52</v>
      </c>
      <c r="E334" s="1720"/>
      <c r="F334" s="1720"/>
      <c r="G334" s="1720"/>
      <c r="H334" s="1723"/>
      <c r="I334" s="1723" t="s">
        <v>867</v>
      </c>
      <c r="J334" s="1720"/>
      <c r="K334" s="1720"/>
      <c r="L334" s="1721"/>
      <c r="M334" s="1720"/>
      <c r="N334" s="1720"/>
      <c r="O334" s="1719"/>
      <c r="P334" s="1719"/>
      <c r="Q334" s="1719"/>
    </row>
    <row r="335" spans="1:17" ht="21">
      <c r="A335" s="1720"/>
      <c r="B335" s="1720"/>
      <c r="C335" s="1720"/>
      <c r="D335" s="1721" t="s">
        <v>859</v>
      </c>
      <c r="E335" s="1720"/>
      <c r="F335" s="1720"/>
      <c r="G335" s="1720"/>
      <c r="H335" s="1724" t="s">
        <v>31</v>
      </c>
      <c r="I335" s="1721"/>
      <c r="J335" s="1720"/>
      <c r="K335" s="1720"/>
      <c r="L335" s="1720"/>
      <c r="M335" s="1720"/>
      <c r="N335" s="1720"/>
      <c r="O335" s="1719"/>
      <c r="P335" s="1719"/>
      <c r="Q335" s="1719"/>
    </row>
    <row r="336" spans="1:17" ht="21">
      <c r="A336" s="1720"/>
      <c r="B336" s="1720"/>
      <c r="C336" s="1720"/>
      <c r="D336" s="1721"/>
      <c r="E336" s="1720"/>
      <c r="F336" s="1720"/>
      <c r="G336" s="1720"/>
      <c r="H336" s="1723"/>
      <c r="I336" s="1723" t="s">
        <v>866</v>
      </c>
      <c r="J336" s="1720"/>
      <c r="K336" s="1720"/>
      <c r="L336" s="1721"/>
      <c r="M336" s="1720"/>
      <c r="N336" s="1720"/>
      <c r="O336" s="1719"/>
      <c r="P336" s="1719"/>
      <c r="Q336" s="1719"/>
    </row>
    <row r="337" spans="1:17" ht="21">
      <c r="A337" s="1720"/>
      <c r="B337" s="1720"/>
      <c r="C337" s="1720"/>
      <c r="D337" s="1721" t="s">
        <v>865</v>
      </c>
      <c r="E337" s="1720"/>
      <c r="F337" s="1720"/>
      <c r="G337" s="1720"/>
      <c r="H337" s="1723"/>
      <c r="I337" s="1723" t="s">
        <v>864</v>
      </c>
      <c r="J337" s="1720"/>
      <c r="K337" s="1720"/>
      <c r="L337" s="1720"/>
      <c r="M337" s="1720"/>
      <c r="N337" s="1720"/>
      <c r="O337" s="1719"/>
      <c r="P337" s="1719"/>
      <c r="Q337" s="1719"/>
    </row>
    <row r="338" spans="1:17" ht="21">
      <c r="A338" s="1720"/>
      <c r="B338" s="1720"/>
      <c r="C338" s="1720"/>
      <c r="D338" s="1721" t="s">
        <v>2</v>
      </c>
      <c r="E338" s="1720"/>
      <c r="F338" s="1720"/>
      <c r="G338" s="1720"/>
      <c r="H338" s="1723"/>
      <c r="I338" s="1723" t="s">
        <v>863</v>
      </c>
      <c r="J338" s="1720"/>
      <c r="K338" s="1720"/>
      <c r="L338" s="1720"/>
      <c r="M338" s="1720"/>
      <c r="N338" s="1720"/>
      <c r="O338" s="1719"/>
      <c r="P338" s="1719"/>
      <c r="Q338" s="1719"/>
    </row>
    <row r="339" spans="1:17" ht="21">
      <c r="A339" s="1720"/>
      <c r="B339" s="1720"/>
      <c r="C339" s="1720"/>
      <c r="D339" s="1721" t="s">
        <v>27</v>
      </c>
      <c r="E339" s="1720"/>
      <c r="F339" s="1720"/>
      <c r="G339" s="1720"/>
      <c r="H339" s="1723"/>
      <c r="I339" s="1723" t="s">
        <v>862</v>
      </c>
      <c r="J339" s="1720"/>
      <c r="K339" s="1720"/>
      <c r="L339" s="1720"/>
      <c r="M339" s="1720"/>
      <c r="N339" s="1720"/>
      <c r="O339" s="1719"/>
      <c r="P339" s="1719"/>
      <c r="Q339" s="1719"/>
    </row>
    <row r="340" spans="1:17" ht="21">
      <c r="A340" s="1720"/>
      <c r="B340" s="1720"/>
      <c r="C340" s="1720"/>
      <c r="D340" s="1721" t="s">
        <v>39</v>
      </c>
      <c r="E340" s="1720"/>
      <c r="F340" s="1720"/>
      <c r="G340" s="1720"/>
      <c r="H340" s="1720"/>
      <c r="I340" s="1720"/>
      <c r="J340" s="1720"/>
      <c r="K340" s="1720"/>
      <c r="L340" s="1720"/>
      <c r="M340" s="1720"/>
      <c r="N340" s="1720"/>
      <c r="O340" s="1719"/>
      <c r="P340" s="1719"/>
      <c r="Q340" s="1719"/>
    </row>
    <row r="341" spans="1:17">
      <c r="A341" s="1720"/>
      <c r="B341" s="1720"/>
      <c r="C341" s="1720"/>
      <c r="D341" s="1722" t="s">
        <v>861</v>
      </c>
      <c r="E341" s="1722"/>
      <c r="F341" s="1720"/>
      <c r="G341" s="1720"/>
      <c r="H341" s="1720"/>
      <c r="I341" s="1720"/>
      <c r="J341" s="1720"/>
      <c r="K341" s="1720"/>
      <c r="L341" s="1720"/>
      <c r="M341" s="1720"/>
      <c r="N341" s="1720"/>
      <c r="O341" s="1719"/>
      <c r="P341" s="1719"/>
      <c r="Q341" s="1719"/>
    </row>
    <row r="342" spans="1:17" ht="21">
      <c r="A342" s="1720"/>
      <c r="B342" s="1720"/>
      <c r="C342" s="1720"/>
      <c r="D342" s="1721" t="s">
        <v>52</v>
      </c>
      <c r="E342" s="1720"/>
      <c r="F342" s="1720"/>
      <c r="G342" s="1720"/>
      <c r="H342" s="1720"/>
      <c r="I342" s="1720"/>
      <c r="J342" s="1720"/>
      <c r="K342" s="1720"/>
      <c r="L342" s="1720"/>
      <c r="M342" s="1720"/>
      <c r="N342" s="1720"/>
      <c r="O342" s="1719"/>
      <c r="P342" s="1719"/>
      <c r="Q342" s="1719"/>
    </row>
    <row r="343" spans="1:17" ht="21">
      <c r="A343" s="1720"/>
      <c r="B343" s="1720"/>
      <c r="C343" s="1720"/>
      <c r="D343" s="1721" t="s">
        <v>859</v>
      </c>
      <c r="E343" s="1720"/>
      <c r="F343" s="1720"/>
      <c r="G343" s="1720"/>
      <c r="H343" s="1720"/>
      <c r="I343" s="1720"/>
      <c r="J343" s="1720"/>
      <c r="K343" s="1720"/>
      <c r="L343" s="1720"/>
      <c r="M343" s="1720"/>
      <c r="N343" s="1720"/>
      <c r="O343" s="1719"/>
      <c r="P343" s="1719"/>
      <c r="Q343" s="1719"/>
    </row>
    <row r="344" spans="1:17" ht="21">
      <c r="A344" s="1720"/>
      <c r="B344" s="1720"/>
      <c r="C344" s="1720"/>
      <c r="D344" s="1721"/>
      <c r="E344" s="1720"/>
      <c r="F344" s="1720"/>
      <c r="G344" s="1720"/>
      <c r="H344" s="1720"/>
      <c r="I344" s="1720"/>
      <c r="J344" s="1720"/>
      <c r="K344" s="1720"/>
      <c r="L344" s="1720"/>
      <c r="M344" s="1720"/>
      <c r="N344" s="1720"/>
      <c r="O344" s="1719"/>
      <c r="P344" s="1719"/>
      <c r="Q344" s="1719"/>
    </row>
    <row r="345" spans="1:17" ht="21">
      <c r="A345" s="1720"/>
      <c r="B345" s="1720"/>
      <c r="C345" s="1720"/>
      <c r="D345" s="1721" t="s">
        <v>860</v>
      </c>
      <c r="E345" s="1720"/>
      <c r="F345" s="1720"/>
      <c r="G345" s="1720"/>
      <c r="H345" s="1720"/>
      <c r="I345" s="1720"/>
      <c r="J345" s="1720"/>
      <c r="K345" s="1720"/>
      <c r="L345" s="1720"/>
      <c r="M345" s="1720"/>
      <c r="N345" s="1720"/>
      <c r="O345" s="1719"/>
      <c r="P345" s="1719"/>
      <c r="Q345" s="1719"/>
    </row>
    <row r="346" spans="1:17" ht="21">
      <c r="A346" s="1720"/>
      <c r="B346" s="1720"/>
      <c r="C346" s="1720"/>
      <c r="D346" s="1721" t="s">
        <v>2</v>
      </c>
      <c r="E346" s="1720"/>
      <c r="F346" s="1720"/>
      <c r="G346" s="1720"/>
      <c r="H346" s="1720"/>
      <c r="I346" s="1720"/>
      <c r="J346" s="1720"/>
      <c r="K346" s="1720"/>
      <c r="L346" s="1720"/>
      <c r="M346" s="1720"/>
      <c r="N346" s="1720"/>
      <c r="O346" s="1719"/>
      <c r="P346" s="1719"/>
      <c r="Q346" s="1719"/>
    </row>
    <row r="347" spans="1:17" ht="21">
      <c r="A347" s="1720"/>
      <c r="B347" s="1720"/>
      <c r="C347" s="1720"/>
      <c r="D347" s="1721" t="s">
        <v>27</v>
      </c>
      <c r="E347" s="1720"/>
      <c r="F347" s="1720"/>
      <c r="G347" s="1720"/>
      <c r="H347" s="1720"/>
      <c r="I347" s="1720"/>
      <c r="J347" s="1720"/>
      <c r="K347" s="1720"/>
      <c r="L347" s="1720"/>
      <c r="M347" s="1720"/>
      <c r="N347" s="1720"/>
      <c r="O347" s="1719"/>
      <c r="P347" s="1719"/>
      <c r="Q347" s="1719"/>
    </row>
    <row r="348" spans="1:17" ht="21">
      <c r="A348" s="1720"/>
      <c r="B348" s="1720"/>
      <c r="C348" s="1720"/>
      <c r="D348" s="1721" t="s">
        <v>39</v>
      </c>
      <c r="E348" s="1720"/>
      <c r="F348" s="1720"/>
      <c r="G348" s="1720"/>
      <c r="H348" s="1720"/>
      <c r="I348" s="1720"/>
      <c r="J348" s="1720"/>
      <c r="K348" s="1720"/>
      <c r="L348" s="1720"/>
      <c r="M348" s="1720"/>
      <c r="N348" s="1720"/>
      <c r="O348" s="1719"/>
      <c r="P348" s="1719"/>
      <c r="Q348" s="1719"/>
    </row>
    <row r="349" spans="1:17" ht="21">
      <c r="A349" s="1720"/>
      <c r="B349" s="1720"/>
      <c r="C349" s="1720"/>
      <c r="D349" s="1721" t="s">
        <v>52</v>
      </c>
      <c r="E349" s="1720"/>
      <c r="F349" s="1720"/>
      <c r="G349" s="1720"/>
      <c r="H349" s="1720"/>
      <c r="I349" s="1720"/>
      <c r="J349" s="1720"/>
      <c r="K349" s="1720"/>
      <c r="L349" s="1720"/>
      <c r="M349" s="1720"/>
      <c r="N349" s="1720"/>
      <c r="O349" s="1719"/>
      <c r="P349" s="1719"/>
      <c r="Q349" s="1719"/>
    </row>
    <row r="350" spans="1:17" ht="21">
      <c r="A350" s="1720"/>
      <c r="B350" s="1720"/>
      <c r="C350" s="1720"/>
      <c r="D350" s="1721" t="s">
        <v>859</v>
      </c>
      <c r="E350" s="1720"/>
      <c r="F350" s="1720"/>
      <c r="G350" s="1720"/>
      <c r="H350" s="1720"/>
      <c r="I350" s="1720"/>
      <c r="J350" s="1720"/>
      <c r="K350" s="1720"/>
      <c r="L350" s="1720"/>
      <c r="M350" s="1720"/>
      <c r="N350" s="1720"/>
      <c r="O350" s="1719"/>
      <c r="P350" s="1719"/>
      <c r="Q350" s="1719"/>
    </row>
    <row r="351" spans="1:17" ht="21">
      <c r="A351" s="1720"/>
      <c r="B351" s="1720"/>
      <c r="C351" s="1720"/>
      <c r="D351" s="1721"/>
      <c r="E351" s="1720"/>
      <c r="F351" s="1720"/>
      <c r="G351" s="1720"/>
      <c r="H351" s="1720"/>
      <c r="I351" s="1720"/>
      <c r="J351" s="1720"/>
      <c r="K351" s="1720"/>
      <c r="L351" s="1720"/>
      <c r="M351" s="1720"/>
      <c r="N351" s="1720"/>
      <c r="O351" s="1719"/>
      <c r="P351" s="1719"/>
      <c r="Q351" s="1719"/>
    </row>
    <row r="352" spans="1:17" ht="21">
      <c r="A352" s="1720"/>
      <c r="B352" s="1720"/>
      <c r="C352" s="1720"/>
      <c r="D352" s="1721"/>
      <c r="E352" s="1720"/>
      <c r="F352" s="1720"/>
      <c r="G352" s="1720"/>
      <c r="H352" s="1720"/>
      <c r="I352" s="1720"/>
      <c r="J352" s="1720"/>
      <c r="K352" s="1720"/>
      <c r="L352" s="1720"/>
      <c r="M352" s="1720"/>
      <c r="N352" s="1720"/>
      <c r="O352" s="1719"/>
      <c r="P352" s="1719"/>
      <c r="Q352" s="1719"/>
    </row>
    <row r="353" spans="1:17">
      <c r="A353" s="1719"/>
      <c r="B353" s="1106"/>
      <c r="C353" s="1106"/>
      <c r="D353" s="1106"/>
      <c r="E353" s="1106"/>
      <c r="F353" s="1106"/>
      <c r="G353" s="1106"/>
      <c r="H353" s="1106"/>
      <c r="I353" s="1106"/>
      <c r="J353" s="1106"/>
      <c r="K353" s="1106"/>
      <c r="L353" s="1106"/>
      <c r="M353" s="1719"/>
      <c r="N353" s="1719"/>
      <c r="O353" s="1719"/>
      <c r="P353" s="1719"/>
      <c r="Q353" s="1719"/>
    </row>
    <row r="354" spans="1:17" s="1698" customFormat="1" ht="21">
      <c r="A354" s="1706"/>
      <c r="B354" s="1718" t="s">
        <v>858</v>
      </c>
      <c r="C354" s="1716"/>
      <c r="D354" s="1717"/>
      <c r="E354" s="1716"/>
      <c r="F354" s="1716"/>
      <c r="G354" s="1716"/>
      <c r="H354" s="1716"/>
      <c r="I354" s="1716"/>
      <c r="J354" s="1716"/>
      <c r="K354" s="1716"/>
      <c r="L354" s="1716"/>
      <c r="M354" s="1716"/>
      <c r="N354" s="1716"/>
      <c r="O354" s="1699"/>
      <c r="P354" s="1699"/>
      <c r="Q354" s="1699"/>
    </row>
    <row r="355" spans="1:17" s="1698" customFormat="1" ht="21">
      <c r="A355" s="1706"/>
      <c r="B355" s="1715" t="s">
        <v>857</v>
      </c>
      <c r="C355" s="1710"/>
      <c r="D355" s="1711"/>
      <c r="E355" s="1710"/>
      <c r="F355" s="1710"/>
      <c r="G355" s="1710"/>
      <c r="H355" s="1710"/>
      <c r="I355" s="1710"/>
      <c r="J355" s="1710"/>
      <c r="K355" s="1710"/>
      <c r="L355" s="1710"/>
      <c r="M355" s="1710"/>
      <c r="N355" s="1710"/>
      <c r="O355" s="1699"/>
      <c r="P355" s="1699"/>
      <c r="Q355" s="1699"/>
    </row>
    <row r="356" spans="1:17" s="1698" customFormat="1" ht="15" customHeight="1">
      <c r="A356" s="1706"/>
      <c r="B356" s="1713" t="s">
        <v>856</v>
      </c>
      <c r="C356" s="1714" t="s">
        <v>855</v>
      </c>
      <c r="D356" s="1711"/>
      <c r="E356" s="1710"/>
      <c r="F356" s="1710"/>
      <c r="G356" s="1710"/>
      <c r="H356" s="1710"/>
      <c r="I356" s="1710"/>
      <c r="J356" s="1710"/>
      <c r="K356" s="1710"/>
      <c r="L356" s="1710"/>
      <c r="M356" s="1709">
        <f>LEN(C356)</f>
        <v>83</v>
      </c>
      <c r="N356" s="1708" t="s">
        <v>852</v>
      </c>
      <c r="O356" s="1699"/>
      <c r="P356" s="1699"/>
      <c r="Q356" s="1699"/>
    </row>
    <row r="357" spans="1:17" s="1698" customFormat="1" ht="21" customHeight="1">
      <c r="A357" s="1706"/>
      <c r="B357" s="4629" t="s">
        <v>854</v>
      </c>
      <c r="C357" s="4629"/>
      <c r="D357" s="4629"/>
      <c r="E357" s="4629"/>
      <c r="F357" s="4629"/>
      <c r="G357" s="4629"/>
      <c r="H357" s="4629"/>
      <c r="I357" s="4629"/>
      <c r="J357" s="4629"/>
      <c r="K357" s="4629"/>
      <c r="L357" s="4629"/>
      <c r="M357" s="4629"/>
      <c r="N357" s="4629"/>
      <c r="O357" s="1699"/>
      <c r="P357" s="1699"/>
      <c r="Q357" s="1699"/>
    </row>
    <row r="358" spans="1:17" s="1698" customFormat="1" ht="21" customHeight="1">
      <c r="A358" s="1706"/>
      <c r="B358" s="4629"/>
      <c r="C358" s="4629"/>
      <c r="D358" s="4629"/>
      <c r="E358" s="4629"/>
      <c r="F358" s="4629"/>
      <c r="G358" s="4629"/>
      <c r="H358" s="4629"/>
      <c r="I358" s="4629"/>
      <c r="J358" s="4629"/>
      <c r="K358" s="4629"/>
      <c r="L358" s="4629"/>
      <c r="M358" s="4629"/>
      <c r="N358" s="4629"/>
      <c r="O358" s="1699"/>
      <c r="P358" s="1699"/>
      <c r="Q358" s="1699"/>
    </row>
    <row r="359" spans="1:17" s="1698" customFormat="1" ht="21">
      <c r="A359" s="1706"/>
      <c r="B359" s="1713" t="s">
        <v>853</v>
      </c>
      <c r="C359" s="1712" t="str">
        <f>TRIM(C356)</f>
        <v>•Contamination microbiologique (B) •Multiplication des germes (B)</v>
      </c>
      <c r="D359" s="1711"/>
      <c r="E359" s="1710"/>
      <c r="F359" s="1710"/>
      <c r="G359" s="1710"/>
      <c r="H359" s="1710"/>
      <c r="I359" s="1710"/>
      <c r="J359" s="1710"/>
      <c r="K359" s="1710"/>
      <c r="L359" s="1710"/>
      <c r="M359" s="1709">
        <f>LEN(C359)</f>
        <v>65</v>
      </c>
      <c r="N359" s="1708" t="s">
        <v>852</v>
      </c>
      <c r="O359" s="1699"/>
      <c r="P359" s="1699"/>
      <c r="Q359" s="1699"/>
    </row>
    <row r="360" spans="1:17" s="1698" customFormat="1" ht="21">
      <c r="A360" s="1706"/>
      <c r="B360" s="1706"/>
      <c r="C360" s="1706"/>
      <c r="D360" s="1707"/>
      <c r="E360" s="1706"/>
      <c r="F360" s="1706"/>
      <c r="G360" s="1706"/>
      <c r="H360" s="1706"/>
      <c r="I360" s="1706"/>
      <c r="J360" s="1706"/>
      <c r="K360" s="1706"/>
      <c r="L360" s="1706"/>
      <c r="M360" s="1706"/>
      <c r="N360" s="1706"/>
      <c r="O360" s="1699"/>
      <c r="P360" s="1699"/>
      <c r="Q360" s="1699"/>
    </row>
    <row r="361" spans="1:17" s="1698" customFormat="1" ht="18.75">
      <c r="A361" s="1699"/>
      <c r="B361" s="1705" t="s">
        <v>851</v>
      </c>
      <c r="C361" s="1700"/>
      <c r="D361" s="1704" t="s">
        <v>850</v>
      </c>
      <c r="E361" s="1704" t="s">
        <v>849</v>
      </c>
      <c r="F361" s="1704" t="s">
        <v>848</v>
      </c>
      <c r="G361" s="1703"/>
      <c r="H361" s="1702"/>
      <c r="I361" s="1702"/>
      <c r="J361" s="1702"/>
      <c r="K361" s="1700"/>
      <c r="L361" s="1700"/>
      <c r="M361" s="1700"/>
      <c r="N361" s="1700"/>
      <c r="O361" s="1700"/>
      <c r="P361" s="1700"/>
      <c r="Q361" s="1700"/>
    </row>
    <row r="362" spans="1:17" s="1698" customFormat="1">
      <c r="A362" s="1699"/>
      <c r="B362" s="1700"/>
      <c r="C362" s="1700"/>
      <c r="D362" s="1700"/>
      <c r="E362" s="1700"/>
      <c r="F362" s="1700"/>
      <c r="G362" s="1700"/>
      <c r="H362" s="1700"/>
      <c r="I362" s="1700"/>
      <c r="J362" s="1700"/>
      <c r="K362" s="1700"/>
      <c r="L362" s="1700"/>
      <c r="M362" s="1700"/>
      <c r="N362" s="1700"/>
      <c r="O362" s="1700"/>
      <c r="P362" s="1700"/>
      <c r="Q362" s="1700"/>
    </row>
    <row r="363" spans="1:17" s="1698" customFormat="1" ht="18">
      <c r="A363" s="1699"/>
      <c r="B363" s="1700"/>
      <c r="C363" s="1701" t="s">
        <v>847</v>
      </c>
      <c r="D363" s="1700"/>
      <c r="E363" s="1700"/>
      <c r="F363" s="1700"/>
      <c r="G363" s="1700"/>
      <c r="H363" s="1700"/>
      <c r="I363" s="1700"/>
      <c r="J363" s="1700"/>
      <c r="K363" s="1700"/>
      <c r="L363" s="1700"/>
      <c r="M363" s="1700"/>
      <c r="N363" s="1700"/>
      <c r="O363" s="1700"/>
      <c r="P363" s="1700"/>
      <c r="Q363" s="1700"/>
    </row>
    <row r="364" spans="1:17" s="1698" customFormat="1">
      <c r="A364" s="1699"/>
      <c r="B364" s="1700"/>
      <c r="C364" s="1700"/>
      <c r="D364" s="1700"/>
      <c r="E364" s="1700"/>
      <c r="F364" s="1700"/>
      <c r="G364" s="1700"/>
      <c r="H364" s="1700"/>
      <c r="I364" s="1700"/>
      <c r="J364" s="1700"/>
      <c r="K364" s="1700"/>
      <c r="L364" s="1700"/>
      <c r="M364" s="1699"/>
      <c r="N364" s="1699"/>
      <c r="O364" s="1699"/>
      <c r="P364" s="1699"/>
      <c r="Q364" s="1699"/>
    </row>
  </sheetData>
  <mergeCells count="251">
    <mergeCell ref="B357:N358"/>
    <mergeCell ref="B280:N281"/>
    <mergeCell ref="C282:N282"/>
    <mergeCell ref="C283:N283"/>
    <mergeCell ref="B284:N284"/>
    <mergeCell ref="B297:J297"/>
    <mergeCell ref="B309:J309"/>
    <mergeCell ref="C247:N247"/>
    <mergeCell ref="B248:N248"/>
    <mergeCell ref="L259:M260"/>
    <mergeCell ref="B266:N266"/>
    <mergeCell ref="L267:M267"/>
    <mergeCell ref="L268:M268"/>
    <mergeCell ref="C278:D278"/>
    <mergeCell ref="F278:G278"/>
    <mergeCell ref="I278:J278"/>
    <mergeCell ref="L278:M278"/>
    <mergeCell ref="A311:N312"/>
    <mergeCell ref="A250:A251"/>
    <mergeCell ref="B250:M251"/>
    <mergeCell ref="N250:N251"/>
    <mergeCell ref="A252:A284"/>
    <mergeCell ref="B252:N252"/>
    <mergeCell ref="B253:N256"/>
    <mergeCell ref="B257:N257"/>
    <mergeCell ref="L258:M258"/>
    <mergeCell ref="B218:N219"/>
    <mergeCell ref="A221:A222"/>
    <mergeCell ref="B221:M222"/>
    <mergeCell ref="N221:N222"/>
    <mergeCell ref="A223:A248"/>
    <mergeCell ref="B223:N223"/>
    <mergeCell ref="B224:N227"/>
    <mergeCell ref="B228:N228"/>
    <mergeCell ref="L229:M229"/>
    <mergeCell ref="L230:M230"/>
    <mergeCell ref="C242:D242"/>
    <mergeCell ref="F242:G242"/>
    <mergeCell ref="I242:J242"/>
    <mergeCell ref="L242:M242"/>
    <mergeCell ref="B244:N245"/>
    <mergeCell ref="C246:N246"/>
    <mergeCell ref="C210:M212"/>
    <mergeCell ref="A216:N217"/>
    <mergeCell ref="C197:D197"/>
    <mergeCell ref="E197:F197"/>
    <mergeCell ref="C198:D198"/>
    <mergeCell ref="E198:F198"/>
    <mergeCell ref="C199:D199"/>
    <mergeCell ref="E199:F199"/>
    <mergeCell ref="C200:D200"/>
    <mergeCell ref="E200:F200"/>
    <mergeCell ref="C201:D201"/>
    <mergeCell ref="E201:F201"/>
    <mergeCell ref="C202:D202"/>
    <mergeCell ref="E202:F202"/>
    <mergeCell ref="C203:D203"/>
    <mergeCell ref="E203:F203"/>
    <mergeCell ref="C204:D204"/>
    <mergeCell ref="E204:F204"/>
    <mergeCell ref="C205:D205"/>
    <mergeCell ref="E205:F205"/>
    <mergeCell ref="C206:D206"/>
    <mergeCell ref="E206:F206"/>
    <mergeCell ref="C207:D207"/>
    <mergeCell ref="E207:F207"/>
    <mergeCell ref="C195:M195"/>
    <mergeCell ref="C196:D196"/>
    <mergeCell ref="E196:F196"/>
    <mergeCell ref="M184:M185"/>
    <mergeCell ref="C186:D186"/>
    <mergeCell ref="E186:F186"/>
    <mergeCell ref="G186:I186"/>
    <mergeCell ref="C179:D179"/>
    <mergeCell ref="E179:F179"/>
    <mergeCell ref="C180:D180"/>
    <mergeCell ref="E180:F180"/>
    <mergeCell ref="C182:M182"/>
    <mergeCell ref="E183:M183"/>
    <mergeCell ref="C187:D187"/>
    <mergeCell ref="E187:F187"/>
    <mergeCell ref="G187:I187"/>
    <mergeCell ref="C191:D192"/>
    <mergeCell ref="E191:F192"/>
    <mergeCell ref="G191:G192"/>
    <mergeCell ref="H191:M191"/>
    <mergeCell ref="C193:D194"/>
    <mergeCell ref="E193:F194"/>
    <mergeCell ref="G193:G194"/>
    <mergeCell ref="H193:M194"/>
    <mergeCell ref="C184:D185"/>
    <mergeCell ref="E184:F185"/>
    <mergeCell ref="G184:I185"/>
    <mergeCell ref="K161:L162"/>
    <mergeCell ref="C163:C164"/>
    <mergeCell ref="D163:D164"/>
    <mergeCell ref="E163:F164"/>
    <mergeCell ref="G163:G164"/>
    <mergeCell ref="H163:H164"/>
    <mergeCell ref="J163:J164"/>
    <mergeCell ref="K163:L164"/>
    <mergeCell ref="C161:C162"/>
    <mergeCell ref="D161:D162"/>
    <mergeCell ref="C173:M173"/>
    <mergeCell ref="C174:M174"/>
    <mergeCell ref="E175:M175"/>
    <mergeCell ref="C176:M176"/>
    <mergeCell ref="C177:D178"/>
    <mergeCell ref="E177:F178"/>
    <mergeCell ref="C158:D159"/>
    <mergeCell ref="E158:E159"/>
    <mergeCell ref="F158:F159"/>
    <mergeCell ref="G158:G159"/>
    <mergeCell ref="H158:H159"/>
    <mergeCell ref="I158:I159"/>
    <mergeCell ref="J158:J159"/>
    <mergeCell ref="E161:F162"/>
    <mergeCell ref="G161:G162"/>
    <mergeCell ref="H161:H162"/>
    <mergeCell ref="I161:J162"/>
    <mergeCell ref="C128:C133"/>
    <mergeCell ref="D129:F129"/>
    <mergeCell ref="D130:F130"/>
    <mergeCell ref="D131:F131"/>
    <mergeCell ref="D132:F132"/>
    <mergeCell ref="D133:F133"/>
    <mergeCell ref="C155:F156"/>
    <mergeCell ref="G155:H156"/>
    <mergeCell ref="D137:F137"/>
    <mergeCell ref="D139:F139"/>
    <mergeCell ref="D141:F141"/>
    <mergeCell ref="C145:L145"/>
    <mergeCell ref="C147:L150"/>
    <mergeCell ref="C151:L154"/>
    <mergeCell ref="I155:I156"/>
    <mergeCell ref="J155:K156"/>
    <mergeCell ref="L155:L156"/>
    <mergeCell ref="C124:C126"/>
    <mergeCell ref="D125:F125"/>
    <mergeCell ref="D126:F126"/>
    <mergeCell ref="C109:E109"/>
    <mergeCell ref="H109:I109"/>
    <mergeCell ref="K109:L109"/>
    <mergeCell ref="C110:E110"/>
    <mergeCell ref="H110:I110"/>
    <mergeCell ref="K110:L110"/>
    <mergeCell ref="C111:E111"/>
    <mergeCell ref="H111:I111"/>
    <mergeCell ref="K111:L111"/>
    <mergeCell ref="C112:E112"/>
    <mergeCell ref="H112:I112"/>
    <mergeCell ref="K112:L112"/>
    <mergeCell ref="C113:E113"/>
    <mergeCell ref="H113:I113"/>
    <mergeCell ref="K113:L113"/>
    <mergeCell ref="C114:E114"/>
    <mergeCell ref="C118:L118"/>
    <mergeCell ref="C119:L119"/>
    <mergeCell ref="C120:L120"/>
    <mergeCell ref="C121:L121"/>
    <mergeCell ref="C122:L122"/>
    <mergeCell ref="B83:B84"/>
    <mergeCell ref="C83:C84"/>
    <mergeCell ref="D83:D84"/>
    <mergeCell ref="E83:E84"/>
    <mergeCell ref="H83:N83"/>
    <mergeCell ref="C107:E107"/>
    <mergeCell ref="H107:I107"/>
    <mergeCell ref="K107:L107"/>
    <mergeCell ref="H84:H85"/>
    <mergeCell ref="I84:I85"/>
    <mergeCell ref="J84:J85"/>
    <mergeCell ref="K84:K85"/>
    <mergeCell ref="L84:L85"/>
    <mergeCell ref="M84:M85"/>
    <mergeCell ref="B87:E87"/>
    <mergeCell ref="D89:P89"/>
    <mergeCell ref="D91:P91"/>
    <mergeCell ref="H86:N86"/>
    <mergeCell ref="I81:I82"/>
    <mergeCell ref="J81:J82"/>
    <mergeCell ref="K81:K82"/>
    <mergeCell ref="L81:L82"/>
    <mergeCell ref="M81:M82"/>
    <mergeCell ref="N81:N82"/>
    <mergeCell ref="C108:E108"/>
    <mergeCell ref="H108:I108"/>
    <mergeCell ref="K108:L108"/>
    <mergeCell ref="C105:L105"/>
    <mergeCell ref="C106:E106"/>
    <mergeCell ref="H106:I106"/>
    <mergeCell ref="K106:L106"/>
    <mergeCell ref="L95:N95"/>
    <mergeCell ref="N79:N80"/>
    <mergeCell ref="B80:B81"/>
    <mergeCell ref="C80:C81"/>
    <mergeCell ref="D80:D81"/>
    <mergeCell ref="E80:E81"/>
    <mergeCell ref="H81:H82"/>
    <mergeCell ref="B72:B73"/>
    <mergeCell ref="C72:G73"/>
    <mergeCell ref="I72:J72"/>
    <mergeCell ref="I73:J73"/>
    <mergeCell ref="B74:B75"/>
    <mergeCell ref="C74:G75"/>
    <mergeCell ref="I74:J74"/>
    <mergeCell ref="I75:J75"/>
    <mergeCell ref="I79:I80"/>
    <mergeCell ref="J79:J80"/>
    <mergeCell ref="K79:K80"/>
    <mergeCell ref="L79:L80"/>
    <mergeCell ref="N84:N85"/>
    <mergeCell ref="B85:B86"/>
    <mergeCell ref="C85:C86"/>
    <mergeCell ref="D85:D86"/>
    <mergeCell ref="E85:E86"/>
    <mergeCell ref="C67:G67"/>
    <mergeCell ref="M69:M70"/>
    <mergeCell ref="N69:N70"/>
    <mergeCell ref="C70:G70"/>
    <mergeCell ref="M79:M80"/>
    <mergeCell ref="C71:G71"/>
    <mergeCell ref="I71:J71"/>
    <mergeCell ref="B78:C79"/>
    <mergeCell ref="D78:D79"/>
    <mergeCell ref="E78:E79"/>
    <mergeCell ref="H79:H80"/>
    <mergeCell ref="C68:G68"/>
    <mergeCell ref="C69:G69"/>
    <mergeCell ref="I69:J70"/>
    <mergeCell ref="K69:L70"/>
    <mergeCell ref="B2:Q2"/>
    <mergeCell ref="B3:Q3"/>
    <mergeCell ref="B4:Q4"/>
    <mergeCell ref="B5:Q5"/>
    <mergeCell ref="B8:Q8"/>
    <mergeCell ref="I49:P49"/>
    <mergeCell ref="I50:L50"/>
    <mergeCell ref="M50:P50"/>
    <mergeCell ref="I51:I52"/>
    <mergeCell ref="J51:J52"/>
    <mergeCell ref="K51:K52"/>
    <mergeCell ref="L51:L52"/>
    <mergeCell ref="I57:P58"/>
    <mergeCell ref="B61:G62"/>
    <mergeCell ref="I61:M61"/>
    <mergeCell ref="I62:M62"/>
    <mergeCell ref="B63:G64"/>
    <mergeCell ref="J63:J65"/>
    <mergeCell ref="C65:G65"/>
    <mergeCell ref="C66:G66"/>
  </mergeCells>
  <hyperlinks>
    <hyperlink ref="D35" r:id="rId1" xr:uid="{10ED105B-8FF8-45A8-A438-F5F22E600725}"/>
    <hyperlink ref="D39" r:id="rId2" xr:uid="{E8E45022-DB51-4C48-9D44-59EC90473350}"/>
    <hyperlink ref="D42" r:id="rId3" xr:uid="{09760775-58A1-4FE4-A0E4-AF6F0E803EC7}"/>
    <hyperlink ref="D44" r:id="rId4" xr:uid="{52E53A8A-78A0-4AE2-A6DE-125CCA2FC2D6}"/>
    <hyperlink ref="D47" r:id="rId5" xr:uid="{103944F6-C074-46B5-9915-E7F56C505D2F}"/>
    <hyperlink ref="I57" r:id="rId6" xr:uid="{B74376A0-2160-4290-B096-86AC6397DFAC}"/>
    <hyperlink ref="D361" r:id="rId7" display="la seconde LA" xr:uid="{81F0CA72-31D3-40A8-9BBE-EB538E052F30}"/>
    <hyperlink ref="E361" r:id="rId8" xr:uid="{351C0316-35C4-420A-9735-B2BFDE2C0608}"/>
    <hyperlink ref="F361" r:id="rId9" display="le site ICI" xr:uid="{1FE95102-C7CC-4238-8AB3-BBCCE6F76F47}"/>
  </hyperlinks>
  <pageMargins left="0.25" right="0.25" top="0.75" bottom="0.75" header="0.3" footer="0.3"/>
  <pageSetup paperSize="9" scale="72" orientation="portrait" r:id="rId10"/>
  <drawing r:id="rId11"/>
  <legacyDrawing r:id="rId1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409914-9AA3-4FAD-9908-700D60932725}">
  <dimension ref="A2:S71"/>
  <sheetViews>
    <sheetView workbookViewId="0">
      <selection activeCell="U23" sqref="U23"/>
    </sheetView>
  </sheetViews>
  <sheetFormatPr baseColWidth="10" defaultRowHeight="12.75"/>
  <cols>
    <col min="1" max="1" width="3.7109375" style="2105" customWidth="1"/>
    <col min="2" max="2" width="11.42578125" style="2105"/>
    <col min="3" max="3" width="29.42578125" style="2105" bestFit="1" customWidth="1"/>
    <col min="4" max="6" width="11.42578125" style="2105"/>
    <col min="7" max="7" width="3.7109375" style="2105" customWidth="1"/>
    <col min="8" max="8" width="11.42578125" style="2105"/>
    <col min="9" max="9" width="33.140625" style="2105" bestFit="1" customWidth="1"/>
    <col min="10" max="12" width="11.42578125" style="2105"/>
    <col min="13" max="13" width="3.7109375" style="2105" customWidth="1"/>
    <col min="14" max="14" width="11.42578125" style="2105"/>
    <col min="15" max="15" width="32.85546875" style="2105" bestFit="1" customWidth="1"/>
    <col min="16" max="18" width="11.42578125" style="2105"/>
    <col min="19" max="19" width="3.7109375" style="2105" customWidth="1"/>
    <col min="20" max="16384" width="11.42578125" style="2105"/>
  </cols>
  <sheetData>
    <row r="2" spans="1:19" ht="37.5" customHeight="1">
      <c r="B2" s="4617" t="s">
        <v>1296</v>
      </c>
      <c r="C2" s="4617"/>
      <c r="D2" s="4617"/>
      <c r="E2" s="4617"/>
      <c r="F2" s="4617"/>
      <c r="G2" s="4617"/>
      <c r="H2" s="4617"/>
      <c r="I2" s="4617"/>
      <c r="J2" s="4617"/>
      <c r="K2" s="4617"/>
      <c r="L2" s="4617"/>
      <c r="M2" s="4617"/>
      <c r="N2" s="4617"/>
      <c r="O2" s="4617"/>
      <c r="P2" s="4617"/>
      <c r="Q2" s="4617"/>
      <c r="R2" s="4617"/>
      <c r="S2" s="4617"/>
    </row>
    <row r="4" spans="1:19" ht="13.5" thickBot="1"/>
    <row r="5" spans="1:19" ht="12.75" customHeight="1">
      <c r="B5" s="4650" t="s">
        <v>1295</v>
      </c>
      <c r="C5" s="4651"/>
      <c r="D5" s="4651"/>
      <c r="E5" s="4651"/>
      <c r="F5" s="4652"/>
      <c r="H5" s="4650" t="s">
        <v>1295</v>
      </c>
      <c r="I5" s="4651"/>
      <c r="J5" s="4651"/>
      <c r="K5" s="4651"/>
      <c r="L5" s="4652"/>
      <c r="N5" s="4650" t="s">
        <v>1295</v>
      </c>
      <c r="O5" s="4651"/>
      <c r="P5" s="4651"/>
      <c r="Q5" s="4651"/>
      <c r="R5" s="4652"/>
    </row>
    <row r="6" spans="1:19" ht="17.25" customHeight="1" thickBot="1">
      <c r="B6" s="4653"/>
      <c r="C6" s="4654"/>
      <c r="D6" s="4654"/>
      <c r="E6" s="4654"/>
      <c r="F6" s="4655"/>
      <c r="H6" s="4653"/>
      <c r="I6" s="4654"/>
      <c r="J6" s="4654"/>
      <c r="K6" s="4654"/>
      <c r="L6" s="4655"/>
      <c r="N6" s="4653"/>
      <c r="O6" s="4654"/>
      <c r="P6" s="4654"/>
      <c r="Q6" s="4654"/>
      <c r="R6" s="4655"/>
    </row>
    <row r="7" spans="1:19" ht="17.25" customHeight="1">
      <c r="B7" s="2123"/>
      <c r="C7" s="2123"/>
      <c r="D7" s="2123"/>
      <c r="E7" s="2123"/>
      <c r="F7" s="2123"/>
    </row>
    <row r="8" spans="1:19" ht="25.5" customHeight="1">
      <c r="A8" s="4656"/>
      <c r="B8" s="2122" t="s">
        <v>10</v>
      </c>
      <c r="C8" s="2122" t="s">
        <v>1294</v>
      </c>
      <c r="D8" s="2121" t="s">
        <v>64</v>
      </c>
      <c r="E8" s="2120" t="s">
        <v>1293</v>
      </c>
      <c r="F8" s="2119" t="s">
        <v>1292</v>
      </c>
      <c r="G8" s="4656"/>
      <c r="H8" s="2122" t="s">
        <v>10</v>
      </c>
      <c r="I8" s="2122" t="s">
        <v>1294</v>
      </c>
      <c r="J8" s="2121" t="s">
        <v>64</v>
      </c>
      <c r="K8" s="2120" t="s">
        <v>1293</v>
      </c>
      <c r="L8" s="2119" t="s">
        <v>1292</v>
      </c>
      <c r="M8" s="4656"/>
      <c r="N8" s="2122" t="s">
        <v>10</v>
      </c>
      <c r="O8" s="2122" t="s">
        <v>1294</v>
      </c>
      <c r="P8" s="2121" t="s">
        <v>64</v>
      </c>
      <c r="Q8" s="2120" t="s">
        <v>1293</v>
      </c>
      <c r="R8" s="2119" t="s">
        <v>1292</v>
      </c>
      <c r="S8" s="4656"/>
    </row>
    <row r="9" spans="1:19" ht="25.5" customHeight="1">
      <c r="A9" s="4656"/>
      <c r="C9" s="2115" t="s">
        <v>2</v>
      </c>
      <c r="D9" s="2118"/>
      <c r="E9" s="2117"/>
      <c r="F9" s="2116"/>
      <c r="G9" s="4656"/>
      <c r="H9" s="2113"/>
      <c r="I9" s="2115" t="s">
        <v>18</v>
      </c>
      <c r="J9" s="2108"/>
      <c r="K9" s="2107"/>
      <c r="L9" s="2106"/>
      <c r="M9" s="4656"/>
      <c r="N9" s="2113"/>
      <c r="O9" s="2115" t="s">
        <v>1291</v>
      </c>
      <c r="P9" s="2108"/>
      <c r="Q9" s="2107"/>
      <c r="R9" s="2106"/>
      <c r="S9" s="4656"/>
    </row>
    <row r="10" spans="1:19" ht="15.75">
      <c r="A10" s="4656"/>
      <c r="B10" s="2114">
        <v>1</v>
      </c>
      <c r="C10" s="2109" t="s">
        <v>1290</v>
      </c>
      <c r="D10" s="2108">
        <v>10</v>
      </c>
      <c r="E10" s="2107">
        <v>5.5E-2</v>
      </c>
      <c r="F10" s="2106">
        <f t="shared" ref="F10:F17" si="0">E10*D10</f>
        <v>0.55000000000000004</v>
      </c>
      <c r="G10" s="4656"/>
      <c r="H10" s="2114">
        <v>56</v>
      </c>
      <c r="I10" s="2109" t="s">
        <v>1289</v>
      </c>
      <c r="J10" s="2108">
        <v>10</v>
      </c>
      <c r="K10" s="2107">
        <v>0.17</v>
      </c>
      <c r="L10" s="2106">
        <f>K10*J10</f>
        <v>1.7000000000000002</v>
      </c>
      <c r="M10" s="4656"/>
      <c r="N10" s="2114">
        <v>113</v>
      </c>
      <c r="O10" s="2109" t="s">
        <v>1288</v>
      </c>
      <c r="P10" s="2108">
        <v>10</v>
      </c>
      <c r="Q10" s="2107">
        <v>0.02</v>
      </c>
      <c r="R10" s="2106">
        <f>Q10*P10</f>
        <v>0.2</v>
      </c>
      <c r="S10" s="4656"/>
    </row>
    <row r="11" spans="1:19" ht="15.75">
      <c r="A11" s="4656"/>
      <c r="B11" s="2114">
        <v>2</v>
      </c>
      <c r="C11" s="2109" t="s">
        <v>1287</v>
      </c>
      <c r="D11" s="2108">
        <v>10</v>
      </c>
      <c r="E11" s="2107">
        <v>5.0000000000000001E-3</v>
      </c>
      <c r="F11" s="2106">
        <f t="shared" si="0"/>
        <v>0.05</v>
      </c>
      <c r="G11" s="4656"/>
      <c r="H11" s="2114">
        <v>57</v>
      </c>
      <c r="I11" s="2109" t="s">
        <v>1286</v>
      </c>
      <c r="J11" s="2108">
        <v>10</v>
      </c>
      <c r="K11" s="2107">
        <v>0.16</v>
      </c>
      <c r="L11" s="2106">
        <f>K11*J11</f>
        <v>1.6</v>
      </c>
      <c r="M11" s="4656"/>
      <c r="N11" s="2114">
        <v>114</v>
      </c>
      <c r="O11" s="2109" t="s">
        <v>1285</v>
      </c>
      <c r="P11" s="2108">
        <v>10</v>
      </c>
      <c r="Q11" s="2107">
        <v>0.125</v>
      </c>
      <c r="R11" s="2106">
        <f>Q11*P11</f>
        <v>1.25</v>
      </c>
      <c r="S11" s="4656"/>
    </row>
    <row r="12" spans="1:19" ht="20.25">
      <c r="A12" s="4656"/>
      <c r="B12" s="2114">
        <v>3</v>
      </c>
      <c r="C12" s="2109" t="s">
        <v>1284</v>
      </c>
      <c r="D12" s="2108">
        <v>10</v>
      </c>
      <c r="E12" s="2107">
        <v>8.0000000000000002E-3</v>
      </c>
      <c r="F12" s="2106">
        <f t="shared" si="0"/>
        <v>0.08</v>
      </c>
      <c r="G12" s="4656"/>
      <c r="H12" s="2114">
        <v>58</v>
      </c>
      <c r="I12" s="2109" t="s">
        <v>1283</v>
      </c>
      <c r="J12" s="2108">
        <v>10</v>
      </c>
      <c r="K12" s="2107">
        <v>0.88500000000000001</v>
      </c>
      <c r="L12" s="2106">
        <f>K12*J12</f>
        <v>8.85</v>
      </c>
      <c r="M12" s="4656"/>
      <c r="N12" s="2113"/>
      <c r="O12" s="2112" t="s">
        <v>31</v>
      </c>
      <c r="P12" s="2108"/>
      <c r="Q12" s="2107"/>
      <c r="R12" s="2106"/>
      <c r="S12" s="4656"/>
    </row>
    <row r="13" spans="1:19" ht="15.75">
      <c r="A13" s="4656"/>
      <c r="B13" s="2114">
        <v>4</v>
      </c>
      <c r="C13" s="2109" t="s">
        <v>1282</v>
      </c>
      <c r="D13" s="2108">
        <v>10</v>
      </c>
      <c r="E13" s="2107">
        <v>0.05</v>
      </c>
      <c r="F13" s="2106">
        <f t="shared" si="0"/>
        <v>0.5</v>
      </c>
      <c r="G13" s="4656"/>
      <c r="H13" s="2114">
        <v>59</v>
      </c>
      <c r="I13" s="2109" t="s">
        <v>1281</v>
      </c>
      <c r="J13" s="2108">
        <v>10</v>
      </c>
      <c r="K13" s="2107">
        <v>0.5</v>
      </c>
      <c r="L13" s="2106">
        <f>K13*J13</f>
        <v>5</v>
      </c>
      <c r="M13" s="4656"/>
      <c r="N13" s="2110">
        <v>115</v>
      </c>
      <c r="O13" s="2109" t="s">
        <v>1280</v>
      </c>
      <c r="P13" s="2108">
        <v>10</v>
      </c>
      <c r="Q13" s="2107">
        <v>4.4999999999999998E-2</v>
      </c>
      <c r="R13" s="2106">
        <f t="shared" ref="R13:R36" si="1">Q13*P13</f>
        <v>0.44999999999999996</v>
      </c>
      <c r="S13" s="4656"/>
    </row>
    <row r="14" spans="1:19" ht="20.25">
      <c r="A14" s="4656"/>
      <c r="B14" s="2114">
        <v>5</v>
      </c>
      <c r="C14" s="2109" t="s">
        <v>1279</v>
      </c>
      <c r="D14" s="2108">
        <v>10</v>
      </c>
      <c r="E14" s="2107">
        <v>2</v>
      </c>
      <c r="F14" s="2106">
        <f t="shared" si="0"/>
        <v>20</v>
      </c>
      <c r="G14" s="4656"/>
      <c r="H14" s="2113"/>
      <c r="I14" s="2112" t="s">
        <v>642</v>
      </c>
      <c r="J14" s="2108"/>
      <c r="K14" s="2107"/>
      <c r="L14" s="2106"/>
      <c r="M14" s="4656"/>
      <c r="N14" s="2110">
        <v>116</v>
      </c>
      <c r="O14" s="2109" t="s">
        <v>1278</v>
      </c>
      <c r="P14" s="2108">
        <v>10</v>
      </c>
      <c r="Q14" s="2107">
        <v>1E-3</v>
      </c>
      <c r="R14" s="2106">
        <f t="shared" si="1"/>
        <v>0.01</v>
      </c>
      <c r="S14" s="4656"/>
    </row>
    <row r="15" spans="1:19" ht="15.75">
      <c r="A15" s="4656"/>
      <c r="B15" s="2114">
        <v>6</v>
      </c>
      <c r="C15" s="2109" t="s">
        <v>1277</v>
      </c>
      <c r="D15" s="2108">
        <v>10</v>
      </c>
      <c r="E15" s="2107">
        <v>0.35</v>
      </c>
      <c r="F15" s="2106">
        <f t="shared" si="0"/>
        <v>3.5</v>
      </c>
      <c r="G15" s="4656"/>
      <c r="H15" s="2110">
        <v>60</v>
      </c>
      <c r="I15" s="2109" t="s">
        <v>1276</v>
      </c>
      <c r="J15" s="2108">
        <v>10</v>
      </c>
      <c r="K15" s="2107">
        <v>1.5</v>
      </c>
      <c r="L15" s="2106">
        <f>K15*J15</f>
        <v>15</v>
      </c>
      <c r="M15" s="4656"/>
      <c r="N15" s="2110">
        <v>117</v>
      </c>
      <c r="O15" s="2109" t="s">
        <v>1275</v>
      </c>
      <c r="P15" s="2108">
        <v>10</v>
      </c>
      <c r="Q15" s="2107">
        <v>0.05</v>
      </c>
      <c r="R15" s="2106">
        <f t="shared" si="1"/>
        <v>0.5</v>
      </c>
      <c r="S15" s="4656"/>
    </row>
    <row r="16" spans="1:19" ht="15.75">
      <c r="A16" s="4656"/>
      <c r="B16" s="2114">
        <v>7</v>
      </c>
      <c r="C16" s="2109" t="s">
        <v>1274</v>
      </c>
      <c r="D16" s="2108">
        <v>10</v>
      </c>
      <c r="E16" s="2107">
        <v>0.11</v>
      </c>
      <c r="F16" s="2106">
        <f t="shared" si="0"/>
        <v>1.1000000000000001</v>
      </c>
      <c r="G16" s="4656"/>
      <c r="H16" s="2110">
        <v>61</v>
      </c>
      <c r="I16" s="2109" t="s">
        <v>1273</v>
      </c>
      <c r="J16" s="2108">
        <v>10</v>
      </c>
      <c r="K16" s="2107">
        <v>0.15</v>
      </c>
      <c r="L16" s="2106">
        <f>K16*J16</f>
        <v>1.5</v>
      </c>
      <c r="M16" s="4656"/>
      <c r="N16" s="2110">
        <v>118</v>
      </c>
      <c r="O16" s="2109" t="s">
        <v>1272</v>
      </c>
      <c r="P16" s="2108">
        <v>10</v>
      </c>
      <c r="Q16" s="2107">
        <v>1.4999999999999999E-2</v>
      </c>
      <c r="R16" s="2106">
        <f t="shared" si="1"/>
        <v>0.15</v>
      </c>
      <c r="S16" s="4656"/>
    </row>
    <row r="17" spans="1:19" ht="20.25">
      <c r="A17" s="4656"/>
      <c r="B17" s="2114">
        <v>8</v>
      </c>
      <c r="C17" s="2109" t="s">
        <v>1271</v>
      </c>
      <c r="D17" s="2108">
        <v>10</v>
      </c>
      <c r="E17" s="2107">
        <v>0.22</v>
      </c>
      <c r="F17" s="2106">
        <f t="shared" si="0"/>
        <v>2.2000000000000002</v>
      </c>
      <c r="G17" s="4656"/>
      <c r="H17" s="2113"/>
      <c r="I17" s="2115" t="s">
        <v>53</v>
      </c>
      <c r="J17" s="2108"/>
      <c r="K17" s="2107"/>
      <c r="L17" s="2106"/>
      <c r="M17" s="4656"/>
      <c r="N17" s="2110">
        <v>119</v>
      </c>
      <c r="O17" s="2109" t="s">
        <v>1270</v>
      </c>
      <c r="P17" s="2108">
        <v>10</v>
      </c>
      <c r="Q17" s="2107">
        <v>0.2</v>
      </c>
      <c r="R17" s="2106">
        <f t="shared" si="1"/>
        <v>2</v>
      </c>
      <c r="S17" s="4656"/>
    </row>
    <row r="18" spans="1:19" ht="20.25">
      <c r="A18" s="4656"/>
      <c r="B18" s="2113"/>
      <c r="C18" s="2112" t="s">
        <v>27</v>
      </c>
      <c r="D18" s="2108"/>
      <c r="E18" s="2107"/>
      <c r="F18" s="2106"/>
      <c r="G18" s="4656"/>
      <c r="H18" s="2114">
        <v>62</v>
      </c>
      <c r="I18" s="2109" t="s">
        <v>1269</v>
      </c>
      <c r="J18" s="2108">
        <v>10</v>
      </c>
      <c r="K18" s="2107">
        <v>0.01</v>
      </c>
      <c r="L18" s="2106">
        <f t="shared" ref="L18:L29" si="2">K18*J18</f>
        <v>0.1</v>
      </c>
      <c r="M18" s="4656"/>
      <c r="N18" s="2110">
        <v>120</v>
      </c>
      <c r="O18" s="2109" t="s">
        <v>1268</v>
      </c>
      <c r="P18" s="2108">
        <v>10</v>
      </c>
      <c r="Q18" s="2107">
        <v>1.2E-2</v>
      </c>
      <c r="R18" s="2106">
        <f t="shared" si="1"/>
        <v>0.12</v>
      </c>
      <c r="S18" s="4656"/>
    </row>
    <row r="19" spans="1:19" ht="15.75">
      <c r="A19" s="4656"/>
      <c r="B19" s="2110">
        <v>9</v>
      </c>
      <c r="C19" s="2109" t="s">
        <v>1267</v>
      </c>
      <c r="D19" s="2108">
        <v>10</v>
      </c>
      <c r="E19" s="2107">
        <v>0.12</v>
      </c>
      <c r="F19" s="2106">
        <f t="shared" ref="F19:F35" si="3">E19*D19</f>
        <v>1.2</v>
      </c>
      <c r="G19" s="4656"/>
      <c r="H19" s="2114">
        <v>63</v>
      </c>
      <c r="I19" s="2109" t="s">
        <v>1266</v>
      </c>
      <c r="J19" s="2108">
        <v>10</v>
      </c>
      <c r="K19" s="2107">
        <v>0.8</v>
      </c>
      <c r="L19" s="2106">
        <f t="shared" si="2"/>
        <v>8</v>
      </c>
      <c r="M19" s="4656"/>
      <c r="N19" s="2110">
        <v>121</v>
      </c>
      <c r="O19" s="2109" t="s">
        <v>1265</v>
      </c>
      <c r="P19" s="2108">
        <v>10</v>
      </c>
      <c r="Q19" s="2107">
        <v>1.2E-2</v>
      </c>
      <c r="R19" s="2106">
        <f t="shared" si="1"/>
        <v>0.12</v>
      </c>
      <c r="S19" s="4656"/>
    </row>
    <row r="20" spans="1:19" ht="15.75">
      <c r="A20" s="4656"/>
      <c r="B20" s="2110">
        <v>10</v>
      </c>
      <c r="C20" s="2109" t="s">
        <v>1264</v>
      </c>
      <c r="D20" s="2108">
        <v>10</v>
      </c>
      <c r="E20" s="2107">
        <v>8.0000000000000002E-3</v>
      </c>
      <c r="F20" s="2106">
        <f t="shared" si="3"/>
        <v>0.08</v>
      </c>
      <c r="G20" s="4656"/>
      <c r="H20" s="2114">
        <v>64</v>
      </c>
      <c r="I20" s="2109" t="s">
        <v>1263</v>
      </c>
      <c r="J20" s="2108">
        <v>10</v>
      </c>
      <c r="K20" s="2107">
        <v>0.5</v>
      </c>
      <c r="L20" s="2106">
        <f t="shared" si="2"/>
        <v>5</v>
      </c>
      <c r="M20" s="4656"/>
      <c r="N20" s="2110">
        <v>122</v>
      </c>
      <c r="O20" s="2109" t="s">
        <v>1262</v>
      </c>
      <c r="P20" s="2108">
        <v>10</v>
      </c>
      <c r="Q20" s="2107">
        <v>1.9E-2</v>
      </c>
      <c r="R20" s="2106">
        <f t="shared" si="1"/>
        <v>0.19</v>
      </c>
      <c r="S20" s="4656"/>
    </row>
    <row r="21" spans="1:19" ht="15.75">
      <c r="A21" s="4656"/>
      <c r="B21" s="2110">
        <v>11</v>
      </c>
      <c r="C21" s="2109" t="s">
        <v>1261</v>
      </c>
      <c r="D21" s="2108">
        <v>10</v>
      </c>
      <c r="E21" s="2107">
        <v>4.0000000000000001E-3</v>
      </c>
      <c r="F21" s="2106">
        <f t="shared" si="3"/>
        <v>0.04</v>
      </c>
      <c r="G21" s="4656"/>
      <c r="H21" s="2114">
        <v>65</v>
      </c>
      <c r="I21" s="2109" t="s">
        <v>1260</v>
      </c>
      <c r="J21" s="2108">
        <v>10</v>
      </c>
      <c r="K21" s="2107">
        <v>0.23</v>
      </c>
      <c r="L21" s="2106">
        <f t="shared" si="2"/>
        <v>2.3000000000000003</v>
      </c>
      <c r="M21" s="4656"/>
      <c r="N21" s="2110">
        <v>123</v>
      </c>
      <c r="O21" s="2109" t="s">
        <v>1259</v>
      </c>
      <c r="P21" s="2108">
        <v>10</v>
      </c>
      <c r="Q21" s="2107">
        <v>1.2E-2</v>
      </c>
      <c r="R21" s="2106">
        <f t="shared" si="1"/>
        <v>0.12</v>
      </c>
      <c r="S21" s="4656"/>
    </row>
    <row r="22" spans="1:19" ht="15.75">
      <c r="A22" s="4656"/>
      <c r="B22" s="2110">
        <v>12</v>
      </c>
      <c r="C22" s="2109" t="s">
        <v>1258</v>
      </c>
      <c r="D22" s="2108">
        <v>10</v>
      </c>
      <c r="E22" s="2107">
        <v>1.4999999999999999E-2</v>
      </c>
      <c r="F22" s="2106">
        <f t="shared" si="3"/>
        <v>0.15</v>
      </c>
      <c r="G22" s="4656"/>
      <c r="H22" s="2114">
        <v>66</v>
      </c>
      <c r="I22" s="2109" t="s">
        <v>1257</v>
      </c>
      <c r="J22" s="2108">
        <v>10</v>
      </c>
      <c r="K22" s="2107">
        <v>9.5</v>
      </c>
      <c r="L22" s="2106">
        <f t="shared" si="2"/>
        <v>95</v>
      </c>
      <c r="M22" s="4656"/>
      <c r="N22" s="2110">
        <v>124</v>
      </c>
      <c r="O22" s="2109" t="s">
        <v>1256</v>
      </c>
      <c r="P22" s="2108">
        <v>10</v>
      </c>
      <c r="Q22" s="2107">
        <v>1.2999999999999999E-2</v>
      </c>
      <c r="R22" s="2106">
        <f t="shared" si="1"/>
        <v>0.13</v>
      </c>
      <c r="S22" s="4656"/>
    </row>
    <row r="23" spans="1:19" ht="15.75">
      <c r="A23" s="4656"/>
      <c r="B23" s="2110">
        <v>13</v>
      </c>
      <c r="C23" s="2109" t="s">
        <v>1255</v>
      </c>
      <c r="D23" s="2108">
        <v>10</v>
      </c>
      <c r="E23" s="2107">
        <v>4.0000000000000001E-3</v>
      </c>
      <c r="F23" s="2106">
        <f t="shared" si="3"/>
        <v>0.04</v>
      </c>
      <c r="G23" s="4656"/>
      <c r="H23" s="2114">
        <v>67</v>
      </c>
      <c r="I23" s="2109" t="s">
        <v>1254</v>
      </c>
      <c r="J23" s="2108">
        <v>10</v>
      </c>
      <c r="K23" s="2107">
        <v>0.9</v>
      </c>
      <c r="L23" s="2106">
        <f t="shared" si="2"/>
        <v>9</v>
      </c>
      <c r="M23" s="4656"/>
      <c r="N23" s="2110">
        <v>125</v>
      </c>
      <c r="O23" s="2109" t="s">
        <v>1253</v>
      </c>
      <c r="P23" s="2108">
        <v>10</v>
      </c>
      <c r="Q23" s="2107">
        <v>1.2E-2</v>
      </c>
      <c r="R23" s="2106">
        <f t="shared" si="1"/>
        <v>0.12</v>
      </c>
      <c r="S23" s="4656"/>
    </row>
    <row r="24" spans="1:19" ht="15.75">
      <c r="A24" s="4656"/>
      <c r="B24" s="2110">
        <v>14</v>
      </c>
      <c r="C24" s="2109" t="s">
        <v>1252</v>
      </c>
      <c r="D24" s="2108">
        <v>10</v>
      </c>
      <c r="E24" s="2107">
        <v>1.4999999999999999E-2</v>
      </c>
      <c r="F24" s="2106">
        <f t="shared" si="3"/>
        <v>0.15</v>
      </c>
      <c r="G24" s="4656"/>
      <c r="H24" s="2114">
        <v>68</v>
      </c>
      <c r="I24" s="2109" t="s">
        <v>1251</v>
      </c>
      <c r="J24" s="2108">
        <v>10</v>
      </c>
      <c r="K24" s="2107">
        <v>0.9</v>
      </c>
      <c r="L24" s="2106">
        <f t="shared" si="2"/>
        <v>9</v>
      </c>
      <c r="M24" s="4656"/>
      <c r="N24" s="2110">
        <v>126</v>
      </c>
      <c r="O24" s="2109" t="s">
        <v>1250</v>
      </c>
      <c r="P24" s="2108">
        <v>10</v>
      </c>
      <c r="Q24" s="2107">
        <v>1.2999999999999999E-2</v>
      </c>
      <c r="R24" s="2106">
        <f t="shared" si="1"/>
        <v>0.13</v>
      </c>
      <c r="S24" s="4656"/>
    </row>
    <row r="25" spans="1:19" ht="15.75">
      <c r="A25" s="4656"/>
      <c r="B25" s="2110">
        <v>15</v>
      </c>
      <c r="C25" s="2109" t="s">
        <v>1249</v>
      </c>
      <c r="D25" s="2108">
        <v>10</v>
      </c>
      <c r="E25" s="2107">
        <v>0.2</v>
      </c>
      <c r="F25" s="2106">
        <f t="shared" si="3"/>
        <v>2</v>
      </c>
      <c r="G25" s="4656"/>
      <c r="H25" s="2114">
        <v>69</v>
      </c>
      <c r="I25" s="2109" t="s">
        <v>1248</v>
      </c>
      <c r="J25" s="2108">
        <v>10</v>
      </c>
      <c r="K25" s="2107">
        <v>0.23</v>
      </c>
      <c r="L25" s="2106">
        <f t="shared" si="2"/>
        <v>2.3000000000000003</v>
      </c>
      <c r="M25" s="4656"/>
      <c r="N25" s="2110">
        <v>127</v>
      </c>
      <c r="O25" s="2109" t="s">
        <v>1247</v>
      </c>
      <c r="P25" s="2108">
        <v>10</v>
      </c>
      <c r="Q25" s="2107">
        <v>0.11</v>
      </c>
      <c r="R25" s="2106">
        <f t="shared" si="1"/>
        <v>1.1000000000000001</v>
      </c>
      <c r="S25" s="4656"/>
    </row>
    <row r="26" spans="1:19" ht="15.75">
      <c r="A26" s="4656"/>
      <c r="B26" s="2110">
        <v>16</v>
      </c>
      <c r="C26" s="2109" t="s">
        <v>1246</v>
      </c>
      <c r="D26" s="2108">
        <v>10</v>
      </c>
      <c r="E26" s="2107">
        <v>0.5</v>
      </c>
      <c r="F26" s="2106">
        <f t="shared" si="3"/>
        <v>5</v>
      </c>
      <c r="G26" s="4656"/>
      <c r="H26" s="2114">
        <v>70</v>
      </c>
      <c r="I26" s="2109" t="s">
        <v>1245</v>
      </c>
      <c r="J26" s="2108">
        <v>10</v>
      </c>
      <c r="K26" s="2107">
        <v>0.23</v>
      </c>
      <c r="L26" s="2106">
        <f t="shared" si="2"/>
        <v>2.3000000000000003</v>
      </c>
      <c r="M26" s="4656"/>
      <c r="N26" s="2110">
        <v>128</v>
      </c>
      <c r="O26" s="2109" t="s">
        <v>1244</v>
      </c>
      <c r="P26" s="2108">
        <v>10</v>
      </c>
      <c r="Q26" s="2107">
        <v>0.13</v>
      </c>
      <c r="R26" s="2106">
        <f t="shared" si="1"/>
        <v>1.3</v>
      </c>
      <c r="S26" s="4656"/>
    </row>
    <row r="27" spans="1:19" ht="15.75">
      <c r="A27" s="4656"/>
      <c r="B27" s="2110">
        <v>17</v>
      </c>
      <c r="C27" s="2109" t="s">
        <v>1243</v>
      </c>
      <c r="D27" s="2108">
        <v>10</v>
      </c>
      <c r="E27" s="2107">
        <v>2.75</v>
      </c>
      <c r="F27" s="2106">
        <f t="shared" si="3"/>
        <v>27.5</v>
      </c>
      <c r="G27" s="4656"/>
      <c r="H27" s="2114">
        <v>71</v>
      </c>
      <c r="I27" s="2109" t="s">
        <v>1242</v>
      </c>
      <c r="J27" s="2108">
        <v>10</v>
      </c>
      <c r="K27" s="2107">
        <v>1.7</v>
      </c>
      <c r="L27" s="2106">
        <f t="shared" si="2"/>
        <v>17</v>
      </c>
      <c r="M27" s="4656"/>
      <c r="N27" s="2110">
        <v>129</v>
      </c>
      <c r="O27" s="2109" t="s">
        <v>1241</v>
      </c>
      <c r="P27" s="2108">
        <v>10</v>
      </c>
      <c r="Q27" s="2107">
        <v>0.28000000000000003</v>
      </c>
      <c r="R27" s="2106">
        <f t="shared" si="1"/>
        <v>2.8000000000000003</v>
      </c>
      <c r="S27" s="4656"/>
    </row>
    <row r="28" spans="1:19" ht="15.75">
      <c r="A28" s="4656"/>
      <c r="B28" s="2110">
        <v>18</v>
      </c>
      <c r="C28" s="2109" t="s">
        <v>1240</v>
      </c>
      <c r="D28" s="2108">
        <v>10</v>
      </c>
      <c r="E28" s="2107">
        <v>6</v>
      </c>
      <c r="F28" s="2106">
        <f t="shared" si="3"/>
        <v>60</v>
      </c>
      <c r="G28" s="4656"/>
      <c r="H28" s="2114">
        <v>72</v>
      </c>
      <c r="I28" s="2109" t="s">
        <v>1239</v>
      </c>
      <c r="J28" s="2108">
        <v>10</v>
      </c>
      <c r="K28" s="2107">
        <v>2.2000000000000002</v>
      </c>
      <c r="L28" s="2106">
        <f t="shared" si="2"/>
        <v>22</v>
      </c>
      <c r="M28" s="4656"/>
      <c r="N28" s="2110">
        <v>130</v>
      </c>
      <c r="O28" s="2109" t="s">
        <v>1238</v>
      </c>
      <c r="P28" s="2108">
        <v>10</v>
      </c>
      <c r="Q28" s="2107">
        <v>0.35</v>
      </c>
      <c r="R28" s="2106">
        <f t="shared" si="1"/>
        <v>3.5</v>
      </c>
      <c r="S28" s="4656"/>
    </row>
    <row r="29" spans="1:19" ht="15.75">
      <c r="A29" s="4656"/>
      <c r="B29" s="2110">
        <v>19</v>
      </c>
      <c r="C29" s="2109" t="s">
        <v>1237</v>
      </c>
      <c r="D29" s="2108">
        <v>10</v>
      </c>
      <c r="E29" s="2107">
        <v>8</v>
      </c>
      <c r="F29" s="2106">
        <f t="shared" si="3"/>
        <v>80</v>
      </c>
      <c r="G29" s="4656"/>
      <c r="H29" s="2114">
        <v>73</v>
      </c>
      <c r="I29" s="2109" t="s">
        <v>1236</v>
      </c>
      <c r="J29" s="2108">
        <v>10</v>
      </c>
      <c r="K29" s="2107">
        <v>2</v>
      </c>
      <c r="L29" s="2106">
        <f t="shared" si="2"/>
        <v>20</v>
      </c>
      <c r="M29" s="4656"/>
      <c r="N29" s="2110">
        <v>131</v>
      </c>
      <c r="O29" s="2109" t="s">
        <v>1235</v>
      </c>
      <c r="P29" s="2108">
        <v>10</v>
      </c>
      <c r="Q29" s="2107">
        <v>0.5</v>
      </c>
      <c r="R29" s="2106">
        <f t="shared" si="1"/>
        <v>5</v>
      </c>
      <c r="S29" s="4656"/>
    </row>
    <row r="30" spans="1:19" ht="20.25">
      <c r="A30" s="4656"/>
      <c r="B30" s="2110">
        <v>20</v>
      </c>
      <c r="C30" s="2109" t="s">
        <v>1234</v>
      </c>
      <c r="D30" s="2108">
        <v>10</v>
      </c>
      <c r="E30" s="2107">
        <v>4.2</v>
      </c>
      <c r="F30" s="2106">
        <f t="shared" si="3"/>
        <v>42</v>
      </c>
      <c r="G30" s="4656"/>
      <c r="H30" s="2114"/>
      <c r="I30" s="2112" t="s">
        <v>1233</v>
      </c>
      <c r="J30" s="2108"/>
      <c r="K30" s="2107"/>
      <c r="L30" s="2106"/>
      <c r="M30" s="4656"/>
      <c r="N30" s="2110">
        <v>132</v>
      </c>
      <c r="O30" s="2109" t="s">
        <v>1230</v>
      </c>
      <c r="P30" s="2108">
        <v>10</v>
      </c>
      <c r="Q30" s="2107">
        <v>0.6</v>
      </c>
      <c r="R30" s="2106">
        <f t="shared" si="1"/>
        <v>6</v>
      </c>
      <c r="S30" s="4656"/>
    </row>
    <row r="31" spans="1:19" ht="15.75">
      <c r="A31" s="4656"/>
      <c r="B31" s="2110">
        <v>21</v>
      </c>
      <c r="C31" s="2109" t="s">
        <v>1232</v>
      </c>
      <c r="D31" s="2108">
        <v>10</v>
      </c>
      <c r="E31" s="2107">
        <v>8.5</v>
      </c>
      <c r="F31" s="2106">
        <f t="shared" si="3"/>
        <v>85</v>
      </c>
      <c r="G31" s="4656"/>
      <c r="H31" s="2110">
        <v>74</v>
      </c>
      <c r="I31" s="2109" t="s">
        <v>1231</v>
      </c>
      <c r="J31" s="2108">
        <v>10</v>
      </c>
      <c r="K31" s="2107">
        <v>8.0000000000000002E-3</v>
      </c>
      <c r="L31" s="2106">
        <f>K31*J31</f>
        <v>0.08</v>
      </c>
      <c r="M31" s="4656"/>
      <c r="N31" s="2110">
        <v>133</v>
      </c>
      <c r="O31" s="2109" t="s">
        <v>1230</v>
      </c>
      <c r="P31" s="2108">
        <v>10</v>
      </c>
      <c r="Q31" s="2107">
        <v>0.8</v>
      </c>
      <c r="R31" s="2106">
        <f t="shared" si="1"/>
        <v>8</v>
      </c>
      <c r="S31" s="4656"/>
    </row>
    <row r="32" spans="1:19" ht="15.75">
      <c r="A32" s="4656"/>
      <c r="B32" s="2110">
        <v>22</v>
      </c>
      <c r="C32" s="2109" t="s">
        <v>1229</v>
      </c>
      <c r="D32" s="2108">
        <v>10</v>
      </c>
      <c r="E32" s="2107">
        <v>4</v>
      </c>
      <c r="F32" s="2106">
        <f t="shared" si="3"/>
        <v>40</v>
      </c>
      <c r="G32" s="4656"/>
      <c r="H32" s="2110">
        <v>75</v>
      </c>
      <c r="I32" s="2109" t="s">
        <v>1228</v>
      </c>
      <c r="J32" s="2108">
        <v>10</v>
      </c>
      <c r="K32" s="2107">
        <v>0.05</v>
      </c>
      <c r="L32" s="2106">
        <f>K32*J32</f>
        <v>0.5</v>
      </c>
      <c r="M32" s="4656"/>
      <c r="N32" s="2110">
        <v>134</v>
      </c>
      <c r="O32" s="2109" t="s">
        <v>1227</v>
      </c>
      <c r="P32" s="2108">
        <v>10</v>
      </c>
      <c r="Q32" s="2107">
        <v>5.0000000000000001E-3</v>
      </c>
      <c r="R32" s="2106">
        <f t="shared" si="1"/>
        <v>0.05</v>
      </c>
      <c r="S32" s="4656"/>
    </row>
    <row r="33" spans="1:19" ht="20.25">
      <c r="A33" s="4656"/>
      <c r="B33" s="2110">
        <v>23</v>
      </c>
      <c r="C33" s="2109" t="s">
        <v>1226</v>
      </c>
      <c r="D33" s="2108">
        <v>10</v>
      </c>
      <c r="E33" s="2107">
        <v>1</v>
      </c>
      <c r="F33" s="2106">
        <f t="shared" si="3"/>
        <v>10</v>
      </c>
      <c r="G33" s="4656"/>
      <c r="H33" s="2113"/>
      <c r="I33" s="2115" t="s">
        <v>1225</v>
      </c>
      <c r="J33" s="2108"/>
      <c r="K33" s="2107"/>
      <c r="L33" s="2106"/>
      <c r="M33" s="4656"/>
      <c r="N33" s="2110">
        <v>135</v>
      </c>
      <c r="O33" s="2109" t="s">
        <v>1224</v>
      </c>
      <c r="P33" s="2108">
        <v>10</v>
      </c>
      <c r="Q33" s="2107">
        <v>5.0000000000000001E-3</v>
      </c>
      <c r="R33" s="2106">
        <f t="shared" si="1"/>
        <v>0.05</v>
      </c>
      <c r="S33" s="4656"/>
    </row>
    <row r="34" spans="1:19" ht="15.75">
      <c r="A34" s="4656"/>
      <c r="B34" s="2110">
        <v>24</v>
      </c>
      <c r="C34" s="2109" t="s">
        <v>1223</v>
      </c>
      <c r="D34" s="2108">
        <v>10</v>
      </c>
      <c r="E34" s="2107">
        <v>8.5</v>
      </c>
      <c r="F34" s="2106">
        <f t="shared" si="3"/>
        <v>85</v>
      </c>
      <c r="G34" s="4656"/>
      <c r="H34" s="2114">
        <v>76</v>
      </c>
      <c r="I34" s="2109" t="s">
        <v>1222</v>
      </c>
      <c r="J34" s="2108">
        <v>10</v>
      </c>
      <c r="K34" s="2107">
        <v>0.03</v>
      </c>
      <c r="L34" s="2106">
        <f t="shared" ref="L34:L45" si="4">K34*J34</f>
        <v>0.3</v>
      </c>
      <c r="M34" s="4656"/>
      <c r="N34" s="2110">
        <v>136</v>
      </c>
      <c r="O34" s="2109" t="s">
        <v>1221</v>
      </c>
      <c r="P34" s="2108">
        <v>10</v>
      </c>
      <c r="Q34" s="2107">
        <v>1.4999999999999999E-2</v>
      </c>
      <c r="R34" s="2106">
        <f t="shared" si="1"/>
        <v>0.15</v>
      </c>
      <c r="S34" s="4656"/>
    </row>
    <row r="35" spans="1:19" ht="15.75">
      <c r="A35" s="4656"/>
      <c r="B35" s="2110">
        <v>25</v>
      </c>
      <c r="C35" s="2109" t="s">
        <v>1220</v>
      </c>
      <c r="D35" s="2108">
        <v>10</v>
      </c>
      <c r="E35" s="2107">
        <v>1.25</v>
      </c>
      <c r="F35" s="2106">
        <f t="shared" si="3"/>
        <v>12.5</v>
      </c>
      <c r="G35" s="4656"/>
      <c r="H35" s="2114">
        <v>77</v>
      </c>
      <c r="I35" s="2109" t="s">
        <v>1219</v>
      </c>
      <c r="J35" s="2108">
        <v>10</v>
      </c>
      <c r="K35" s="2107">
        <v>0.06</v>
      </c>
      <c r="L35" s="2106">
        <f t="shared" si="4"/>
        <v>0.6</v>
      </c>
      <c r="M35" s="4656"/>
      <c r="N35" s="2110">
        <v>137</v>
      </c>
      <c r="O35" s="2109" t="s">
        <v>1218</v>
      </c>
      <c r="P35" s="2108">
        <v>10</v>
      </c>
      <c r="Q35" s="2107">
        <v>0.2</v>
      </c>
      <c r="R35" s="2106">
        <f t="shared" si="1"/>
        <v>2</v>
      </c>
      <c r="S35" s="4656"/>
    </row>
    <row r="36" spans="1:19" ht="20.25">
      <c r="A36" s="4656"/>
      <c r="B36" s="2113"/>
      <c r="C36" s="2115" t="s">
        <v>39</v>
      </c>
      <c r="D36" s="2108"/>
      <c r="E36" s="2107"/>
      <c r="F36" s="2106"/>
      <c r="G36" s="4656"/>
      <c r="H36" s="2114">
        <v>78</v>
      </c>
      <c r="I36" s="2109" t="s">
        <v>1217</v>
      </c>
      <c r="J36" s="2108">
        <v>10</v>
      </c>
      <c r="K36" s="2107">
        <v>0.05</v>
      </c>
      <c r="L36" s="2106">
        <f t="shared" si="4"/>
        <v>0.5</v>
      </c>
      <c r="M36" s="4656"/>
      <c r="N36" s="2110">
        <v>138</v>
      </c>
      <c r="O36" s="2109" t="s">
        <v>1216</v>
      </c>
      <c r="P36" s="2108">
        <v>10</v>
      </c>
      <c r="Q36" s="2107">
        <v>0.15</v>
      </c>
      <c r="R36" s="2106">
        <f t="shared" si="1"/>
        <v>1.5</v>
      </c>
      <c r="S36" s="4656"/>
    </row>
    <row r="37" spans="1:19" ht="20.25">
      <c r="A37" s="4656"/>
      <c r="B37" s="2114">
        <v>26</v>
      </c>
      <c r="C37" s="2109" t="s">
        <v>1215</v>
      </c>
      <c r="D37" s="2108">
        <v>10</v>
      </c>
      <c r="E37" s="2107">
        <v>8.0000000000000002E-3</v>
      </c>
      <c r="F37" s="2106">
        <f t="shared" ref="F37:F54" si="5">E37*D37</f>
        <v>0.08</v>
      </c>
      <c r="G37" s="4656"/>
      <c r="H37" s="2114">
        <v>79</v>
      </c>
      <c r="I37" s="2109" t="s">
        <v>1214</v>
      </c>
      <c r="J37" s="2108">
        <v>10</v>
      </c>
      <c r="K37" s="2107">
        <v>0.04</v>
      </c>
      <c r="L37" s="2106">
        <f t="shared" si="4"/>
        <v>0.4</v>
      </c>
      <c r="M37" s="4656"/>
      <c r="N37" s="2113"/>
      <c r="O37" s="2115" t="s">
        <v>1213</v>
      </c>
      <c r="P37" s="2108"/>
      <c r="Q37" s="2107"/>
      <c r="R37" s="2106"/>
      <c r="S37" s="4656"/>
    </row>
    <row r="38" spans="1:19" ht="15.75">
      <c r="A38" s="4656"/>
      <c r="B38" s="2114">
        <v>27</v>
      </c>
      <c r="C38" s="2109" t="s">
        <v>1212</v>
      </c>
      <c r="D38" s="2108">
        <v>10</v>
      </c>
      <c r="E38" s="2107">
        <v>0.12</v>
      </c>
      <c r="F38" s="2106">
        <f t="shared" si="5"/>
        <v>1.2</v>
      </c>
      <c r="G38" s="4656"/>
      <c r="H38" s="2114">
        <v>80</v>
      </c>
      <c r="I38" s="2109" t="s">
        <v>1211</v>
      </c>
      <c r="J38" s="2108">
        <v>12</v>
      </c>
      <c r="K38" s="2107">
        <v>0.05</v>
      </c>
      <c r="L38" s="2106">
        <f t="shared" si="4"/>
        <v>0.60000000000000009</v>
      </c>
      <c r="M38" s="4656"/>
      <c r="N38" s="2114">
        <v>139</v>
      </c>
      <c r="O38" s="2109" t="s">
        <v>1210</v>
      </c>
      <c r="P38" s="2108">
        <v>10</v>
      </c>
      <c r="Q38" s="2107">
        <v>0.1</v>
      </c>
      <c r="R38" s="2106">
        <f t="shared" ref="R38:R49" si="6">Q38*P38</f>
        <v>1</v>
      </c>
      <c r="S38" s="4656"/>
    </row>
    <row r="39" spans="1:19" ht="15.75">
      <c r="A39" s="4656"/>
      <c r="B39" s="2114">
        <v>28</v>
      </c>
      <c r="C39" s="2109" t="s">
        <v>1209</v>
      </c>
      <c r="D39" s="2108">
        <v>10</v>
      </c>
      <c r="E39" s="2107">
        <v>1.5</v>
      </c>
      <c r="F39" s="2106">
        <f t="shared" si="5"/>
        <v>15</v>
      </c>
      <c r="G39" s="4656"/>
      <c r="H39" s="2114">
        <v>81</v>
      </c>
      <c r="I39" s="2109" t="s">
        <v>1208</v>
      </c>
      <c r="J39" s="2108">
        <v>10</v>
      </c>
      <c r="K39" s="2107">
        <v>0.03</v>
      </c>
      <c r="L39" s="2106">
        <f t="shared" si="4"/>
        <v>0.3</v>
      </c>
      <c r="M39" s="4656"/>
      <c r="N39" s="2114">
        <v>140</v>
      </c>
      <c r="O39" s="2109" t="s">
        <v>1207</v>
      </c>
      <c r="P39" s="2108">
        <v>10</v>
      </c>
      <c r="Q39" s="2107">
        <v>0.08</v>
      </c>
      <c r="R39" s="2106">
        <f t="shared" si="6"/>
        <v>0.8</v>
      </c>
      <c r="S39" s="4656"/>
    </row>
    <row r="40" spans="1:19" ht="15.75">
      <c r="A40" s="4656"/>
      <c r="B40" s="2114">
        <v>29</v>
      </c>
      <c r="C40" s="2109" t="s">
        <v>1206</v>
      </c>
      <c r="D40" s="2108">
        <v>10</v>
      </c>
      <c r="E40" s="2107">
        <v>0.12</v>
      </c>
      <c r="F40" s="2106">
        <f t="shared" si="5"/>
        <v>1.2</v>
      </c>
      <c r="G40" s="4656"/>
      <c r="H40" s="2114">
        <v>82</v>
      </c>
      <c r="I40" s="2109" t="s">
        <v>1205</v>
      </c>
      <c r="J40" s="2108">
        <v>10</v>
      </c>
      <c r="K40" s="2107">
        <v>0.05</v>
      </c>
      <c r="L40" s="2106">
        <f t="shared" si="4"/>
        <v>0.5</v>
      </c>
      <c r="M40" s="4656"/>
      <c r="N40" s="2114">
        <v>141</v>
      </c>
      <c r="O40" s="2109" t="s">
        <v>1204</v>
      </c>
      <c r="P40" s="2108">
        <v>10</v>
      </c>
      <c r="Q40" s="2107">
        <v>0.26</v>
      </c>
      <c r="R40" s="2106">
        <f t="shared" si="6"/>
        <v>2.6</v>
      </c>
      <c r="S40" s="4656"/>
    </row>
    <row r="41" spans="1:19" ht="15.75">
      <c r="A41" s="4656"/>
      <c r="B41" s="2114">
        <v>30</v>
      </c>
      <c r="C41" s="2109" t="s">
        <v>1203</v>
      </c>
      <c r="D41" s="2108">
        <v>10</v>
      </c>
      <c r="E41" s="2107">
        <v>3.5000000000000003E-2</v>
      </c>
      <c r="F41" s="2106">
        <f t="shared" si="5"/>
        <v>0.35000000000000003</v>
      </c>
      <c r="G41" s="4656"/>
      <c r="H41" s="2114">
        <v>83</v>
      </c>
      <c r="I41" s="2109" t="s">
        <v>1202</v>
      </c>
      <c r="J41" s="2108">
        <v>10</v>
      </c>
      <c r="K41" s="2107">
        <v>0.02</v>
      </c>
      <c r="L41" s="2106">
        <f t="shared" si="4"/>
        <v>0.2</v>
      </c>
      <c r="M41" s="4656"/>
      <c r="N41" s="2114">
        <v>142</v>
      </c>
      <c r="O41" s="2109" t="s">
        <v>1201</v>
      </c>
      <c r="P41" s="2108">
        <v>10</v>
      </c>
      <c r="Q41" s="2107">
        <v>0.16</v>
      </c>
      <c r="R41" s="2106">
        <f t="shared" si="6"/>
        <v>1.6</v>
      </c>
      <c r="S41" s="4656"/>
    </row>
    <row r="42" spans="1:19" ht="15.75">
      <c r="A42" s="4656"/>
      <c r="B42" s="2114">
        <v>31</v>
      </c>
      <c r="C42" s="2109" t="s">
        <v>1200</v>
      </c>
      <c r="D42" s="2108">
        <v>10</v>
      </c>
      <c r="E42" s="2107">
        <v>1</v>
      </c>
      <c r="F42" s="2106">
        <f t="shared" si="5"/>
        <v>10</v>
      </c>
      <c r="G42" s="4656"/>
      <c r="H42" s="2114">
        <v>84</v>
      </c>
      <c r="I42" s="2109" t="s">
        <v>1199</v>
      </c>
      <c r="J42" s="2108">
        <v>10</v>
      </c>
      <c r="K42" s="2107">
        <v>7.0000000000000007E-2</v>
      </c>
      <c r="L42" s="2106">
        <f t="shared" si="4"/>
        <v>0.70000000000000007</v>
      </c>
      <c r="M42" s="4656"/>
      <c r="N42" s="2114">
        <v>143</v>
      </c>
      <c r="O42" s="2109" t="s">
        <v>1198</v>
      </c>
      <c r="P42" s="2108">
        <v>10</v>
      </c>
      <c r="Q42" s="2107">
        <v>0.43</v>
      </c>
      <c r="R42" s="2106">
        <f t="shared" si="6"/>
        <v>4.3</v>
      </c>
      <c r="S42" s="4656"/>
    </row>
    <row r="43" spans="1:19" ht="15.75">
      <c r="A43" s="4656"/>
      <c r="B43" s="2114">
        <v>32</v>
      </c>
      <c r="C43" s="2109" t="s">
        <v>1197</v>
      </c>
      <c r="D43" s="2108">
        <v>10</v>
      </c>
      <c r="E43" s="2107">
        <v>6.5000000000000002E-2</v>
      </c>
      <c r="F43" s="2106">
        <f t="shared" si="5"/>
        <v>0.65</v>
      </c>
      <c r="G43" s="4656"/>
      <c r="H43" s="2114">
        <v>85</v>
      </c>
      <c r="I43" s="2109" t="s">
        <v>1196</v>
      </c>
      <c r="J43" s="2108">
        <v>10</v>
      </c>
      <c r="K43" s="2107">
        <v>4.0000000000000001E-3</v>
      </c>
      <c r="L43" s="2106">
        <f t="shared" si="4"/>
        <v>0.04</v>
      </c>
      <c r="M43" s="4656"/>
      <c r="N43" s="2114">
        <v>144</v>
      </c>
      <c r="O43" s="2109" t="s">
        <v>1195</v>
      </c>
      <c r="P43" s="2108">
        <v>10</v>
      </c>
      <c r="Q43" s="2107">
        <v>5.1999999999999998E-2</v>
      </c>
      <c r="R43" s="2106">
        <f t="shared" si="6"/>
        <v>0.52</v>
      </c>
      <c r="S43" s="4656"/>
    </row>
    <row r="44" spans="1:19" ht="15.75">
      <c r="A44" s="4656"/>
      <c r="B44" s="2114">
        <v>33</v>
      </c>
      <c r="C44" s="2109" t="s">
        <v>1194</v>
      </c>
      <c r="D44" s="2108">
        <v>10</v>
      </c>
      <c r="E44" s="2107">
        <v>1.5</v>
      </c>
      <c r="F44" s="2106">
        <f t="shared" si="5"/>
        <v>15</v>
      </c>
      <c r="G44" s="4656"/>
      <c r="H44" s="2114">
        <v>86</v>
      </c>
      <c r="I44" s="2109" t="s">
        <v>1193</v>
      </c>
      <c r="J44" s="2108">
        <v>10</v>
      </c>
      <c r="K44" s="2107">
        <v>0.24</v>
      </c>
      <c r="L44" s="2106">
        <f t="shared" si="4"/>
        <v>2.4</v>
      </c>
      <c r="M44" s="4656"/>
      <c r="N44" s="2114">
        <v>145</v>
      </c>
      <c r="O44" s="2109" t="s">
        <v>1192</v>
      </c>
      <c r="P44" s="2108">
        <v>10</v>
      </c>
      <c r="Q44" s="2107">
        <v>0.11799999999999999</v>
      </c>
      <c r="R44" s="2106">
        <f t="shared" si="6"/>
        <v>1.18</v>
      </c>
      <c r="S44" s="4656"/>
    </row>
    <row r="45" spans="1:19" ht="15.75">
      <c r="A45" s="4656"/>
      <c r="B45" s="2114">
        <v>34</v>
      </c>
      <c r="C45" s="2109" t="s">
        <v>1191</v>
      </c>
      <c r="D45" s="2108">
        <v>10</v>
      </c>
      <c r="E45" s="2107">
        <v>2</v>
      </c>
      <c r="F45" s="2106">
        <f t="shared" si="5"/>
        <v>20</v>
      </c>
      <c r="G45" s="4656"/>
      <c r="H45" s="2114">
        <v>87</v>
      </c>
      <c r="I45" s="2109" t="s">
        <v>1190</v>
      </c>
      <c r="J45" s="2108">
        <v>10</v>
      </c>
      <c r="K45" s="2107">
        <v>0.14000000000000001</v>
      </c>
      <c r="L45" s="2106">
        <f t="shared" si="4"/>
        <v>1.4000000000000001</v>
      </c>
      <c r="M45" s="4656"/>
      <c r="N45" s="2114">
        <v>146</v>
      </c>
      <c r="O45" s="2109" t="s">
        <v>1189</v>
      </c>
      <c r="P45" s="2108">
        <v>10</v>
      </c>
      <c r="Q45" s="2107">
        <v>0.11</v>
      </c>
      <c r="R45" s="2106">
        <f t="shared" si="6"/>
        <v>1.1000000000000001</v>
      </c>
      <c r="S45" s="4656"/>
    </row>
    <row r="46" spans="1:19" ht="20.25">
      <c r="A46" s="4656"/>
      <c r="B46" s="2114">
        <v>35</v>
      </c>
      <c r="C46" s="2109" t="s">
        <v>1188</v>
      </c>
      <c r="D46" s="2108">
        <v>10</v>
      </c>
      <c r="E46" s="2107">
        <v>0.08</v>
      </c>
      <c r="F46" s="2106">
        <f t="shared" si="5"/>
        <v>0.8</v>
      </c>
      <c r="G46" s="4656"/>
      <c r="H46" s="2113"/>
      <c r="I46" s="2112" t="s">
        <v>54</v>
      </c>
      <c r="J46" s="2108"/>
      <c r="K46" s="2107"/>
      <c r="L46" s="2106"/>
      <c r="M46" s="4656"/>
      <c r="N46" s="2114">
        <v>147</v>
      </c>
      <c r="O46" s="2109" t="s">
        <v>1187</v>
      </c>
      <c r="P46" s="2108">
        <v>10</v>
      </c>
      <c r="Q46" s="2107">
        <v>0.05</v>
      </c>
      <c r="R46" s="2106">
        <f t="shared" si="6"/>
        <v>0.5</v>
      </c>
      <c r="S46" s="4656"/>
    </row>
    <row r="47" spans="1:19" ht="15.75">
      <c r="A47" s="4656"/>
      <c r="B47" s="2114">
        <v>36</v>
      </c>
      <c r="C47" s="2109" t="s">
        <v>1186</v>
      </c>
      <c r="D47" s="2108">
        <v>10</v>
      </c>
      <c r="E47" s="2107">
        <v>7.0000000000000007E-2</v>
      </c>
      <c r="F47" s="2106">
        <f t="shared" si="5"/>
        <v>0.70000000000000007</v>
      </c>
      <c r="G47" s="4656"/>
      <c r="H47" s="2110">
        <v>88</v>
      </c>
      <c r="I47" s="2109" t="s">
        <v>1185</v>
      </c>
      <c r="J47" s="2108">
        <v>10</v>
      </c>
      <c r="K47" s="2107">
        <v>0.4</v>
      </c>
      <c r="L47" s="2106">
        <f t="shared" ref="L47:L71" si="7">K47*J47</f>
        <v>4</v>
      </c>
      <c r="M47" s="4656"/>
      <c r="N47" s="2114">
        <v>148</v>
      </c>
      <c r="O47" s="2109" t="s">
        <v>1184</v>
      </c>
      <c r="P47" s="2108">
        <v>10</v>
      </c>
      <c r="Q47" s="2107">
        <v>0.05</v>
      </c>
      <c r="R47" s="2106">
        <f t="shared" si="6"/>
        <v>0.5</v>
      </c>
      <c r="S47" s="4656"/>
    </row>
    <row r="48" spans="1:19" ht="15.75">
      <c r="A48" s="4656"/>
      <c r="B48" s="2114">
        <v>37</v>
      </c>
      <c r="C48" s="2109" t="s">
        <v>1183</v>
      </c>
      <c r="D48" s="2108">
        <v>10</v>
      </c>
      <c r="E48" s="2107">
        <v>2</v>
      </c>
      <c r="F48" s="2106">
        <f t="shared" si="5"/>
        <v>20</v>
      </c>
      <c r="G48" s="4656"/>
      <c r="H48" s="2110">
        <v>89</v>
      </c>
      <c r="I48" s="2109" t="s">
        <v>1182</v>
      </c>
      <c r="J48" s="2108">
        <v>10</v>
      </c>
      <c r="K48" s="2107">
        <v>0.12</v>
      </c>
      <c r="L48" s="2106">
        <f t="shared" si="7"/>
        <v>1.2</v>
      </c>
      <c r="M48" s="4656"/>
      <c r="N48" s="2114">
        <v>149</v>
      </c>
      <c r="O48" s="2109" t="s">
        <v>1181</v>
      </c>
      <c r="P48" s="2108">
        <v>10</v>
      </c>
      <c r="Q48" s="2107">
        <v>0.25</v>
      </c>
      <c r="R48" s="2106">
        <f t="shared" si="6"/>
        <v>2.5</v>
      </c>
      <c r="S48" s="4656"/>
    </row>
    <row r="49" spans="1:19" ht="15.75">
      <c r="A49" s="4656"/>
      <c r="B49" s="2114">
        <v>38</v>
      </c>
      <c r="C49" s="2109" t="s">
        <v>1180</v>
      </c>
      <c r="D49" s="2108">
        <v>10</v>
      </c>
      <c r="E49" s="2107">
        <v>0.2</v>
      </c>
      <c r="F49" s="2106">
        <f t="shared" si="5"/>
        <v>2</v>
      </c>
      <c r="G49" s="4656"/>
      <c r="H49" s="2110">
        <v>90</v>
      </c>
      <c r="I49" s="2109" t="s">
        <v>1179</v>
      </c>
      <c r="J49" s="2108">
        <v>10</v>
      </c>
      <c r="K49" s="2107">
        <v>1</v>
      </c>
      <c r="L49" s="2106">
        <f t="shared" si="7"/>
        <v>10</v>
      </c>
      <c r="M49" s="4656"/>
      <c r="N49" s="2114">
        <v>150</v>
      </c>
      <c r="O49" s="2109" t="s">
        <v>1178</v>
      </c>
      <c r="P49" s="2108">
        <v>10</v>
      </c>
      <c r="Q49" s="2107">
        <v>3.5</v>
      </c>
      <c r="R49" s="2106">
        <f t="shared" si="6"/>
        <v>35</v>
      </c>
      <c r="S49" s="4656"/>
    </row>
    <row r="50" spans="1:19" ht="20.25">
      <c r="A50" s="4656"/>
      <c r="B50" s="2114">
        <v>39</v>
      </c>
      <c r="C50" s="2109" t="s">
        <v>1177</v>
      </c>
      <c r="D50" s="2108">
        <v>10</v>
      </c>
      <c r="E50" s="2107">
        <v>0.12</v>
      </c>
      <c r="F50" s="2106">
        <f t="shared" si="5"/>
        <v>1.2</v>
      </c>
      <c r="G50" s="4656"/>
      <c r="H50" s="2110">
        <v>91</v>
      </c>
      <c r="I50" s="2109" t="s">
        <v>1176</v>
      </c>
      <c r="J50" s="2108">
        <v>10</v>
      </c>
      <c r="K50" s="2107">
        <v>0.2</v>
      </c>
      <c r="L50" s="2106">
        <f t="shared" si="7"/>
        <v>2</v>
      </c>
      <c r="M50" s="4656"/>
      <c r="N50" s="2113"/>
      <c r="O50" s="2112" t="s">
        <v>1175</v>
      </c>
      <c r="P50" s="2108"/>
      <c r="Q50" s="2107"/>
      <c r="R50" s="2106"/>
      <c r="S50" s="4656"/>
    </row>
    <row r="51" spans="1:19" ht="15.75">
      <c r="A51" s="4656"/>
      <c r="B51" s="2114">
        <v>40</v>
      </c>
      <c r="C51" s="2109" t="s">
        <v>1174</v>
      </c>
      <c r="D51" s="2108">
        <v>10</v>
      </c>
      <c r="E51" s="2107">
        <v>0.35</v>
      </c>
      <c r="F51" s="2106">
        <f t="shared" si="5"/>
        <v>3.5</v>
      </c>
      <c r="G51" s="4656"/>
      <c r="H51" s="2110">
        <v>92</v>
      </c>
      <c r="I51" s="2109" t="s">
        <v>1173</v>
      </c>
      <c r="J51" s="2108">
        <v>10</v>
      </c>
      <c r="K51" s="2107">
        <v>0.04</v>
      </c>
      <c r="L51" s="2106">
        <f t="shared" si="7"/>
        <v>0.4</v>
      </c>
      <c r="M51" s="4656"/>
      <c r="N51" s="2110">
        <v>151</v>
      </c>
      <c r="O51" s="2109" t="s">
        <v>1172</v>
      </c>
      <c r="P51" s="2108">
        <v>10</v>
      </c>
      <c r="Q51" s="2107">
        <v>2.2000000000000002</v>
      </c>
      <c r="R51" s="2106">
        <f t="shared" ref="R51:R61" si="8">Q51*P51</f>
        <v>22</v>
      </c>
      <c r="S51" s="4656"/>
    </row>
    <row r="52" spans="1:19" ht="15.75">
      <c r="A52" s="4656"/>
      <c r="B52" s="2114">
        <v>41</v>
      </c>
      <c r="C52" s="2109" t="s">
        <v>1171</v>
      </c>
      <c r="D52" s="2108">
        <v>10</v>
      </c>
      <c r="E52" s="2107">
        <v>0.2</v>
      </c>
      <c r="F52" s="2106">
        <f t="shared" si="5"/>
        <v>2</v>
      </c>
      <c r="G52" s="4656"/>
      <c r="H52" s="2110">
        <v>93</v>
      </c>
      <c r="I52" s="2109" t="s">
        <v>1170</v>
      </c>
      <c r="J52" s="2108">
        <v>10</v>
      </c>
      <c r="K52" s="2107">
        <v>0.15</v>
      </c>
      <c r="L52" s="2106">
        <f t="shared" si="7"/>
        <v>1.5</v>
      </c>
      <c r="M52" s="4656"/>
      <c r="N52" s="2110">
        <v>152</v>
      </c>
      <c r="O52" s="2109" t="s">
        <v>1169</v>
      </c>
      <c r="P52" s="2108">
        <v>10</v>
      </c>
      <c r="Q52" s="2107">
        <v>2</v>
      </c>
      <c r="R52" s="2106">
        <f t="shared" si="8"/>
        <v>20</v>
      </c>
      <c r="S52" s="4656"/>
    </row>
    <row r="53" spans="1:19" ht="15.75">
      <c r="A53" s="4656"/>
      <c r="B53" s="2114">
        <v>42</v>
      </c>
      <c r="C53" s="2109" t="s">
        <v>1168</v>
      </c>
      <c r="D53" s="2108">
        <v>10</v>
      </c>
      <c r="E53" s="2107">
        <v>5.0000000000000001E-3</v>
      </c>
      <c r="F53" s="2106">
        <f t="shared" si="5"/>
        <v>0.05</v>
      </c>
      <c r="G53" s="4656"/>
      <c r="H53" s="2110">
        <v>94</v>
      </c>
      <c r="I53" s="2109" t="s">
        <v>1167</v>
      </c>
      <c r="J53" s="2108">
        <v>10</v>
      </c>
      <c r="K53" s="2107">
        <v>0.15</v>
      </c>
      <c r="L53" s="2106">
        <f t="shared" si="7"/>
        <v>1.5</v>
      </c>
      <c r="M53" s="4656"/>
      <c r="N53" s="2110">
        <v>153</v>
      </c>
      <c r="O53" s="2109" t="s">
        <v>1166</v>
      </c>
      <c r="P53" s="2108">
        <v>10</v>
      </c>
      <c r="Q53" s="2107">
        <v>0.3</v>
      </c>
      <c r="R53" s="2106">
        <f t="shared" si="8"/>
        <v>3</v>
      </c>
      <c r="S53" s="4656"/>
    </row>
    <row r="54" spans="1:19" ht="15.75">
      <c r="A54" s="4656"/>
      <c r="B54" s="2114">
        <v>43</v>
      </c>
      <c r="C54" s="2109" t="s">
        <v>1165</v>
      </c>
      <c r="D54" s="2108">
        <v>10</v>
      </c>
      <c r="E54" s="2107">
        <v>0.01</v>
      </c>
      <c r="F54" s="2106">
        <f t="shared" si="5"/>
        <v>0.1</v>
      </c>
      <c r="G54" s="4656"/>
      <c r="H54" s="2110">
        <v>95</v>
      </c>
      <c r="I54" s="2109" t="s">
        <v>1164</v>
      </c>
      <c r="J54" s="2108">
        <v>10</v>
      </c>
      <c r="K54" s="2107">
        <v>0.2</v>
      </c>
      <c r="L54" s="2106">
        <f t="shared" si="7"/>
        <v>2</v>
      </c>
      <c r="M54" s="4656"/>
      <c r="N54" s="2110">
        <v>154</v>
      </c>
      <c r="O54" s="2109" t="s">
        <v>1163</v>
      </c>
      <c r="P54" s="2108">
        <v>10</v>
      </c>
      <c r="Q54" s="2107">
        <v>0.9</v>
      </c>
      <c r="R54" s="2106">
        <f t="shared" si="8"/>
        <v>9</v>
      </c>
      <c r="S54" s="4656"/>
    </row>
    <row r="55" spans="1:19" ht="20.25">
      <c r="A55" s="4656"/>
      <c r="B55" s="2114"/>
      <c r="C55" s="2112" t="s">
        <v>52</v>
      </c>
      <c r="D55" s="2108"/>
      <c r="E55" s="2107"/>
      <c r="F55" s="2106"/>
      <c r="G55" s="4656"/>
      <c r="H55" s="2110">
        <v>96</v>
      </c>
      <c r="I55" s="2109" t="s">
        <v>1162</v>
      </c>
      <c r="J55" s="2108">
        <v>10</v>
      </c>
      <c r="K55" s="2107">
        <v>0.14000000000000001</v>
      </c>
      <c r="L55" s="2106">
        <f t="shared" si="7"/>
        <v>1.4000000000000001</v>
      </c>
      <c r="M55" s="4656"/>
      <c r="N55" s="2110">
        <v>155</v>
      </c>
      <c r="O55" s="2109" t="s">
        <v>1161</v>
      </c>
      <c r="P55" s="2108">
        <v>10</v>
      </c>
      <c r="Q55" s="2107">
        <v>3.5</v>
      </c>
      <c r="R55" s="2106">
        <f t="shared" si="8"/>
        <v>35</v>
      </c>
      <c r="S55" s="4656"/>
    </row>
    <row r="56" spans="1:19" ht="15.75">
      <c r="A56" s="4656"/>
      <c r="B56" s="2110">
        <v>44</v>
      </c>
      <c r="C56" s="2109" t="s">
        <v>1160</v>
      </c>
      <c r="D56" s="2108">
        <v>10</v>
      </c>
      <c r="E56" s="2107">
        <v>0.6</v>
      </c>
      <c r="F56" s="2106">
        <f>E56*D56</f>
        <v>6</v>
      </c>
      <c r="G56" s="4656"/>
      <c r="H56" s="2110">
        <v>97</v>
      </c>
      <c r="I56" s="2109" t="s">
        <v>1159</v>
      </c>
      <c r="J56" s="2108">
        <v>10</v>
      </c>
      <c r="K56" s="2107">
        <v>0.1</v>
      </c>
      <c r="L56" s="2106">
        <f t="shared" si="7"/>
        <v>1</v>
      </c>
      <c r="M56" s="4656"/>
      <c r="N56" s="2110">
        <v>156</v>
      </c>
      <c r="O56" s="2109" t="s">
        <v>1158</v>
      </c>
      <c r="P56" s="2108">
        <v>10</v>
      </c>
      <c r="Q56" s="2107">
        <v>1.2</v>
      </c>
      <c r="R56" s="2106">
        <f t="shared" si="8"/>
        <v>12</v>
      </c>
      <c r="S56" s="4656"/>
    </row>
    <row r="57" spans="1:19" ht="20.25">
      <c r="A57" s="4656"/>
      <c r="B57" s="2110"/>
      <c r="C57" s="2115" t="s">
        <v>771</v>
      </c>
      <c r="D57" s="2108"/>
      <c r="E57" s="2107"/>
      <c r="F57" s="2106"/>
      <c r="G57" s="4656"/>
      <c r="H57" s="2110">
        <v>98</v>
      </c>
      <c r="I57" s="2109" t="s">
        <v>1157</v>
      </c>
      <c r="J57" s="2108">
        <v>10</v>
      </c>
      <c r="K57" s="2107">
        <v>0.15</v>
      </c>
      <c r="L57" s="2106">
        <f t="shared" si="7"/>
        <v>1.5</v>
      </c>
      <c r="M57" s="4656"/>
      <c r="N57" s="2110">
        <v>157</v>
      </c>
      <c r="O57" s="2109" t="s">
        <v>1156</v>
      </c>
      <c r="P57" s="2108">
        <v>10</v>
      </c>
      <c r="Q57" s="2107">
        <v>3.1</v>
      </c>
      <c r="R57" s="2106">
        <f t="shared" si="8"/>
        <v>31</v>
      </c>
      <c r="S57" s="4656"/>
    </row>
    <row r="58" spans="1:19" ht="15.75">
      <c r="A58" s="4656"/>
      <c r="B58" s="2114">
        <v>45</v>
      </c>
      <c r="C58" s="2109" t="s">
        <v>1155</v>
      </c>
      <c r="D58" s="2108">
        <v>10</v>
      </c>
      <c r="E58" s="2107">
        <v>0.2</v>
      </c>
      <c r="F58" s="2106">
        <f>E58*D58</f>
        <v>2</v>
      </c>
      <c r="G58" s="4656"/>
      <c r="H58" s="2110">
        <v>99</v>
      </c>
      <c r="I58" s="2109" t="s">
        <v>1154</v>
      </c>
      <c r="J58" s="2108">
        <v>10</v>
      </c>
      <c r="K58" s="2107">
        <v>0.1</v>
      </c>
      <c r="L58" s="2106">
        <f t="shared" si="7"/>
        <v>1</v>
      </c>
      <c r="M58" s="4656"/>
      <c r="N58" s="2110">
        <v>158</v>
      </c>
      <c r="O58" s="2109" t="s">
        <v>1153</v>
      </c>
      <c r="P58" s="2108">
        <v>10</v>
      </c>
      <c r="Q58" s="2107">
        <v>2.65</v>
      </c>
      <c r="R58" s="2106">
        <f t="shared" si="8"/>
        <v>26.5</v>
      </c>
      <c r="S58" s="4656"/>
    </row>
    <row r="59" spans="1:19" ht="15.75">
      <c r="A59" s="4656"/>
      <c r="B59" s="2114">
        <v>46</v>
      </c>
      <c r="C59" s="2109" t="s">
        <v>1152</v>
      </c>
      <c r="D59" s="2108">
        <v>10</v>
      </c>
      <c r="E59" s="2107">
        <v>2.5000000000000001E-2</v>
      </c>
      <c r="F59" s="2106">
        <f>E59*D59</f>
        <v>0.25</v>
      </c>
      <c r="G59" s="4656"/>
      <c r="H59" s="2110">
        <v>100</v>
      </c>
      <c r="I59" s="2109" t="s">
        <v>1151</v>
      </c>
      <c r="J59" s="2108">
        <v>10</v>
      </c>
      <c r="K59" s="2107">
        <v>0.2</v>
      </c>
      <c r="L59" s="2106">
        <f t="shared" si="7"/>
        <v>2</v>
      </c>
      <c r="M59" s="4656"/>
      <c r="N59" s="2110">
        <v>159</v>
      </c>
      <c r="O59" s="2109" t="s">
        <v>1150</v>
      </c>
      <c r="P59" s="2108">
        <v>10</v>
      </c>
      <c r="Q59" s="2107">
        <v>0.75</v>
      </c>
      <c r="R59" s="2106">
        <f t="shared" si="8"/>
        <v>7.5</v>
      </c>
      <c r="S59" s="4656"/>
    </row>
    <row r="60" spans="1:19" ht="15.75">
      <c r="A60" s="4656"/>
      <c r="B60" s="2114">
        <v>47</v>
      </c>
      <c r="C60" s="2109" t="s">
        <v>1149</v>
      </c>
      <c r="D60" s="2108">
        <v>10</v>
      </c>
      <c r="E60" s="2107">
        <v>1.7999999999999999E-2</v>
      </c>
      <c r="F60" s="2106">
        <f>E60*D60</f>
        <v>0.18</v>
      </c>
      <c r="G60" s="4656"/>
      <c r="H60" s="2110">
        <v>101</v>
      </c>
      <c r="I60" s="2109" t="s">
        <v>1148</v>
      </c>
      <c r="J60" s="2108">
        <v>10</v>
      </c>
      <c r="K60" s="2107">
        <v>0.12</v>
      </c>
      <c r="L60" s="2106">
        <f t="shared" si="7"/>
        <v>1.2</v>
      </c>
      <c r="M60" s="4656"/>
      <c r="N60" s="2110">
        <v>160</v>
      </c>
      <c r="O60" s="2109" t="s">
        <v>1147</v>
      </c>
      <c r="P60" s="2108">
        <v>10</v>
      </c>
      <c r="Q60" s="2107">
        <v>0.35</v>
      </c>
      <c r="R60" s="2106">
        <f t="shared" si="8"/>
        <v>3.5</v>
      </c>
      <c r="S60" s="4656"/>
    </row>
    <row r="61" spans="1:19" ht="15.75">
      <c r="A61" s="4656"/>
      <c r="B61" s="2114">
        <v>48</v>
      </c>
      <c r="C61" s="2109" t="s">
        <v>1146</v>
      </c>
      <c r="D61" s="2108">
        <v>10</v>
      </c>
      <c r="E61" s="2107">
        <v>0.01</v>
      </c>
      <c r="F61" s="2106">
        <f>E61*D61</f>
        <v>0.1</v>
      </c>
      <c r="G61" s="4656"/>
      <c r="H61" s="2110">
        <v>102</v>
      </c>
      <c r="I61" s="2109" t="s">
        <v>1145</v>
      </c>
      <c r="J61" s="2108">
        <v>10</v>
      </c>
      <c r="K61" s="2107">
        <v>0.08</v>
      </c>
      <c r="L61" s="2106">
        <f t="shared" si="7"/>
        <v>0.8</v>
      </c>
      <c r="M61" s="4656"/>
      <c r="N61" s="2110">
        <v>161</v>
      </c>
      <c r="O61" s="2109" t="s">
        <v>1144</v>
      </c>
      <c r="P61" s="2108">
        <v>10</v>
      </c>
      <c r="Q61" s="2107">
        <v>6.2</v>
      </c>
      <c r="R61" s="2106">
        <f t="shared" si="8"/>
        <v>62</v>
      </c>
      <c r="S61" s="4656"/>
    </row>
    <row r="62" spans="1:19" ht="15.75">
      <c r="A62" s="4656"/>
      <c r="B62" s="2114">
        <v>49</v>
      </c>
      <c r="C62" s="2109" t="s">
        <v>1143</v>
      </c>
      <c r="D62" s="2108">
        <v>10</v>
      </c>
      <c r="E62" s="2107">
        <v>3.5000000000000003E-2</v>
      </c>
      <c r="F62" s="2106">
        <f>E62*D62</f>
        <v>0.35000000000000003</v>
      </c>
      <c r="G62" s="4656"/>
      <c r="H62" s="2110">
        <v>103</v>
      </c>
      <c r="I62" s="2109" t="s">
        <v>1142</v>
      </c>
      <c r="J62" s="2108">
        <v>10</v>
      </c>
      <c r="K62" s="2107">
        <v>0.22500000000000001</v>
      </c>
      <c r="L62" s="2106">
        <f t="shared" si="7"/>
        <v>2.25</v>
      </c>
      <c r="M62" s="4656"/>
      <c r="P62" s="2111"/>
      <c r="Q62" s="2111"/>
      <c r="R62" s="2111"/>
      <c r="S62" s="4656"/>
    </row>
    <row r="63" spans="1:19" ht="20.25">
      <c r="A63" s="4656"/>
      <c r="B63" s="2113"/>
      <c r="C63" s="2112" t="s">
        <v>874</v>
      </c>
      <c r="D63" s="2108"/>
      <c r="E63" s="2107"/>
      <c r="F63" s="2106"/>
      <c r="G63" s="4656"/>
      <c r="H63" s="2110">
        <v>104</v>
      </c>
      <c r="I63" s="2109" t="s">
        <v>1141</v>
      </c>
      <c r="J63" s="2108">
        <v>10</v>
      </c>
      <c r="K63" s="2107">
        <v>0.22500000000000001</v>
      </c>
      <c r="L63" s="2106">
        <f t="shared" si="7"/>
        <v>2.25</v>
      </c>
      <c r="M63" s="4656"/>
      <c r="P63" s="2111"/>
      <c r="Q63" s="2111"/>
      <c r="R63" s="2111"/>
      <c r="S63" s="4656"/>
    </row>
    <row r="64" spans="1:19" ht="15.75">
      <c r="A64" s="4656"/>
      <c r="B64" s="2110">
        <v>50</v>
      </c>
      <c r="C64" s="2109" t="s">
        <v>1140</v>
      </c>
      <c r="D64" s="2108">
        <v>10</v>
      </c>
      <c r="E64" s="2107">
        <v>3.0000000000000001E-3</v>
      </c>
      <c r="F64" s="2106">
        <f t="shared" ref="F64:F69" si="9">E64*D64</f>
        <v>0.03</v>
      </c>
      <c r="G64" s="4656"/>
      <c r="H64" s="2110">
        <v>105</v>
      </c>
      <c r="I64" s="2109" t="s">
        <v>1139</v>
      </c>
      <c r="J64" s="2108">
        <v>10</v>
      </c>
      <c r="K64" s="2107">
        <v>0.75</v>
      </c>
      <c r="L64" s="2106">
        <f t="shared" si="7"/>
        <v>7.5</v>
      </c>
      <c r="M64" s="4656"/>
      <c r="P64" s="2111"/>
      <c r="Q64" s="2111"/>
      <c r="R64" s="2111"/>
      <c r="S64" s="4656"/>
    </row>
    <row r="65" spans="1:19" ht="15.75">
      <c r="A65" s="4656"/>
      <c r="B65" s="2110">
        <v>51</v>
      </c>
      <c r="C65" s="2109" t="s">
        <v>1138</v>
      </c>
      <c r="D65" s="2108">
        <v>10</v>
      </c>
      <c r="E65" s="2107">
        <v>8.0000000000000002E-3</v>
      </c>
      <c r="F65" s="2106">
        <f t="shared" si="9"/>
        <v>0.08</v>
      </c>
      <c r="G65" s="4656"/>
      <c r="H65" s="2110">
        <v>106</v>
      </c>
      <c r="I65" s="2109" t="s">
        <v>1137</v>
      </c>
      <c r="J65" s="2108">
        <v>10</v>
      </c>
      <c r="K65" s="2107">
        <v>8.6</v>
      </c>
      <c r="L65" s="2106">
        <f t="shared" si="7"/>
        <v>86</v>
      </c>
      <c r="M65" s="4656"/>
      <c r="P65" s="2111"/>
      <c r="Q65" s="2111"/>
      <c r="R65" s="2111"/>
      <c r="S65" s="4656"/>
    </row>
    <row r="66" spans="1:19" ht="15.75">
      <c r="A66" s="4656"/>
      <c r="B66" s="2110">
        <v>52</v>
      </c>
      <c r="C66" s="2109" t="s">
        <v>1136</v>
      </c>
      <c r="D66" s="2108">
        <v>10</v>
      </c>
      <c r="E66" s="2107">
        <v>0.1</v>
      </c>
      <c r="F66" s="2106">
        <f t="shared" si="9"/>
        <v>1</v>
      </c>
      <c r="G66" s="4656"/>
      <c r="H66" s="2110">
        <v>107</v>
      </c>
      <c r="I66" s="2109" t="s">
        <v>1135</v>
      </c>
      <c r="J66" s="2108">
        <v>10</v>
      </c>
      <c r="K66" s="2107">
        <v>11.5</v>
      </c>
      <c r="L66" s="2106">
        <f t="shared" si="7"/>
        <v>115</v>
      </c>
      <c r="M66" s="4656"/>
      <c r="P66" s="2111"/>
      <c r="Q66" s="2111"/>
      <c r="R66" s="2111"/>
      <c r="S66" s="4656"/>
    </row>
    <row r="67" spans="1:19" ht="15.75">
      <c r="A67" s="4656"/>
      <c r="B67" s="2110">
        <v>53</v>
      </c>
      <c r="C67" s="2109" t="s">
        <v>1134</v>
      </c>
      <c r="D67" s="2108">
        <v>10</v>
      </c>
      <c r="E67" s="2107">
        <v>0.1</v>
      </c>
      <c r="F67" s="2106">
        <f t="shared" si="9"/>
        <v>1</v>
      </c>
      <c r="G67" s="4656"/>
      <c r="H67" s="2110">
        <v>108</v>
      </c>
      <c r="I67" s="2109" t="s">
        <v>1133</v>
      </c>
      <c r="J67" s="2108">
        <v>10</v>
      </c>
      <c r="K67" s="2107">
        <v>3.7</v>
      </c>
      <c r="L67" s="2106">
        <f t="shared" si="7"/>
        <v>37</v>
      </c>
      <c r="M67" s="4656"/>
      <c r="P67" s="2111"/>
      <c r="Q67" s="2111"/>
      <c r="R67" s="2111"/>
      <c r="S67" s="4656"/>
    </row>
    <row r="68" spans="1:19" ht="15.75">
      <c r="A68" s="4656"/>
      <c r="B68" s="2110">
        <v>54</v>
      </c>
      <c r="C68" s="2109" t="s">
        <v>1132</v>
      </c>
      <c r="D68" s="2108">
        <v>10</v>
      </c>
      <c r="E68" s="2107">
        <v>0.13500000000000001</v>
      </c>
      <c r="F68" s="2106">
        <f t="shared" si="9"/>
        <v>1.35</v>
      </c>
      <c r="G68" s="4656"/>
      <c r="H68" s="2110">
        <v>109</v>
      </c>
      <c r="I68" s="2109" t="s">
        <v>1131</v>
      </c>
      <c r="J68" s="2108">
        <v>10</v>
      </c>
      <c r="K68" s="2107">
        <v>0.17</v>
      </c>
      <c r="L68" s="2106">
        <f t="shared" si="7"/>
        <v>1.7000000000000002</v>
      </c>
      <c r="M68" s="4656"/>
      <c r="S68" s="4656"/>
    </row>
    <row r="69" spans="1:19" ht="15.75">
      <c r="A69" s="4656"/>
      <c r="B69" s="2110">
        <v>55</v>
      </c>
      <c r="C69" s="2109" t="s">
        <v>1130</v>
      </c>
      <c r="D69" s="2108">
        <v>10</v>
      </c>
      <c r="E69" s="2107">
        <v>1.2E-2</v>
      </c>
      <c r="F69" s="2106">
        <f t="shared" si="9"/>
        <v>0.12</v>
      </c>
      <c r="G69" s="4656"/>
      <c r="H69" s="2110">
        <v>110</v>
      </c>
      <c r="I69" s="2109" t="s">
        <v>1129</v>
      </c>
      <c r="J69" s="2108">
        <v>10</v>
      </c>
      <c r="K69" s="2107">
        <v>1</v>
      </c>
      <c r="L69" s="2106">
        <f t="shared" si="7"/>
        <v>10</v>
      </c>
      <c r="M69" s="4656"/>
      <c r="S69" s="4656"/>
    </row>
    <row r="70" spans="1:19" ht="15.75">
      <c r="A70" s="4656"/>
      <c r="D70" s="2111"/>
      <c r="E70" s="2111"/>
      <c r="F70" s="2111"/>
      <c r="G70" s="4656"/>
      <c r="H70" s="2110">
        <v>111</v>
      </c>
      <c r="I70" s="2109" t="s">
        <v>1128</v>
      </c>
      <c r="J70" s="2108">
        <v>10</v>
      </c>
      <c r="K70" s="2107">
        <v>1.5</v>
      </c>
      <c r="L70" s="2106">
        <f t="shared" si="7"/>
        <v>15</v>
      </c>
      <c r="M70" s="4656"/>
      <c r="S70" s="4656"/>
    </row>
    <row r="71" spans="1:19" ht="15.75">
      <c r="A71" s="4656"/>
      <c r="D71" s="2111"/>
      <c r="E71" s="2111"/>
      <c r="F71" s="2111"/>
      <c r="G71" s="4656"/>
      <c r="H71" s="2110">
        <v>112</v>
      </c>
      <c r="I71" s="2109" t="s">
        <v>1127</v>
      </c>
      <c r="J71" s="2108">
        <v>10</v>
      </c>
      <c r="K71" s="2107">
        <v>1.4999999999999999E-2</v>
      </c>
      <c r="L71" s="2106">
        <f t="shared" si="7"/>
        <v>0.15</v>
      </c>
      <c r="M71" s="4656"/>
      <c r="S71" s="4656"/>
    </row>
  </sheetData>
  <mergeCells count="8">
    <mergeCell ref="B2:S2"/>
    <mergeCell ref="B5:F6"/>
    <mergeCell ref="H5:L6"/>
    <mergeCell ref="N5:R6"/>
    <mergeCell ref="A8:A71"/>
    <mergeCell ref="G8:G71"/>
    <mergeCell ref="M8:M71"/>
    <mergeCell ref="S8:S71"/>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BF26FB-D8D9-451B-9DDB-0E14A94173F9}">
  <dimension ref="A1:AA339"/>
  <sheetViews>
    <sheetView zoomScaleNormal="100" workbookViewId="0">
      <selection activeCell="P24" sqref="P24"/>
    </sheetView>
  </sheetViews>
  <sheetFormatPr baseColWidth="10" defaultRowHeight="15"/>
  <cols>
    <col min="1" max="1" width="4.5703125" style="2881" customWidth="1"/>
    <col min="2" max="2" width="10.42578125" style="988" customWidth="1"/>
    <col min="3" max="8" width="11.42578125" style="988"/>
    <col min="9" max="9" width="12.85546875" style="988" customWidth="1"/>
    <col min="10" max="10" width="11.42578125" style="988"/>
    <col min="11" max="11" width="11.5703125" style="988" bestFit="1" customWidth="1"/>
    <col min="12" max="12" width="14.7109375" style="988" bestFit="1" customWidth="1"/>
    <col min="13" max="13" width="11.42578125" style="988"/>
    <col min="14" max="14" width="11.42578125" style="2881"/>
    <col min="15" max="15" width="12.28515625" style="2881" bestFit="1" customWidth="1"/>
    <col min="16" max="16" width="16" style="2881" bestFit="1" customWidth="1"/>
    <col min="17" max="17" width="11.42578125" style="2881"/>
    <col min="18" max="18" width="12.28515625" style="2881" bestFit="1" customWidth="1"/>
    <col min="19" max="19" width="11.5703125" style="2881" bestFit="1" customWidth="1"/>
    <col min="20" max="256" width="11.42578125" style="2881"/>
    <col min="257" max="257" width="4.5703125" style="2881" customWidth="1"/>
    <col min="258" max="258" width="10.42578125" style="2881" customWidth="1"/>
    <col min="259" max="264" width="11.42578125" style="2881"/>
    <col min="265" max="265" width="12.85546875" style="2881" customWidth="1"/>
    <col min="266" max="266" width="11.42578125" style="2881"/>
    <col min="267" max="268" width="11.5703125" style="2881" bestFit="1" customWidth="1"/>
    <col min="269" max="270" width="11.42578125" style="2881"/>
    <col min="271" max="271" width="12.28515625" style="2881" bestFit="1" customWidth="1"/>
    <col min="272" max="272" width="11.5703125" style="2881" bestFit="1" customWidth="1"/>
    <col min="273" max="273" width="11.42578125" style="2881"/>
    <col min="274" max="274" width="12.28515625" style="2881" bestFit="1" customWidth="1"/>
    <col min="275" max="275" width="11.5703125" style="2881" bestFit="1" customWidth="1"/>
    <col min="276" max="512" width="11.42578125" style="2881"/>
    <col min="513" max="513" width="4.5703125" style="2881" customWidth="1"/>
    <col min="514" max="514" width="10.42578125" style="2881" customWidth="1"/>
    <col min="515" max="520" width="11.42578125" style="2881"/>
    <col min="521" max="521" width="12.85546875" style="2881" customWidth="1"/>
    <col min="522" max="522" width="11.42578125" style="2881"/>
    <col min="523" max="524" width="11.5703125" style="2881" bestFit="1" customWidth="1"/>
    <col min="525" max="526" width="11.42578125" style="2881"/>
    <col min="527" max="527" width="12.28515625" style="2881" bestFit="1" customWidth="1"/>
    <col min="528" max="528" width="11.5703125" style="2881" bestFit="1" customWidth="1"/>
    <col min="529" max="529" width="11.42578125" style="2881"/>
    <col min="530" max="530" width="12.28515625" style="2881" bestFit="1" customWidth="1"/>
    <col min="531" max="531" width="11.5703125" style="2881" bestFit="1" customWidth="1"/>
    <col min="532" max="768" width="11.42578125" style="2881"/>
    <col min="769" max="769" width="4.5703125" style="2881" customWidth="1"/>
    <col min="770" max="770" width="10.42578125" style="2881" customWidth="1"/>
    <col min="771" max="776" width="11.42578125" style="2881"/>
    <col min="777" max="777" width="12.85546875" style="2881" customWidth="1"/>
    <col min="778" max="778" width="11.42578125" style="2881"/>
    <col min="779" max="780" width="11.5703125" style="2881" bestFit="1" customWidth="1"/>
    <col min="781" max="782" width="11.42578125" style="2881"/>
    <col min="783" max="783" width="12.28515625" style="2881" bestFit="1" customWidth="1"/>
    <col min="784" max="784" width="11.5703125" style="2881" bestFit="1" customWidth="1"/>
    <col min="785" max="785" width="11.42578125" style="2881"/>
    <col min="786" max="786" width="12.28515625" style="2881" bestFit="1" customWidth="1"/>
    <col min="787" max="787" width="11.5703125" style="2881" bestFit="1" customWidth="1"/>
    <col min="788" max="1024" width="11.42578125" style="2881"/>
    <col min="1025" max="1025" width="4.5703125" style="2881" customWidth="1"/>
    <col min="1026" max="1026" width="10.42578125" style="2881" customWidth="1"/>
    <col min="1027" max="1032" width="11.42578125" style="2881"/>
    <col min="1033" max="1033" width="12.85546875" style="2881" customWidth="1"/>
    <col min="1034" max="1034" width="11.42578125" style="2881"/>
    <col min="1035" max="1036" width="11.5703125" style="2881" bestFit="1" customWidth="1"/>
    <col min="1037" max="1038" width="11.42578125" style="2881"/>
    <col min="1039" max="1039" width="12.28515625" style="2881" bestFit="1" customWidth="1"/>
    <col min="1040" max="1040" width="11.5703125" style="2881" bestFit="1" customWidth="1"/>
    <col min="1041" max="1041" width="11.42578125" style="2881"/>
    <col min="1042" max="1042" width="12.28515625" style="2881" bestFit="1" customWidth="1"/>
    <col min="1043" max="1043" width="11.5703125" style="2881" bestFit="1" customWidth="1"/>
    <col min="1044" max="1280" width="11.42578125" style="2881"/>
    <col min="1281" max="1281" width="4.5703125" style="2881" customWidth="1"/>
    <col min="1282" max="1282" width="10.42578125" style="2881" customWidth="1"/>
    <col min="1283" max="1288" width="11.42578125" style="2881"/>
    <col min="1289" max="1289" width="12.85546875" style="2881" customWidth="1"/>
    <col min="1290" max="1290" width="11.42578125" style="2881"/>
    <col min="1291" max="1292" width="11.5703125" style="2881" bestFit="1" customWidth="1"/>
    <col min="1293" max="1294" width="11.42578125" style="2881"/>
    <col min="1295" max="1295" width="12.28515625" style="2881" bestFit="1" customWidth="1"/>
    <col min="1296" max="1296" width="11.5703125" style="2881" bestFit="1" customWidth="1"/>
    <col min="1297" max="1297" width="11.42578125" style="2881"/>
    <col min="1298" max="1298" width="12.28515625" style="2881" bestFit="1" customWidth="1"/>
    <col min="1299" max="1299" width="11.5703125" style="2881" bestFit="1" customWidth="1"/>
    <col min="1300" max="1536" width="11.42578125" style="2881"/>
    <col min="1537" max="1537" width="4.5703125" style="2881" customWidth="1"/>
    <col min="1538" max="1538" width="10.42578125" style="2881" customWidth="1"/>
    <col min="1539" max="1544" width="11.42578125" style="2881"/>
    <col min="1545" max="1545" width="12.85546875" style="2881" customWidth="1"/>
    <col min="1546" max="1546" width="11.42578125" style="2881"/>
    <col min="1547" max="1548" width="11.5703125" style="2881" bestFit="1" customWidth="1"/>
    <col min="1549" max="1550" width="11.42578125" style="2881"/>
    <col min="1551" max="1551" width="12.28515625" style="2881" bestFit="1" customWidth="1"/>
    <col min="1552" max="1552" width="11.5703125" style="2881" bestFit="1" customWidth="1"/>
    <col min="1553" max="1553" width="11.42578125" style="2881"/>
    <col min="1554" max="1554" width="12.28515625" style="2881" bestFit="1" customWidth="1"/>
    <col min="1555" max="1555" width="11.5703125" style="2881" bestFit="1" customWidth="1"/>
    <col min="1556" max="1792" width="11.42578125" style="2881"/>
    <col min="1793" max="1793" width="4.5703125" style="2881" customWidth="1"/>
    <col min="1794" max="1794" width="10.42578125" style="2881" customWidth="1"/>
    <col min="1795" max="1800" width="11.42578125" style="2881"/>
    <col min="1801" max="1801" width="12.85546875" style="2881" customWidth="1"/>
    <col min="1802" max="1802" width="11.42578125" style="2881"/>
    <col min="1803" max="1804" width="11.5703125" style="2881" bestFit="1" customWidth="1"/>
    <col min="1805" max="1806" width="11.42578125" style="2881"/>
    <col min="1807" max="1807" width="12.28515625" style="2881" bestFit="1" customWidth="1"/>
    <col min="1808" max="1808" width="11.5703125" style="2881" bestFit="1" customWidth="1"/>
    <col min="1809" max="1809" width="11.42578125" style="2881"/>
    <col min="1810" max="1810" width="12.28515625" style="2881" bestFit="1" customWidth="1"/>
    <col min="1811" max="1811" width="11.5703125" style="2881" bestFit="1" customWidth="1"/>
    <col min="1812" max="2048" width="11.42578125" style="2881"/>
    <col min="2049" max="2049" width="4.5703125" style="2881" customWidth="1"/>
    <col min="2050" max="2050" width="10.42578125" style="2881" customWidth="1"/>
    <col min="2051" max="2056" width="11.42578125" style="2881"/>
    <col min="2057" max="2057" width="12.85546875" style="2881" customWidth="1"/>
    <col min="2058" max="2058" width="11.42578125" style="2881"/>
    <col min="2059" max="2060" width="11.5703125" style="2881" bestFit="1" customWidth="1"/>
    <col min="2061" max="2062" width="11.42578125" style="2881"/>
    <col min="2063" max="2063" width="12.28515625" style="2881" bestFit="1" customWidth="1"/>
    <col min="2064" max="2064" width="11.5703125" style="2881" bestFit="1" customWidth="1"/>
    <col min="2065" max="2065" width="11.42578125" style="2881"/>
    <col min="2066" max="2066" width="12.28515625" style="2881" bestFit="1" customWidth="1"/>
    <col min="2067" max="2067" width="11.5703125" style="2881" bestFit="1" customWidth="1"/>
    <col min="2068" max="2304" width="11.42578125" style="2881"/>
    <col min="2305" max="2305" width="4.5703125" style="2881" customWidth="1"/>
    <col min="2306" max="2306" width="10.42578125" style="2881" customWidth="1"/>
    <col min="2307" max="2312" width="11.42578125" style="2881"/>
    <col min="2313" max="2313" width="12.85546875" style="2881" customWidth="1"/>
    <col min="2314" max="2314" width="11.42578125" style="2881"/>
    <col min="2315" max="2316" width="11.5703125" style="2881" bestFit="1" customWidth="1"/>
    <col min="2317" max="2318" width="11.42578125" style="2881"/>
    <col min="2319" max="2319" width="12.28515625" style="2881" bestFit="1" customWidth="1"/>
    <col min="2320" max="2320" width="11.5703125" style="2881" bestFit="1" customWidth="1"/>
    <col min="2321" max="2321" width="11.42578125" style="2881"/>
    <col min="2322" max="2322" width="12.28515625" style="2881" bestFit="1" customWidth="1"/>
    <col min="2323" max="2323" width="11.5703125" style="2881" bestFit="1" customWidth="1"/>
    <col min="2324" max="2560" width="11.42578125" style="2881"/>
    <col min="2561" max="2561" width="4.5703125" style="2881" customWidth="1"/>
    <col min="2562" max="2562" width="10.42578125" style="2881" customWidth="1"/>
    <col min="2563" max="2568" width="11.42578125" style="2881"/>
    <col min="2569" max="2569" width="12.85546875" style="2881" customWidth="1"/>
    <col min="2570" max="2570" width="11.42578125" style="2881"/>
    <col min="2571" max="2572" width="11.5703125" style="2881" bestFit="1" customWidth="1"/>
    <col min="2573" max="2574" width="11.42578125" style="2881"/>
    <col min="2575" max="2575" width="12.28515625" style="2881" bestFit="1" customWidth="1"/>
    <col min="2576" max="2576" width="11.5703125" style="2881" bestFit="1" customWidth="1"/>
    <col min="2577" max="2577" width="11.42578125" style="2881"/>
    <col min="2578" max="2578" width="12.28515625" style="2881" bestFit="1" customWidth="1"/>
    <col min="2579" max="2579" width="11.5703125" style="2881" bestFit="1" customWidth="1"/>
    <col min="2580" max="2816" width="11.42578125" style="2881"/>
    <col min="2817" max="2817" width="4.5703125" style="2881" customWidth="1"/>
    <col min="2818" max="2818" width="10.42578125" style="2881" customWidth="1"/>
    <col min="2819" max="2824" width="11.42578125" style="2881"/>
    <col min="2825" max="2825" width="12.85546875" style="2881" customWidth="1"/>
    <col min="2826" max="2826" width="11.42578125" style="2881"/>
    <col min="2827" max="2828" width="11.5703125" style="2881" bestFit="1" customWidth="1"/>
    <col min="2829" max="2830" width="11.42578125" style="2881"/>
    <col min="2831" max="2831" width="12.28515625" style="2881" bestFit="1" customWidth="1"/>
    <col min="2832" max="2832" width="11.5703125" style="2881" bestFit="1" customWidth="1"/>
    <col min="2833" max="2833" width="11.42578125" style="2881"/>
    <col min="2834" max="2834" width="12.28515625" style="2881" bestFit="1" customWidth="1"/>
    <col min="2835" max="2835" width="11.5703125" style="2881" bestFit="1" customWidth="1"/>
    <col min="2836" max="3072" width="11.42578125" style="2881"/>
    <col min="3073" max="3073" width="4.5703125" style="2881" customWidth="1"/>
    <col min="3074" max="3074" width="10.42578125" style="2881" customWidth="1"/>
    <col min="3075" max="3080" width="11.42578125" style="2881"/>
    <col min="3081" max="3081" width="12.85546875" style="2881" customWidth="1"/>
    <col min="3082" max="3082" width="11.42578125" style="2881"/>
    <col min="3083" max="3084" width="11.5703125" style="2881" bestFit="1" customWidth="1"/>
    <col min="3085" max="3086" width="11.42578125" style="2881"/>
    <col min="3087" max="3087" width="12.28515625" style="2881" bestFit="1" customWidth="1"/>
    <col min="3088" max="3088" width="11.5703125" style="2881" bestFit="1" customWidth="1"/>
    <col min="3089" max="3089" width="11.42578125" style="2881"/>
    <col min="3090" max="3090" width="12.28515625" style="2881" bestFit="1" customWidth="1"/>
    <col min="3091" max="3091" width="11.5703125" style="2881" bestFit="1" customWidth="1"/>
    <col min="3092" max="3328" width="11.42578125" style="2881"/>
    <col min="3329" max="3329" width="4.5703125" style="2881" customWidth="1"/>
    <col min="3330" max="3330" width="10.42578125" style="2881" customWidth="1"/>
    <col min="3331" max="3336" width="11.42578125" style="2881"/>
    <col min="3337" max="3337" width="12.85546875" style="2881" customWidth="1"/>
    <col min="3338" max="3338" width="11.42578125" style="2881"/>
    <col min="3339" max="3340" width="11.5703125" style="2881" bestFit="1" customWidth="1"/>
    <col min="3341" max="3342" width="11.42578125" style="2881"/>
    <col min="3343" max="3343" width="12.28515625" style="2881" bestFit="1" customWidth="1"/>
    <col min="3344" max="3344" width="11.5703125" style="2881" bestFit="1" customWidth="1"/>
    <col min="3345" max="3345" width="11.42578125" style="2881"/>
    <col min="3346" max="3346" width="12.28515625" style="2881" bestFit="1" customWidth="1"/>
    <col min="3347" max="3347" width="11.5703125" style="2881" bestFit="1" customWidth="1"/>
    <col min="3348" max="3584" width="11.42578125" style="2881"/>
    <col min="3585" max="3585" width="4.5703125" style="2881" customWidth="1"/>
    <col min="3586" max="3586" width="10.42578125" style="2881" customWidth="1"/>
    <col min="3587" max="3592" width="11.42578125" style="2881"/>
    <col min="3593" max="3593" width="12.85546875" style="2881" customWidth="1"/>
    <col min="3594" max="3594" width="11.42578125" style="2881"/>
    <col min="3595" max="3596" width="11.5703125" style="2881" bestFit="1" customWidth="1"/>
    <col min="3597" max="3598" width="11.42578125" style="2881"/>
    <col min="3599" max="3599" width="12.28515625" style="2881" bestFit="1" customWidth="1"/>
    <col min="3600" max="3600" width="11.5703125" style="2881" bestFit="1" customWidth="1"/>
    <col min="3601" max="3601" width="11.42578125" style="2881"/>
    <col min="3602" max="3602" width="12.28515625" style="2881" bestFit="1" customWidth="1"/>
    <col min="3603" max="3603" width="11.5703125" style="2881" bestFit="1" customWidth="1"/>
    <col min="3604" max="3840" width="11.42578125" style="2881"/>
    <col min="3841" max="3841" width="4.5703125" style="2881" customWidth="1"/>
    <col min="3842" max="3842" width="10.42578125" style="2881" customWidth="1"/>
    <col min="3843" max="3848" width="11.42578125" style="2881"/>
    <col min="3849" max="3849" width="12.85546875" style="2881" customWidth="1"/>
    <col min="3850" max="3850" width="11.42578125" style="2881"/>
    <col min="3851" max="3852" width="11.5703125" style="2881" bestFit="1" customWidth="1"/>
    <col min="3853" max="3854" width="11.42578125" style="2881"/>
    <col min="3855" max="3855" width="12.28515625" style="2881" bestFit="1" customWidth="1"/>
    <col min="3856" max="3856" width="11.5703125" style="2881" bestFit="1" customWidth="1"/>
    <col min="3857" max="3857" width="11.42578125" style="2881"/>
    <col min="3858" max="3858" width="12.28515625" style="2881" bestFit="1" customWidth="1"/>
    <col min="3859" max="3859" width="11.5703125" style="2881" bestFit="1" customWidth="1"/>
    <col min="3860" max="4096" width="11.42578125" style="2881"/>
    <col min="4097" max="4097" width="4.5703125" style="2881" customWidth="1"/>
    <col min="4098" max="4098" width="10.42578125" style="2881" customWidth="1"/>
    <col min="4099" max="4104" width="11.42578125" style="2881"/>
    <col min="4105" max="4105" width="12.85546875" style="2881" customWidth="1"/>
    <col min="4106" max="4106" width="11.42578125" style="2881"/>
    <col min="4107" max="4108" width="11.5703125" style="2881" bestFit="1" customWidth="1"/>
    <col min="4109" max="4110" width="11.42578125" style="2881"/>
    <col min="4111" max="4111" width="12.28515625" style="2881" bestFit="1" customWidth="1"/>
    <col min="4112" max="4112" width="11.5703125" style="2881" bestFit="1" customWidth="1"/>
    <col min="4113" max="4113" width="11.42578125" style="2881"/>
    <col min="4114" max="4114" width="12.28515625" style="2881" bestFit="1" customWidth="1"/>
    <col min="4115" max="4115" width="11.5703125" style="2881" bestFit="1" customWidth="1"/>
    <col min="4116" max="4352" width="11.42578125" style="2881"/>
    <col min="4353" max="4353" width="4.5703125" style="2881" customWidth="1"/>
    <col min="4354" max="4354" width="10.42578125" style="2881" customWidth="1"/>
    <col min="4355" max="4360" width="11.42578125" style="2881"/>
    <col min="4361" max="4361" width="12.85546875" style="2881" customWidth="1"/>
    <col min="4362" max="4362" width="11.42578125" style="2881"/>
    <col min="4363" max="4364" width="11.5703125" style="2881" bestFit="1" customWidth="1"/>
    <col min="4365" max="4366" width="11.42578125" style="2881"/>
    <col min="4367" max="4367" width="12.28515625" style="2881" bestFit="1" customWidth="1"/>
    <col min="4368" max="4368" width="11.5703125" style="2881" bestFit="1" customWidth="1"/>
    <col min="4369" max="4369" width="11.42578125" style="2881"/>
    <col min="4370" max="4370" width="12.28515625" style="2881" bestFit="1" customWidth="1"/>
    <col min="4371" max="4371" width="11.5703125" style="2881" bestFit="1" customWidth="1"/>
    <col min="4372" max="4608" width="11.42578125" style="2881"/>
    <col min="4609" max="4609" width="4.5703125" style="2881" customWidth="1"/>
    <col min="4610" max="4610" width="10.42578125" style="2881" customWidth="1"/>
    <col min="4611" max="4616" width="11.42578125" style="2881"/>
    <col min="4617" max="4617" width="12.85546875" style="2881" customWidth="1"/>
    <col min="4618" max="4618" width="11.42578125" style="2881"/>
    <col min="4619" max="4620" width="11.5703125" style="2881" bestFit="1" customWidth="1"/>
    <col min="4621" max="4622" width="11.42578125" style="2881"/>
    <col min="4623" max="4623" width="12.28515625" style="2881" bestFit="1" customWidth="1"/>
    <col min="4624" max="4624" width="11.5703125" style="2881" bestFit="1" customWidth="1"/>
    <col min="4625" max="4625" width="11.42578125" style="2881"/>
    <col min="4626" max="4626" width="12.28515625" style="2881" bestFit="1" customWidth="1"/>
    <col min="4627" max="4627" width="11.5703125" style="2881" bestFit="1" customWidth="1"/>
    <col min="4628" max="4864" width="11.42578125" style="2881"/>
    <col min="4865" max="4865" width="4.5703125" style="2881" customWidth="1"/>
    <col min="4866" max="4866" width="10.42578125" style="2881" customWidth="1"/>
    <col min="4867" max="4872" width="11.42578125" style="2881"/>
    <col min="4873" max="4873" width="12.85546875" style="2881" customWidth="1"/>
    <col min="4874" max="4874" width="11.42578125" style="2881"/>
    <col min="4875" max="4876" width="11.5703125" style="2881" bestFit="1" customWidth="1"/>
    <col min="4877" max="4878" width="11.42578125" style="2881"/>
    <col min="4879" max="4879" width="12.28515625" style="2881" bestFit="1" customWidth="1"/>
    <col min="4880" max="4880" width="11.5703125" style="2881" bestFit="1" customWidth="1"/>
    <col min="4881" max="4881" width="11.42578125" style="2881"/>
    <col min="4882" max="4882" width="12.28515625" style="2881" bestFit="1" customWidth="1"/>
    <col min="4883" max="4883" width="11.5703125" style="2881" bestFit="1" customWidth="1"/>
    <col min="4884" max="5120" width="11.42578125" style="2881"/>
    <col min="5121" max="5121" width="4.5703125" style="2881" customWidth="1"/>
    <col min="5122" max="5122" width="10.42578125" style="2881" customWidth="1"/>
    <col min="5123" max="5128" width="11.42578125" style="2881"/>
    <col min="5129" max="5129" width="12.85546875" style="2881" customWidth="1"/>
    <col min="5130" max="5130" width="11.42578125" style="2881"/>
    <col min="5131" max="5132" width="11.5703125" style="2881" bestFit="1" customWidth="1"/>
    <col min="5133" max="5134" width="11.42578125" style="2881"/>
    <col min="5135" max="5135" width="12.28515625" style="2881" bestFit="1" customWidth="1"/>
    <col min="5136" max="5136" width="11.5703125" style="2881" bestFit="1" customWidth="1"/>
    <col min="5137" max="5137" width="11.42578125" style="2881"/>
    <col min="5138" max="5138" width="12.28515625" style="2881" bestFit="1" customWidth="1"/>
    <col min="5139" max="5139" width="11.5703125" style="2881" bestFit="1" customWidth="1"/>
    <col min="5140" max="5376" width="11.42578125" style="2881"/>
    <col min="5377" max="5377" width="4.5703125" style="2881" customWidth="1"/>
    <col min="5378" max="5378" width="10.42578125" style="2881" customWidth="1"/>
    <col min="5379" max="5384" width="11.42578125" style="2881"/>
    <col min="5385" max="5385" width="12.85546875" style="2881" customWidth="1"/>
    <col min="5386" max="5386" width="11.42578125" style="2881"/>
    <col min="5387" max="5388" width="11.5703125" style="2881" bestFit="1" customWidth="1"/>
    <col min="5389" max="5390" width="11.42578125" style="2881"/>
    <col min="5391" max="5391" width="12.28515625" style="2881" bestFit="1" customWidth="1"/>
    <col min="5392" max="5392" width="11.5703125" style="2881" bestFit="1" customWidth="1"/>
    <col min="5393" max="5393" width="11.42578125" style="2881"/>
    <col min="5394" max="5394" width="12.28515625" style="2881" bestFit="1" customWidth="1"/>
    <col min="5395" max="5395" width="11.5703125" style="2881" bestFit="1" customWidth="1"/>
    <col min="5396" max="5632" width="11.42578125" style="2881"/>
    <col min="5633" max="5633" width="4.5703125" style="2881" customWidth="1"/>
    <col min="5634" max="5634" width="10.42578125" style="2881" customWidth="1"/>
    <col min="5635" max="5640" width="11.42578125" style="2881"/>
    <col min="5641" max="5641" width="12.85546875" style="2881" customWidth="1"/>
    <col min="5642" max="5642" width="11.42578125" style="2881"/>
    <col min="5643" max="5644" width="11.5703125" style="2881" bestFit="1" customWidth="1"/>
    <col min="5645" max="5646" width="11.42578125" style="2881"/>
    <col min="5647" max="5647" width="12.28515625" style="2881" bestFit="1" customWidth="1"/>
    <col min="5648" max="5648" width="11.5703125" style="2881" bestFit="1" customWidth="1"/>
    <col min="5649" max="5649" width="11.42578125" style="2881"/>
    <col min="5650" max="5650" width="12.28515625" style="2881" bestFit="1" customWidth="1"/>
    <col min="5651" max="5651" width="11.5703125" style="2881" bestFit="1" customWidth="1"/>
    <col min="5652" max="5888" width="11.42578125" style="2881"/>
    <col min="5889" max="5889" width="4.5703125" style="2881" customWidth="1"/>
    <col min="5890" max="5890" width="10.42578125" style="2881" customWidth="1"/>
    <col min="5891" max="5896" width="11.42578125" style="2881"/>
    <col min="5897" max="5897" width="12.85546875" style="2881" customWidth="1"/>
    <col min="5898" max="5898" width="11.42578125" style="2881"/>
    <col min="5899" max="5900" width="11.5703125" style="2881" bestFit="1" customWidth="1"/>
    <col min="5901" max="5902" width="11.42578125" style="2881"/>
    <col min="5903" max="5903" width="12.28515625" style="2881" bestFit="1" customWidth="1"/>
    <col min="5904" max="5904" width="11.5703125" style="2881" bestFit="1" customWidth="1"/>
    <col min="5905" max="5905" width="11.42578125" style="2881"/>
    <col min="5906" max="5906" width="12.28515625" style="2881" bestFit="1" customWidth="1"/>
    <col min="5907" max="5907" width="11.5703125" style="2881" bestFit="1" customWidth="1"/>
    <col min="5908" max="6144" width="11.42578125" style="2881"/>
    <col min="6145" max="6145" width="4.5703125" style="2881" customWidth="1"/>
    <col min="6146" max="6146" width="10.42578125" style="2881" customWidth="1"/>
    <col min="6147" max="6152" width="11.42578125" style="2881"/>
    <col min="6153" max="6153" width="12.85546875" style="2881" customWidth="1"/>
    <col min="6154" max="6154" width="11.42578125" style="2881"/>
    <col min="6155" max="6156" width="11.5703125" style="2881" bestFit="1" customWidth="1"/>
    <col min="6157" max="6158" width="11.42578125" style="2881"/>
    <col min="6159" max="6159" width="12.28515625" style="2881" bestFit="1" customWidth="1"/>
    <col min="6160" max="6160" width="11.5703125" style="2881" bestFit="1" customWidth="1"/>
    <col min="6161" max="6161" width="11.42578125" style="2881"/>
    <col min="6162" max="6162" width="12.28515625" style="2881" bestFit="1" customWidth="1"/>
    <col min="6163" max="6163" width="11.5703125" style="2881" bestFit="1" customWidth="1"/>
    <col min="6164" max="6400" width="11.42578125" style="2881"/>
    <col min="6401" max="6401" width="4.5703125" style="2881" customWidth="1"/>
    <col min="6402" max="6402" width="10.42578125" style="2881" customWidth="1"/>
    <col min="6403" max="6408" width="11.42578125" style="2881"/>
    <col min="6409" max="6409" width="12.85546875" style="2881" customWidth="1"/>
    <col min="6410" max="6410" width="11.42578125" style="2881"/>
    <col min="6411" max="6412" width="11.5703125" style="2881" bestFit="1" customWidth="1"/>
    <col min="6413" max="6414" width="11.42578125" style="2881"/>
    <col min="6415" max="6415" width="12.28515625" style="2881" bestFit="1" customWidth="1"/>
    <col min="6416" max="6416" width="11.5703125" style="2881" bestFit="1" customWidth="1"/>
    <col min="6417" max="6417" width="11.42578125" style="2881"/>
    <col min="6418" max="6418" width="12.28515625" style="2881" bestFit="1" customWidth="1"/>
    <col min="6419" max="6419" width="11.5703125" style="2881" bestFit="1" customWidth="1"/>
    <col min="6420" max="6656" width="11.42578125" style="2881"/>
    <col min="6657" max="6657" width="4.5703125" style="2881" customWidth="1"/>
    <col min="6658" max="6658" width="10.42578125" style="2881" customWidth="1"/>
    <col min="6659" max="6664" width="11.42578125" style="2881"/>
    <col min="6665" max="6665" width="12.85546875" style="2881" customWidth="1"/>
    <col min="6666" max="6666" width="11.42578125" style="2881"/>
    <col min="6667" max="6668" width="11.5703125" style="2881" bestFit="1" customWidth="1"/>
    <col min="6669" max="6670" width="11.42578125" style="2881"/>
    <col min="6671" max="6671" width="12.28515625" style="2881" bestFit="1" customWidth="1"/>
    <col min="6672" max="6672" width="11.5703125" style="2881" bestFit="1" customWidth="1"/>
    <col min="6673" max="6673" width="11.42578125" style="2881"/>
    <col min="6674" max="6674" width="12.28515625" style="2881" bestFit="1" customWidth="1"/>
    <col min="6675" max="6675" width="11.5703125" style="2881" bestFit="1" customWidth="1"/>
    <col min="6676" max="6912" width="11.42578125" style="2881"/>
    <col min="6913" max="6913" width="4.5703125" style="2881" customWidth="1"/>
    <col min="6914" max="6914" width="10.42578125" style="2881" customWidth="1"/>
    <col min="6915" max="6920" width="11.42578125" style="2881"/>
    <col min="6921" max="6921" width="12.85546875" style="2881" customWidth="1"/>
    <col min="6922" max="6922" width="11.42578125" style="2881"/>
    <col min="6923" max="6924" width="11.5703125" style="2881" bestFit="1" customWidth="1"/>
    <col min="6925" max="6926" width="11.42578125" style="2881"/>
    <col min="6927" max="6927" width="12.28515625" style="2881" bestFit="1" customWidth="1"/>
    <col min="6928" max="6928" width="11.5703125" style="2881" bestFit="1" customWidth="1"/>
    <col min="6929" max="6929" width="11.42578125" style="2881"/>
    <col min="6930" max="6930" width="12.28515625" style="2881" bestFit="1" customWidth="1"/>
    <col min="6931" max="6931" width="11.5703125" style="2881" bestFit="1" customWidth="1"/>
    <col min="6932" max="7168" width="11.42578125" style="2881"/>
    <col min="7169" max="7169" width="4.5703125" style="2881" customWidth="1"/>
    <col min="7170" max="7170" width="10.42578125" style="2881" customWidth="1"/>
    <col min="7171" max="7176" width="11.42578125" style="2881"/>
    <col min="7177" max="7177" width="12.85546875" style="2881" customWidth="1"/>
    <col min="7178" max="7178" width="11.42578125" style="2881"/>
    <col min="7179" max="7180" width="11.5703125" style="2881" bestFit="1" customWidth="1"/>
    <col min="7181" max="7182" width="11.42578125" style="2881"/>
    <col min="7183" max="7183" width="12.28515625" style="2881" bestFit="1" customWidth="1"/>
    <col min="7184" max="7184" width="11.5703125" style="2881" bestFit="1" customWidth="1"/>
    <col min="7185" max="7185" width="11.42578125" style="2881"/>
    <col min="7186" max="7186" width="12.28515625" style="2881" bestFit="1" customWidth="1"/>
    <col min="7187" max="7187" width="11.5703125" style="2881" bestFit="1" customWidth="1"/>
    <col min="7188" max="7424" width="11.42578125" style="2881"/>
    <col min="7425" max="7425" width="4.5703125" style="2881" customWidth="1"/>
    <col min="7426" max="7426" width="10.42578125" style="2881" customWidth="1"/>
    <col min="7427" max="7432" width="11.42578125" style="2881"/>
    <col min="7433" max="7433" width="12.85546875" style="2881" customWidth="1"/>
    <col min="7434" max="7434" width="11.42578125" style="2881"/>
    <col min="7435" max="7436" width="11.5703125" style="2881" bestFit="1" customWidth="1"/>
    <col min="7437" max="7438" width="11.42578125" style="2881"/>
    <col min="7439" max="7439" width="12.28515625" style="2881" bestFit="1" customWidth="1"/>
    <col min="7440" max="7440" width="11.5703125" style="2881" bestFit="1" customWidth="1"/>
    <col min="7441" max="7441" width="11.42578125" style="2881"/>
    <col min="7442" max="7442" width="12.28515625" style="2881" bestFit="1" customWidth="1"/>
    <col min="7443" max="7443" width="11.5703125" style="2881" bestFit="1" customWidth="1"/>
    <col min="7444" max="7680" width="11.42578125" style="2881"/>
    <col min="7681" max="7681" width="4.5703125" style="2881" customWidth="1"/>
    <col min="7682" max="7682" width="10.42578125" style="2881" customWidth="1"/>
    <col min="7683" max="7688" width="11.42578125" style="2881"/>
    <col min="7689" max="7689" width="12.85546875" style="2881" customWidth="1"/>
    <col min="7690" max="7690" width="11.42578125" style="2881"/>
    <col min="7691" max="7692" width="11.5703125" style="2881" bestFit="1" customWidth="1"/>
    <col min="7693" max="7694" width="11.42578125" style="2881"/>
    <col min="7695" max="7695" width="12.28515625" style="2881" bestFit="1" customWidth="1"/>
    <col min="7696" max="7696" width="11.5703125" style="2881" bestFit="1" customWidth="1"/>
    <col min="7697" max="7697" width="11.42578125" style="2881"/>
    <col min="7698" max="7698" width="12.28515625" style="2881" bestFit="1" customWidth="1"/>
    <col min="7699" max="7699" width="11.5703125" style="2881" bestFit="1" customWidth="1"/>
    <col min="7700" max="7936" width="11.42578125" style="2881"/>
    <col min="7937" max="7937" width="4.5703125" style="2881" customWidth="1"/>
    <col min="7938" max="7938" width="10.42578125" style="2881" customWidth="1"/>
    <col min="7939" max="7944" width="11.42578125" style="2881"/>
    <col min="7945" max="7945" width="12.85546875" style="2881" customWidth="1"/>
    <col min="7946" max="7946" width="11.42578125" style="2881"/>
    <col min="7947" max="7948" width="11.5703125" style="2881" bestFit="1" customWidth="1"/>
    <col min="7949" max="7950" width="11.42578125" style="2881"/>
    <col min="7951" max="7951" width="12.28515625" style="2881" bestFit="1" customWidth="1"/>
    <col min="7952" max="7952" width="11.5703125" style="2881" bestFit="1" customWidth="1"/>
    <col min="7953" max="7953" width="11.42578125" style="2881"/>
    <col min="7954" max="7954" width="12.28515625" style="2881" bestFit="1" customWidth="1"/>
    <col min="7955" max="7955" width="11.5703125" style="2881" bestFit="1" customWidth="1"/>
    <col min="7956" max="8192" width="11.42578125" style="2881"/>
    <col min="8193" max="8193" width="4.5703125" style="2881" customWidth="1"/>
    <col min="8194" max="8194" width="10.42578125" style="2881" customWidth="1"/>
    <col min="8195" max="8200" width="11.42578125" style="2881"/>
    <col min="8201" max="8201" width="12.85546875" style="2881" customWidth="1"/>
    <col min="8202" max="8202" width="11.42578125" style="2881"/>
    <col min="8203" max="8204" width="11.5703125" style="2881" bestFit="1" customWidth="1"/>
    <col min="8205" max="8206" width="11.42578125" style="2881"/>
    <col min="8207" max="8207" width="12.28515625" style="2881" bestFit="1" customWidth="1"/>
    <col min="8208" max="8208" width="11.5703125" style="2881" bestFit="1" customWidth="1"/>
    <col min="8209" max="8209" width="11.42578125" style="2881"/>
    <col min="8210" max="8210" width="12.28515625" style="2881" bestFit="1" customWidth="1"/>
    <col min="8211" max="8211" width="11.5703125" style="2881" bestFit="1" customWidth="1"/>
    <col min="8212" max="8448" width="11.42578125" style="2881"/>
    <col min="8449" max="8449" width="4.5703125" style="2881" customWidth="1"/>
    <col min="8450" max="8450" width="10.42578125" style="2881" customWidth="1"/>
    <col min="8451" max="8456" width="11.42578125" style="2881"/>
    <col min="8457" max="8457" width="12.85546875" style="2881" customWidth="1"/>
    <col min="8458" max="8458" width="11.42578125" style="2881"/>
    <col min="8459" max="8460" width="11.5703125" style="2881" bestFit="1" customWidth="1"/>
    <col min="8461" max="8462" width="11.42578125" style="2881"/>
    <col min="8463" max="8463" width="12.28515625" style="2881" bestFit="1" customWidth="1"/>
    <col min="8464" max="8464" width="11.5703125" style="2881" bestFit="1" customWidth="1"/>
    <col min="8465" max="8465" width="11.42578125" style="2881"/>
    <col min="8466" max="8466" width="12.28515625" style="2881" bestFit="1" customWidth="1"/>
    <col min="8467" max="8467" width="11.5703125" style="2881" bestFit="1" customWidth="1"/>
    <col min="8468" max="8704" width="11.42578125" style="2881"/>
    <col min="8705" max="8705" width="4.5703125" style="2881" customWidth="1"/>
    <col min="8706" max="8706" width="10.42578125" style="2881" customWidth="1"/>
    <col min="8707" max="8712" width="11.42578125" style="2881"/>
    <col min="8713" max="8713" width="12.85546875" style="2881" customWidth="1"/>
    <col min="8714" max="8714" width="11.42578125" style="2881"/>
    <col min="8715" max="8716" width="11.5703125" style="2881" bestFit="1" customWidth="1"/>
    <col min="8717" max="8718" width="11.42578125" style="2881"/>
    <col min="8719" max="8719" width="12.28515625" style="2881" bestFit="1" customWidth="1"/>
    <col min="8720" max="8720" width="11.5703125" style="2881" bestFit="1" customWidth="1"/>
    <col min="8721" max="8721" width="11.42578125" style="2881"/>
    <col min="8722" max="8722" width="12.28515625" style="2881" bestFit="1" customWidth="1"/>
    <col min="8723" max="8723" width="11.5703125" style="2881" bestFit="1" customWidth="1"/>
    <col min="8724" max="8960" width="11.42578125" style="2881"/>
    <col min="8961" max="8961" width="4.5703125" style="2881" customWidth="1"/>
    <col min="8962" max="8962" width="10.42578125" style="2881" customWidth="1"/>
    <col min="8963" max="8968" width="11.42578125" style="2881"/>
    <col min="8969" max="8969" width="12.85546875" style="2881" customWidth="1"/>
    <col min="8970" max="8970" width="11.42578125" style="2881"/>
    <col min="8971" max="8972" width="11.5703125" style="2881" bestFit="1" customWidth="1"/>
    <col min="8973" max="8974" width="11.42578125" style="2881"/>
    <col min="8975" max="8975" width="12.28515625" style="2881" bestFit="1" customWidth="1"/>
    <col min="8976" max="8976" width="11.5703125" style="2881" bestFit="1" customWidth="1"/>
    <col min="8977" max="8977" width="11.42578125" style="2881"/>
    <col min="8978" max="8978" width="12.28515625" style="2881" bestFit="1" customWidth="1"/>
    <col min="8979" max="8979" width="11.5703125" style="2881" bestFit="1" customWidth="1"/>
    <col min="8980" max="9216" width="11.42578125" style="2881"/>
    <col min="9217" max="9217" width="4.5703125" style="2881" customWidth="1"/>
    <col min="9218" max="9218" width="10.42578125" style="2881" customWidth="1"/>
    <col min="9219" max="9224" width="11.42578125" style="2881"/>
    <col min="9225" max="9225" width="12.85546875" style="2881" customWidth="1"/>
    <col min="9226" max="9226" width="11.42578125" style="2881"/>
    <col min="9227" max="9228" width="11.5703125" style="2881" bestFit="1" customWidth="1"/>
    <col min="9229" max="9230" width="11.42578125" style="2881"/>
    <col min="9231" max="9231" width="12.28515625" style="2881" bestFit="1" customWidth="1"/>
    <col min="9232" max="9232" width="11.5703125" style="2881" bestFit="1" customWidth="1"/>
    <col min="9233" max="9233" width="11.42578125" style="2881"/>
    <col min="9234" max="9234" width="12.28515625" style="2881" bestFit="1" customWidth="1"/>
    <col min="9235" max="9235" width="11.5703125" style="2881" bestFit="1" customWidth="1"/>
    <col min="9236" max="9472" width="11.42578125" style="2881"/>
    <col min="9473" max="9473" width="4.5703125" style="2881" customWidth="1"/>
    <col min="9474" max="9474" width="10.42578125" style="2881" customWidth="1"/>
    <col min="9475" max="9480" width="11.42578125" style="2881"/>
    <col min="9481" max="9481" width="12.85546875" style="2881" customWidth="1"/>
    <col min="9482" max="9482" width="11.42578125" style="2881"/>
    <col min="9483" max="9484" width="11.5703125" style="2881" bestFit="1" customWidth="1"/>
    <col min="9485" max="9486" width="11.42578125" style="2881"/>
    <col min="9487" max="9487" width="12.28515625" style="2881" bestFit="1" customWidth="1"/>
    <col min="9488" max="9488" width="11.5703125" style="2881" bestFit="1" customWidth="1"/>
    <col min="9489" max="9489" width="11.42578125" style="2881"/>
    <col min="9490" max="9490" width="12.28515625" style="2881" bestFit="1" customWidth="1"/>
    <col min="9491" max="9491" width="11.5703125" style="2881" bestFit="1" customWidth="1"/>
    <col min="9492" max="9728" width="11.42578125" style="2881"/>
    <col min="9729" max="9729" width="4.5703125" style="2881" customWidth="1"/>
    <col min="9730" max="9730" width="10.42578125" style="2881" customWidth="1"/>
    <col min="9731" max="9736" width="11.42578125" style="2881"/>
    <col min="9737" max="9737" width="12.85546875" style="2881" customWidth="1"/>
    <col min="9738" max="9738" width="11.42578125" style="2881"/>
    <col min="9739" max="9740" width="11.5703125" style="2881" bestFit="1" customWidth="1"/>
    <col min="9741" max="9742" width="11.42578125" style="2881"/>
    <col min="9743" max="9743" width="12.28515625" style="2881" bestFit="1" customWidth="1"/>
    <col min="9744" max="9744" width="11.5703125" style="2881" bestFit="1" customWidth="1"/>
    <col min="9745" max="9745" width="11.42578125" style="2881"/>
    <col min="9746" max="9746" width="12.28515625" style="2881" bestFit="1" customWidth="1"/>
    <col min="9747" max="9747" width="11.5703125" style="2881" bestFit="1" customWidth="1"/>
    <col min="9748" max="9984" width="11.42578125" style="2881"/>
    <col min="9985" max="9985" width="4.5703125" style="2881" customWidth="1"/>
    <col min="9986" max="9986" width="10.42578125" style="2881" customWidth="1"/>
    <col min="9987" max="9992" width="11.42578125" style="2881"/>
    <col min="9993" max="9993" width="12.85546875" style="2881" customWidth="1"/>
    <col min="9994" max="9994" width="11.42578125" style="2881"/>
    <col min="9995" max="9996" width="11.5703125" style="2881" bestFit="1" customWidth="1"/>
    <col min="9997" max="9998" width="11.42578125" style="2881"/>
    <col min="9999" max="9999" width="12.28515625" style="2881" bestFit="1" customWidth="1"/>
    <col min="10000" max="10000" width="11.5703125" style="2881" bestFit="1" customWidth="1"/>
    <col min="10001" max="10001" width="11.42578125" style="2881"/>
    <col min="10002" max="10002" width="12.28515625" style="2881" bestFit="1" customWidth="1"/>
    <col min="10003" max="10003" width="11.5703125" style="2881" bestFit="1" customWidth="1"/>
    <col min="10004" max="10240" width="11.42578125" style="2881"/>
    <col min="10241" max="10241" width="4.5703125" style="2881" customWidth="1"/>
    <col min="10242" max="10242" width="10.42578125" style="2881" customWidth="1"/>
    <col min="10243" max="10248" width="11.42578125" style="2881"/>
    <col min="10249" max="10249" width="12.85546875" style="2881" customWidth="1"/>
    <col min="10250" max="10250" width="11.42578125" style="2881"/>
    <col min="10251" max="10252" width="11.5703125" style="2881" bestFit="1" customWidth="1"/>
    <col min="10253" max="10254" width="11.42578125" style="2881"/>
    <col min="10255" max="10255" width="12.28515625" style="2881" bestFit="1" customWidth="1"/>
    <col min="10256" max="10256" width="11.5703125" style="2881" bestFit="1" customWidth="1"/>
    <col min="10257" max="10257" width="11.42578125" style="2881"/>
    <col min="10258" max="10258" width="12.28515625" style="2881" bestFit="1" customWidth="1"/>
    <col min="10259" max="10259" width="11.5703125" style="2881" bestFit="1" customWidth="1"/>
    <col min="10260" max="10496" width="11.42578125" style="2881"/>
    <col min="10497" max="10497" width="4.5703125" style="2881" customWidth="1"/>
    <col min="10498" max="10498" width="10.42578125" style="2881" customWidth="1"/>
    <col min="10499" max="10504" width="11.42578125" style="2881"/>
    <col min="10505" max="10505" width="12.85546875" style="2881" customWidth="1"/>
    <col min="10506" max="10506" width="11.42578125" style="2881"/>
    <col min="10507" max="10508" width="11.5703125" style="2881" bestFit="1" customWidth="1"/>
    <col min="10509" max="10510" width="11.42578125" style="2881"/>
    <col min="10511" max="10511" width="12.28515625" style="2881" bestFit="1" customWidth="1"/>
    <col min="10512" max="10512" width="11.5703125" style="2881" bestFit="1" customWidth="1"/>
    <col min="10513" max="10513" width="11.42578125" style="2881"/>
    <col min="10514" max="10514" width="12.28515625" style="2881" bestFit="1" customWidth="1"/>
    <col min="10515" max="10515" width="11.5703125" style="2881" bestFit="1" customWidth="1"/>
    <col min="10516" max="10752" width="11.42578125" style="2881"/>
    <col min="10753" max="10753" width="4.5703125" style="2881" customWidth="1"/>
    <col min="10754" max="10754" width="10.42578125" style="2881" customWidth="1"/>
    <col min="10755" max="10760" width="11.42578125" style="2881"/>
    <col min="10761" max="10761" width="12.85546875" style="2881" customWidth="1"/>
    <col min="10762" max="10762" width="11.42578125" style="2881"/>
    <col min="10763" max="10764" width="11.5703125" style="2881" bestFit="1" customWidth="1"/>
    <col min="10765" max="10766" width="11.42578125" style="2881"/>
    <col min="10767" max="10767" width="12.28515625" style="2881" bestFit="1" customWidth="1"/>
    <col min="10768" max="10768" width="11.5703125" style="2881" bestFit="1" customWidth="1"/>
    <col min="10769" max="10769" width="11.42578125" style="2881"/>
    <col min="10770" max="10770" width="12.28515625" style="2881" bestFit="1" customWidth="1"/>
    <col min="10771" max="10771" width="11.5703125" style="2881" bestFit="1" customWidth="1"/>
    <col min="10772" max="11008" width="11.42578125" style="2881"/>
    <col min="11009" max="11009" width="4.5703125" style="2881" customWidth="1"/>
    <col min="11010" max="11010" width="10.42578125" style="2881" customWidth="1"/>
    <col min="11011" max="11016" width="11.42578125" style="2881"/>
    <col min="11017" max="11017" width="12.85546875" style="2881" customWidth="1"/>
    <col min="11018" max="11018" width="11.42578125" style="2881"/>
    <col min="11019" max="11020" width="11.5703125" style="2881" bestFit="1" customWidth="1"/>
    <col min="11021" max="11022" width="11.42578125" style="2881"/>
    <col min="11023" max="11023" width="12.28515625" style="2881" bestFit="1" customWidth="1"/>
    <col min="11024" max="11024" width="11.5703125" style="2881" bestFit="1" customWidth="1"/>
    <col min="11025" max="11025" width="11.42578125" style="2881"/>
    <col min="11026" max="11026" width="12.28515625" style="2881" bestFit="1" customWidth="1"/>
    <col min="11027" max="11027" width="11.5703125" style="2881" bestFit="1" customWidth="1"/>
    <col min="11028" max="11264" width="11.42578125" style="2881"/>
    <col min="11265" max="11265" width="4.5703125" style="2881" customWidth="1"/>
    <col min="11266" max="11266" width="10.42578125" style="2881" customWidth="1"/>
    <col min="11267" max="11272" width="11.42578125" style="2881"/>
    <col min="11273" max="11273" width="12.85546875" style="2881" customWidth="1"/>
    <col min="11274" max="11274" width="11.42578125" style="2881"/>
    <col min="11275" max="11276" width="11.5703125" style="2881" bestFit="1" customWidth="1"/>
    <col min="11277" max="11278" width="11.42578125" style="2881"/>
    <col min="11279" max="11279" width="12.28515625" style="2881" bestFit="1" customWidth="1"/>
    <col min="11280" max="11280" width="11.5703125" style="2881" bestFit="1" customWidth="1"/>
    <col min="11281" max="11281" width="11.42578125" style="2881"/>
    <col min="11282" max="11282" width="12.28515625" style="2881" bestFit="1" customWidth="1"/>
    <col min="11283" max="11283" width="11.5703125" style="2881" bestFit="1" customWidth="1"/>
    <col min="11284" max="11520" width="11.42578125" style="2881"/>
    <col min="11521" max="11521" width="4.5703125" style="2881" customWidth="1"/>
    <col min="11522" max="11522" width="10.42578125" style="2881" customWidth="1"/>
    <col min="11523" max="11528" width="11.42578125" style="2881"/>
    <col min="11529" max="11529" width="12.85546875" style="2881" customWidth="1"/>
    <col min="11530" max="11530" width="11.42578125" style="2881"/>
    <col min="11531" max="11532" width="11.5703125" style="2881" bestFit="1" customWidth="1"/>
    <col min="11533" max="11534" width="11.42578125" style="2881"/>
    <col min="11535" max="11535" width="12.28515625" style="2881" bestFit="1" customWidth="1"/>
    <col min="11536" max="11536" width="11.5703125" style="2881" bestFit="1" customWidth="1"/>
    <col min="11537" max="11537" width="11.42578125" style="2881"/>
    <col min="11538" max="11538" width="12.28515625" style="2881" bestFit="1" customWidth="1"/>
    <col min="11539" max="11539" width="11.5703125" style="2881" bestFit="1" customWidth="1"/>
    <col min="11540" max="11776" width="11.42578125" style="2881"/>
    <col min="11777" max="11777" width="4.5703125" style="2881" customWidth="1"/>
    <col min="11778" max="11778" width="10.42578125" style="2881" customWidth="1"/>
    <col min="11779" max="11784" width="11.42578125" style="2881"/>
    <col min="11785" max="11785" width="12.85546875" style="2881" customWidth="1"/>
    <col min="11786" max="11786" width="11.42578125" style="2881"/>
    <col min="11787" max="11788" width="11.5703125" style="2881" bestFit="1" customWidth="1"/>
    <col min="11789" max="11790" width="11.42578125" style="2881"/>
    <col min="11791" max="11791" width="12.28515625" style="2881" bestFit="1" customWidth="1"/>
    <col min="11792" max="11792" width="11.5703125" style="2881" bestFit="1" customWidth="1"/>
    <col min="11793" max="11793" width="11.42578125" style="2881"/>
    <col min="11794" max="11794" width="12.28515625" style="2881" bestFit="1" customWidth="1"/>
    <col min="11795" max="11795" width="11.5703125" style="2881" bestFit="1" customWidth="1"/>
    <col min="11796" max="12032" width="11.42578125" style="2881"/>
    <col min="12033" max="12033" width="4.5703125" style="2881" customWidth="1"/>
    <col min="12034" max="12034" width="10.42578125" style="2881" customWidth="1"/>
    <col min="12035" max="12040" width="11.42578125" style="2881"/>
    <col min="12041" max="12041" width="12.85546875" style="2881" customWidth="1"/>
    <col min="12042" max="12042" width="11.42578125" style="2881"/>
    <col min="12043" max="12044" width="11.5703125" style="2881" bestFit="1" customWidth="1"/>
    <col min="12045" max="12046" width="11.42578125" style="2881"/>
    <col min="12047" max="12047" width="12.28515625" style="2881" bestFit="1" customWidth="1"/>
    <col min="12048" max="12048" width="11.5703125" style="2881" bestFit="1" customWidth="1"/>
    <col min="12049" max="12049" width="11.42578125" style="2881"/>
    <col min="12050" max="12050" width="12.28515625" style="2881" bestFit="1" customWidth="1"/>
    <col min="12051" max="12051" width="11.5703125" style="2881" bestFit="1" customWidth="1"/>
    <col min="12052" max="12288" width="11.42578125" style="2881"/>
    <col min="12289" max="12289" width="4.5703125" style="2881" customWidth="1"/>
    <col min="12290" max="12290" width="10.42578125" style="2881" customWidth="1"/>
    <col min="12291" max="12296" width="11.42578125" style="2881"/>
    <col min="12297" max="12297" width="12.85546875" style="2881" customWidth="1"/>
    <col min="12298" max="12298" width="11.42578125" style="2881"/>
    <col min="12299" max="12300" width="11.5703125" style="2881" bestFit="1" customWidth="1"/>
    <col min="12301" max="12302" width="11.42578125" style="2881"/>
    <col min="12303" max="12303" width="12.28515625" style="2881" bestFit="1" customWidth="1"/>
    <col min="12304" max="12304" width="11.5703125" style="2881" bestFit="1" customWidth="1"/>
    <col min="12305" max="12305" width="11.42578125" style="2881"/>
    <col min="12306" max="12306" width="12.28515625" style="2881" bestFit="1" customWidth="1"/>
    <col min="12307" max="12307" width="11.5703125" style="2881" bestFit="1" customWidth="1"/>
    <col min="12308" max="12544" width="11.42578125" style="2881"/>
    <col min="12545" max="12545" width="4.5703125" style="2881" customWidth="1"/>
    <col min="12546" max="12546" width="10.42578125" style="2881" customWidth="1"/>
    <col min="12547" max="12552" width="11.42578125" style="2881"/>
    <col min="12553" max="12553" width="12.85546875" style="2881" customWidth="1"/>
    <col min="12554" max="12554" width="11.42578125" style="2881"/>
    <col min="12555" max="12556" width="11.5703125" style="2881" bestFit="1" customWidth="1"/>
    <col min="12557" max="12558" width="11.42578125" style="2881"/>
    <col min="12559" max="12559" width="12.28515625" style="2881" bestFit="1" customWidth="1"/>
    <col min="12560" max="12560" width="11.5703125" style="2881" bestFit="1" customWidth="1"/>
    <col min="12561" max="12561" width="11.42578125" style="2881"/>
    <col min="12562" max="12562" width="12.28515625" style="2881" bestFit="1" customWidth="1"/>
    <col min="12563" max="12563" width="11.5703125" style="2881" bestFit="1" customWidth="1"/>
    <col min="12564" max="12800" width="11.42578125" style="2881"/>
    <col min="12801" max="12801" width="4.5703125" style="2881" customWidth="1"/>
    <col min="12802" max="12802" width="10.42578125" style="2881" customWidth="1"/>
    <col min="12803" max="12808" width="11.42578125" style="2881"/>
    <col min="12809" max="12809" width="12.85546875" style="2881" customWidth="1"/>
    <col min="12810" max="12810" width="11.42578125" style="2881"/>
    <col min="12811" max="12812" width="11.5703125" style="2881" bestFit="1" customWidth="1"/>
    <col min="12813" max="12814" width="11.42578125" style="2881"/>
    <col min="12815" max="12815" width="12.28515625" style="2881" bestFit="1" customWidth="1"/>
    <col min="12816" max="12816" width="11.5703125" style="2881" bestFit="1" customWidth="1"/>
    <col min="12817" max="12817" width="11.42578125" style="2881"/>
    <col min="12818" max="12818" width="12.28515625" style="2881" bestFit="1" customWidth="1"/>
    <col min="12819" max="12819" width="11.5703125" style="2881" bestFit="1" customWidth="1"/>
    <col min="12820" max="13056" width="11.42578125" style="2881"/>
    <col min="13057" max="13057" width="4.5703125" style="2881" customWidth="1"/>
    <col min="13058" max="13058" width="10.42578125" style="2881" customWidth="1"/>
    <col min="13059" max="13064" width="11.42578125" style="2881"/>
    <col min="13065" max="13065" width="12.85546875" style="2881" customWidth="1"/>
    <col min="13066" max="13066" width="11.42578125" style="2881"/>
    <col min="13067" max="13068" width="11.5703125" style="2881" bestFit="1" customWidth="1"/>
    <col min="13069" max="13070" width="11.42578125" style="2881"/>
    <col min="13071" max="13071" width="12.28515625" style="2881" bestFit="1" customWidth="1"/>
    <col min="13072" max="13072" width="11.5703125" style="2881" bestFit="1" customWidth="1"/>
    <col min="13073" max="13073" width="11.42578125" style="2881"/>
    <col min="13074" max="13074" width="12.28515625" style="2881" bestFit="1" customWidth="1"/>
    <col min="13075" max="13075" width="11.5703125" style="2881" bestFit="1" customWidth="1"/>
    <col min="13076" max="13312" width="11.42578125" style="2881"/>
    <col min="13313" max="13313" width="4.5703125" style="2881" customWidth="1"/>
    <col min="13314" max="13314" width="10.42578125" style="2881" customWidth="1"/>
    <col min="13315" max="13320" width="11.42578125" style="2881"/>
    <col min="13321" max="13321" width="12.85546875" style="2881" customWidth="1"/>
    <col min="13322" max="13322" width="11.42578125" style="2881"/>
    <col min="13323" max="13324" width="11.5703125" style="2881" bestFit="1" customWidth="1"/>
    <col min="13325" max="13326" width="11.42578125" style="2881"/>
    <col min="13327" max="13327" width="12.28515625" style="2881" bestFit="1" customWidth="1"/>
    <col min="13328" max="13328" width="11.5703125" style="2881" bestFit="1" customWidth="1"/>
    <col min="13329" max="13329" width="11.42578125" style="2881"/>
    <col min="13330" max="13330" width="12.28515625" style="2881" bestFit="1" customWidth="1"/>
    <col min="13331" max="13331" width="11.5703125" style="2881" bestFit="1" customWidth="1"/>
    <col min="13332" max="13568" width="11.42578125" style="2881"/>
    <col min="13569" max="13569" width="4.5703125" style="2881" customWidth="1"/>
    <col min="13570" max="13570" width="10.42578125" style="2881" customWidth="1"/>
    <col min="13571" max="13576" width="11.42578125" style="2881"/>
    <col min="13577" max="13577" width="12.85546875" style="2881" customWidth="1"/>
    <col min="13578" max="13578" width="11.42578125" style="2881"/>
    <col min="13579" max="13580" width="11.5703125" style="2881" bestFit="1" customWidth="1"/>
    <col min="13581" max="13582" width="11.42578125" style="2881"/>
    <col min="13583" max="13583" width="12.28515625" style="2881" bestFit="1" customWidth="1"/>
    <col min="13584" max="13584" width="11.5703125" style="2881" bestFit="1" customWidth="1"/>
    <col min="13585" max="13585" width="11.42578125" style="2881"/>
    <col min="13586" max="13586" width="12.28515625" style="2881" bestFit="1" customWidth="1"/>
    <col min="13587" max="13587" width="11.5703125" style="2881" bestFit="1" customWidth="1"/>
    <col min="13588" max="13824" width="11.42578125" style="2881"/>
    <col min="13825" max="13825" width="4.5703125" style="2881" customWidth="1"/>
    <col min="13826" max="13826" width="10.42578125" style="2881" customWidth="1"/>
    <col min="13827" max="13832" width="11.42578125" style="2881"/>
    <col min="13833" max="13833" width="12.85546875" style="2881" customWidth="1"/>
    <col min="13834" max="13834" width="11.42578125" style="2881"/>
    <col min="13835" max="13836" width="11.5703125" style="2881" bestFit="1" customWidth="1"/>
    <col min="13837" max="13838" width="11.42578125" style="2881"/>
    <col min="13839" max="13839" width="12.28515625" style="2881" bestFit="1" customWidth="1"/>
    <col min="13840" max="13840" width="11.5703125" style="2881" bestFit="1" customWidth="1"/>
    <col min="13841" max="13841" width="11.42578125" style="2881"/>
    <col min="13842" max="13842" width="12.28515625" style="2881" bestFit="1" customWidth="1"/>
    <col min="13843" max="13843" width="11.5703125" style="2881" bestFit="1" customWidth="1"/>
    <col min="13844" max="14080" width="11.42578125" style="2881"/>
    <col min="14081" max="14081" width="4.5703125" style="2881" customWidth="1"/>
    <col min="14082" max="14082" width="10.42578125" style="2881" customWidth="1"/>
    <col min="14083" max="14088" width="11.42578125" style="2881"/>
    <col min="14089" max="14089" width="12.85546875" style="2881" customWidth="1"/>
    <col min="14090" max="14090" width="11.42578125" style="2881"/>
    <col min="14091" max="14092" width="11.5703125" style="2881" bestFit="1" customWidth="1"/>
    <col min="14093" max="14094" width="11.42578125" style="2881"/>
    <col min="14095" max="14095" width="12.28515625" style="2881" bestFit="1" customWidth="1"/>
    <col min="14096" max="14096" width="11.5703125" style="2881" bestFit="1" customWidth="1"/>
    <col min="14097" max="14097" width="11.42578125" style="2881"/>
    <col min="14098" max="14098" width="12.28515625" style="2881" bestFit="1" customWidth="1"/>
    <col min="14099" max="14099" width="11.5703125" style="2881" bestFit="1" customWidth="1"/>
    <col min="14100" max="14336" width="11.42578125" style="2881"/>
    <col min="14337" max="14337" width="4.5703125" style="2881" customWidth="1"/>
    <col min="14338" max="14338" width="10.42578125" style="2881" customWidth="1"/>
    <col min="14339" max="14344" width="11.42578125" style="2881"/>
    <col min="14345" max="14345" width="12.85546875" style="2881" customWidth="1"/>
    <col min="14346" max="14346" width="11.42578125" style="2881"/>
    <col min="14347" max="14348" width="11.5703125" style="2881" bestFit="1" customWidth="1"/>
    <col min="14349" max="14350" width="11.42578125" style="2881"/>
    <col min="14351" max="14351" width="12.28515625" style="2881" bestFit="1" customWidth="1"/>
    <col min="14352" max="14352" width="11.5703125" style="2881" bestFit="1" customWidth="1"/>
    <col min="14353" max="14353" width="11.42578125" style="2881"/>
    <col min="14354" max="14354" width="12.28515625" style="2881" bestFit="1" customWidth="1"/>
    <col min="14355" max="14355" width="11.5703125" style="2881" bestFit="1" customWidth="1"/>
    <col min="14356" max="14592" width="11.42578125" style="2881"/>
    <col min="14593" max="14593" width="4.5703125" style="2881" customWidth="1"/>
    <col min="14594" max="14594" width="10.42578125" style="2881" customWidth="1"/>
    <col min="14595" max="14600" width="11.42578125" style="2881"/>
    <col min="14601" max="14601" width="12.85546875" style="2881" customWidth="1"/>
    <col min="14602" max="14602" width="11.42578125" style="2881"/>
    <col min="14603" max="14604" width="11.5703125" style="2881" bestFit="1" customWidth="1"/>
    <col min="14605" max="14606" width="11.42578125" style="2881"/>
    <col min="14607" max="14607" width="12.28515625" style="2881" bestFit="1" customWidth="1"/>
    <col min="14608" max="14608" width="11.5703125" style="2881" bestFit="1" customWidth="1"/>
    <col min="14609" max="14609" width="11.42578125" style="2881"/>
    <col min="14610" max="14610" width="12.28515625" style="2881" bestFit="1" customWidth="1"/>
    <col min="14611" max="14611" width="11.5703125" style="2881" bestFit="1" customWidth="1"/>
    <col min="14612" max="14848" width="11.42578125" style="2881"/>
    <col min="14849" max="14849" width="4.5703125" style="2881" customWidth="1"/>
    <col min="14850" max="14850" width="10.42578125" style="2881" customWidth="1"/>
    <col min="14851" max="14856" width="11.42578125" style="2881"/>
    <col min="14857" max="14857" width="12.85546875" style="2881" customWidth="1"/>
    <col min="14858" max="14858" width="11.42578125" style="2881"/>
    <col min="14859" max="14860" width="11.5703125" style="2881" bestFit="1" customWidth="1"/>
    <col min="14861" max="14862" width="11.42578125" style="2881"/>
    <col min="14863" max="14863" width="12.28515625" style="2881" bestFit="1" customWidth="1"/>
    <col min="14864" max="14864" width="11.5703125" style="2881" bestFit="1" customWidth="1"/>
    <col min="14865" max="14865" width="11.42578125" style="2881"/>
    <col min="14866" max="14866" width="12.28515625" style="2881" bestFit="1" customWidth="1"/>
    <col min="14867" max="14867" width="11.5703125" style="2881" bestFit="1" customWidth="1"/>
    <col min="14868" max="15104" width="11.42578125" style="2881"/>
    <col min="15105" max="15105" width="4.5703125" style="2881" customWidth="1"/>
    <col min="15106" max="15106" width="10.42578125" style="2881" customWidth="1"/>
    <col min="15107" max="15112" width="11.42578125" style="2881"/>
    <col min="15113" max="15113" width="12.85546875" style="2881" customWidth="1"/>
    <col min="15114" max="15114" width="11.42578125" style="2881"/>
    <col min="15115" max="15116" width="11.5703125" style="2881" bestFit="1" customWidth="1"/>
    <col min="15117" max="15118" width="11.42578125" style="2881"/>
    <col min="15119" max="15119" width="12.28515625" style="2881" bestFit="1" customWidth="1"/>
    <col min="15120" max="15120" width="11.5703125" style="2881" bestFit="1" customWidth="1"/>
    <col min="15121" max="15121" width="11.42578125" style="2881"/>
    <col min="15122" max="15122" width="12.28515625" style="2881" bestFit="1" customWidth="1"/>
    <col min="15123" max="15123" width="11.5703125" style="2881" bestFit="1" customWidth="1"/>
    <col min="15124" max="15360" width="11.42578125" style="2881"/>
    <col min="15361" max="15361" width="4.5703125" style="2881" customWidth="1"/>
    <col min="15362" max="15362" width="10.42578125" style="2881" customWidth="1"/>
    <col min="15363" max="15368" width="11.42578125" style="2881"/>
    <col min="15369" max="15369" width="12.85546875" style="2881" customWidth="1"/>
    <col min="15370" max="15370" width="11.42578125" style="2881"/>
    <col min="15371" max="15372" width="11.5703125" style="2881" bestFit="1" customWidth="1"/>
    <col min="15373" max="15374" width="11.42578125" style="2881"/>
    <col min="15375" max="15375" width="12.28515625" style="2881" bestFit="1" customWidth="1"/>
    <col min="15376" max="15376" width="11.5703125" style="2881" bestFit="1" customWidth="1"/>
    <col min="15377" max="15377" width="11.42578125" style="2881"/>
    <col min="15378" max="15378" width="12.28515625" style="2881" bestFit="1" customWidth="1"/>
    <col min="15379" max="15379" width="11.5703125" style="2881" bestFit="1" customWidth="1"/>
    <col min="15380" max="15616" width="11.42578125" style="2881"/>
    <col min="15617" max="15617" width="4.5703125" style="2881" customWidth="1"/>
    <col min="15618" max="15618" width="10.42578125" style="2881" customWidth="1"/>
    <col min="15619" max="15624" width="11.42578125" style="2881"/>
    <col min="15625" max="15625" width="12.85546875" style="2881" customWidth="1"/>
    <col min="15626" max="15626" width="11.42578125" style="2881"/>
    <col min="15627" max="15628" width="11.5703125" style="2881" bestFit="1" customWidth="1"/>
    <col min="15629" max="15630" width="11.42578125" style="2881"/>
    <col min="15631" max="15631" width="12.28515625" style="2881" bestFit="1" customWidth="1"/>
    <col min="15632" max="15632" width="11.5703125" style="2881" bestFit="1" customWidth="1"/>
    <col min="15633" max="15633" width="11.42578125" style="2881"/>
    <col min="15634" max="15634" width="12.28515625" style="2881" bestFit="1" customWidth="1"/>
    <col min="15635" max="15635" width="11.5703125" style="2881" bestFit="1" customWidth="1"/>
    <col min="15636" max="15872" width="11.42578125" style="2881"/>
    <col min="15873" max="15873" width="4.5703125" style="2881" customWidth="1"/>
    <col min="15874" max="15874" width="10.42578125" style="2881" customWidth="1"/>
    <col min="15875" max="15880" width="11.42578125" style="2881"/>
    <col min="15881" max="15881" width="12.85546875" style="2881" customWidth="1"/>
    <col min="15882" max="15882" width="11.42578125" style="2881"/>
    <col min="15883" max="15884" width="11.5703125" style="2881" bestFit="1" customWidth="1"/>
    <col min="15885" max="15886" width="11.42578125" style="2881"/>
    <col min="15887" max="15887" width="12.28515625" style="2881" bestFit="1" customWidth="1"/>
    <col min="15888" max="15888" width="11.5703125" style="2881" bestFit="1" customWidth="1"/>
    <col min="15889" max="15889" width="11.42578125" style="2881"/>
    <col min="15890" max="15890" width="12.28515625" style="2881" bestFit="1" customWidth="1"/>
    <col min="15891" max="15891" width="11.5703125" style="2881" bestFit="1" customWidth="1"/>
    <col min="15892" max="16128" width="11.42578125" style="2881"/>
    <col min="16129" max="16129" width="4.5703125" style="2881" customWidth="1"/>
    <col min="16130" max="16130" width="10.42578125" style="2881" customWidth="1"/>
    <col min="16131" max="16136" width="11.42578125" style="2881"/>
    <col min="16137" max="16137" width="12.85546875" style="2881" customWidth="1"/>
    <col min="16138" max="16138" width="11.42578125" style="2881"/>
    <col min="16139" max="16140" width="11.5703125" style="2881" bestFit="1" customWidth="1"/>
    <col min="16141" max="16142" width="11.42578125" style="2881"/>
    <col min="16143" max="16143" width="12.28515625" style="2881" bestFit="1" customWidth="1"/>
    <col min="16144" max="16144" width="11.5703125" style="2881" bestFit="1" customWidth="1"/>
    <col min="16145" max="16145" width="11.42578125" style="2881"/>
    <col min="16146" max="16146" width="12.28515625" style="2881" bestFit="1" customWidth="1"/>
    <col min="16147" max="16147" width="11.5703125" style="2881" bestFit="1" customWidth="1"/>
    <col min="16148" max="16384" width="11.42578125" style="2881"/>
  </cols>
  <sheetData>
    <row r="1" spans="1:27" s="988" customFormat="1">
      <c r="A1" s="2882"/>
      <c r="B1" s="1106"/>
      <c r="C1" s="1106"/>
      <c r="D1" s="1106"/>
      <c r="E1" s="1106"/>
      <c r="F1" s="1106"/>
      <c r="G1" s="1106"/>
      <c r="H1" s="1106"/>
      <c r="I1" s="1106"/>
      <c r="J1" s="1106"/>
      <c r="K1" s="1106"/>
      <c r="L1" s="1106"/>
      <c r="M1" s="1106"/>
      <c r="N1" s="2882"/>
      <c r="O1" s="2882"/>
      <c r="P1" s="2882"/>
      <c r="Q1" s="2882"/>
      <c r="R1" s="2882"/>
      <c r="S1" s="2882"/>
      <c r="T1" s="2882"/>
      <c r="U1" s="2882"/>
      <c r="V1" s="2882"/>
      <c r="W1" s="2881"/>
      <c r="X1" s="2881"/>
      <c r="Y1" s="2881"/>
      <c r="Z1" s="2881"/>
      <c r="AA1" s="2881"/>
    </row>
    <row r="2" spans="1:27" s="988" customFormat="1" ht="37.5" customHeight="1">
      <c r="A2" s="2882"/>
      <c r="B2" s="1106"/>
      <c r="C2" s="3195" t="s">
        <v>6616</v>
      </c>
      <c r="D2" s="1106"/>
      <c r="E2" s="1106"/>
      <c r="F2" s="1106"/>
      <c r="G2" s="1106"/>
      <c r="H2" s="1106"/>
      <c r="I2" s="1106"/>
      <c r="J2" s="1106"/>
      <c r="K2" s="1106"/>
      <c r="L2" s="1106"/>
      <c r="M2" s="1106"/>
      <c r="N2" s="2882"/>
      <c r="O2" s="2882"/>
      <c r="P2" s="2882"/>
      <c r="Q2" s="2882"/>
      <c r="R2" s="2882"/>
      <c r="S2" s="2882"/>
      <c r="T2" s="2882"/>
      <c r="U2" s="2882"/>
      <c r="V2" s="2882"/>
      <c r="W2" s="2881"/>
      <c r="X2" s="2881"/>
      <c r="Y2" s="2881"/>
      <c r="Z2" s="2881"/>
      <c r="AA2" s="2881"/>
    </row>
    <row r="3" spans="1:27" s="988" customFormat="1" ht="37.5" customHeight="1">
      <c r="A3" s="2882"/>
      <c r="B3" s="1106"/>
      <c r="C3" s="3195" t="s">
        <v>6615</v>
      </c>
      <c r="D3" s="1106"/>
      <c r="E3" s="1106"/>
      <c r="F3" s="1106"/>
      <c r="G3" s="1106"/>
      <c r="H3" s="1106"/>
      <c r="I3" s="1106"/>
      <c r="J3" s="1106"/>
      <c r="K3" s="1106"/>
      <c r="L3" s="1106"/>
      <c r="M3" s="1106"/>
      <c r="N3" s="2882"/>
      <c r="O3" s="2882"/>
      <c r="P3" s="2882"/>
      <c r="Q3" s="2882"/>
      <c r="R3" s="2882"/>
      <c r="S3" s="2882"/>
      <c r="T3" s="2882"/>
      <c r="U3" s="2882"/>
      <c r="V3" s="2882"/>
      <c r="W3" s="2881"/>
      <c r="X3" s="2881"/>
      <c r="Y3" s="2881"/>
      <c r="Z3" s="2881"/>
      <c r="AA3" s="2881"/>
    </row>
    <row r="4" spans="1:27" s="988" customFormat="1" ht="20.25">
      <c r="A4" s="2882"/>
      <c r="B4" s="3194"/>
      <c r="C4" s="1106"/>
      <c r="D4" s="1106"/>
      <c r="E4" s="1106"/>
      <c r="F4" s="1106"/>
      <c r="G4" s="1106"/>
      <c r="H4" s="3194"/>
      <c r="I4" s="3194"/>
      <c r="J4" s="3194"/>
      <c r="K4" s="1106"/>
      <c r="L4" s="1106"/>
      <c r="M4" s="1106"/>
      <c r="N4" s="2882"/>
      <c r="O4" s="2882"/>
      <c r="P4" s="2882"/>
      <c r="Q4" s="2882"/>
      <c r="R4" s="2882"/>
      <c r="S4" s="2882"/>
      <c r="T4" s="2882"/>
      <c r="U4" s="2882"/>
      <c r="V4" s="2882"/>
      <c r="W4" s="2881"/>
      <c r="X4" s="2881"/>
      <c r="Y4" s="2881"/>
      <c r="Z4" s="2881"/>
      <c r="AA4" s="2881"/>
    </row>
    <row r="5" spans="1:27" s="3132" customFormat="1" ht="36.75" customHeight="1">
      <c r="A5" s="3139"/>
      <c r="B5" s="3193" t="s">
        <v>6614</v>
      </c>
      <c r="C5" s="3192"/>
      <c r="D5" s="3192"/>
      <c r="E5" s="3191"/>
      <c r="F5" s="3191"/>
      <c r="G5" s="3191"/>
      <c r="H5" s="3191"/>
      <c r="I5" s="3191"/>
      <c r="J5" s="3191"/>
      <c r="K5" s="3191"/>
      <c r="L5" s="3190"/>
      <c r="M5" s="3189"/>
      <c r="N5" s="3189"/>
      <c r="O5" s="3189"/>
      <c r="P5" s="3189"/>
      <c r="Q5" s="3189"/>
      <c r="R5" s="3189"/>
      <c r="S5" s="3189"/>
      <c r="T5" s="3188" t="s">
        <v>533</v>
      </c>
      <c r="U5" s="3125"/>
      <c r="V5" s="3125"/>
    </row>
    <row r="6" spans="1:27" s="3187" customFormat="1" ht="6.75" customHeight="1">
      <c r="A6" s="3139"/>
      <c r="O6" s="3132"/>
      <c r="Q6" s="3132"/>
      <c r="R6" s="3132"/>
      <c r="S6" s="3132"/>
      <c r="T6" s="3132"/>
      <c r="U6" s="3150"/>
      <c r="V6" s="3150"/>
    </row>
    <row r="7" spans="1:27" s="3187" customFormat="1" ht="6.75" customHeight="1" thickBot="1">
      <c r="A7" s="3139"/>
      <c r="O7" s="3132"/>
      <c r="Q7" s="3132"/>
      <c r="R7" s="3132"/>
      <c r="S7" s="3132"/>
      <c r="T7" s="3132"/>
      <c r="U7" s="3150"/>
      <c r="V7" s="3150"/>
    </row>
    <row r="8" spans="1:27" ht="15" customHeight="1">
      <c r="B8" s="4657" t="s">
        <v>6613</v>
      </c>
      <c r="C8" s="4658"/>
      <c r="D8" s="4658"/>
      <c r="E8" s="4658"/>
      <c r="F8" s="4658"/>
      <c r="G8" s="4658"/>
      <c r="H8" s="4658"/>
      <c r="I8" s="4658"/>
      <c r="J8" s="4658"/>
      <c r="K8" s="4658"/>
      <c r="L8" s="3959" t="s">
        <v>116</v>
      </c>
      <c r="M8" s="3959"/>
      <c r="N8" s="3961">
        <v>3</v>
      </c>
      <c r="O8" s="3963" t="s">
        <v>22</v>
      </c>
      <c r="U8" s="2882"/>
      <c r="V8" s="2882"/>
    </row>
    <row r="9" spans="1:27" ht="15" customHeight="1">
      <c r="B9" s="4659"/>
      <c r="C9" s="4660"/>
      <c r="D9" s="4660"/>
      <c r="E9" s="4660"/>
      <c r="F9" s="4660"/>
      <c r="G9" s="4660"/>
      <c r="H9" s="4660"/>
      <c r="I9" s="4660"/>
      <c r="J9" s="4660"/>
      <c r="K9" s="4660"/>
      <c r="L9" s="3569"/>
      <c r="M9" s="3569"/>
      <c r="N9" s="3593"/>
      <c r="O9" s="3595"/>
      <c r="U9" s="2882"/>
      <c r="V9" s="2882"/>
    </row>
    <row r="10" spans="1:27" ht="15" customHeight="1">
      <c r="B10" s="3186" t="s">
        <v>119</v>
      </c>
      <c r="C10" s="3176"/>
      <c r="D10" s="3176"/>
      <c r="E10" s="3185"/>
      <c r="F10" s="3184"/>
      <c r="G10" s="3183"/>
      <c r="H10" s="3176"/>
      <c r="I10" s="3176"/>
      <c r="J10" s="3182" t="s">
        <v>120</v>
      </c>
      <c r="K10" s="3176"/>
      <c r="L10" s="3181"/>
      <c r="M10" s="3181" t="s">
        <v>121</v>
      </c>
      <c r="N10" s="3180">
        <f>N8</f>
        <v>3</v>
      </c>
      <c r="O10" s="3179" t="str">
        <f>O8</f>
        <v>Kg</v>
      </c>
      <c r="U10" s="2882"/>
      <c r="V10" s="2882"/>
    </row>
    <row r="11" spans="1:27" ht="15" customHeight="1">
      <c r="B11" s="3965">
        <f>SUM(C14:C19)</f>
        <v>728</v>
      </c>
      <c r="C11" s="3830" t="s">
        <v>122</v>
      </c>
      <c r="D11" s="3553">
        <f>(D14*C14)/1000+(D15*C15)/1000+(D16*C16)/1000+(D17*C17)/1000+(D18*C18)/1000+(D19*C19)/1000</f>
        <v>143.14000000000001</v>
      </c>
      <c r="E11" s="3597">
        <f>IF(D11=0,0,INT(D11/N8))</f>
        <v>47</v>
      </c>
      <c r="F11" s="3597"/>
      <c r="G11" s="4661">
        <f>D11-(E11*N8)</f>
        <v>2.1400000000000148</v>
      </c>
      <c r="H11" s="3581" t="str">
        <f>IF(G11=0,0,O8)</f>
        <v>Kg</v>
      </c>
      <c r="I11" s="3581"/>
      <c r="J11" s="3830" t="s">
        <v>313</v>
      </c>
      <c r="K11" s="17"/>
      <c r="L11" s="3597">
        <f>IF(G11=0,0,E11+1)</f>
        <v>48</v>
      </c>
      <c r="M11" s="3597"/>
      <c r="N11" s="4661">
        <f>IF(G11=0,0,D11-(L11*N8))</f>
        <v>-0.85999999999998522</v>
      </c>
      <c r="O11" s="3557" t="str">
        <f>IF(N11=0,0,O8)</f>
        <v>Kg</v>
      </c>
      <c r="U11" s="2882"/>
      <c r="V11" s="2882"/>
    </row>
    <row r="12" spans="1:27" ht="15" customHeight="1">
      <c r="B12" s="3574"/>
      <c r="C12" s="3831"/>
      <c r="D12" s="3596"/>
      <c r="E12" s="3598"/>
      <c r="F12" s="3598"/>
      <c r="G12" s="4662"/>
      <c r="H12" s="3582"/>
      <c r="I12" s="3582"/>
      <c r="J12" s="3831"/>
      <c r="K12" s="273"/>
      <c r="L12" s="3598"/>
      <c r="M12" s="3598"/>
      <c r="N12" s="4662"/>
      <c r="O12" s="3558"/>
      <c r="U12" s="2882"/>
      <c r="V12" s="2882"/>
    </row>
    <row r="13" spans="1:27" ht="15" customHeight="1">
      <c r="B13" s="3178"/>
      <c r="C13" s="3177" t="s">
        <v>124</v>
      </c>
      <c r="D13" s="855" t="s">
        <v>125</v>
      </c>
      <c r="E13" s="17"/>
      <c r="F13" s="279"/>
      <c r="G13" s="280"/>
      <c r="H13" s="854"/>
      <c r="I13" s="854"/>
      <c r="J13" s="854"/>
      <c r="K13" s="854" t="s">
        <v>126</v>
      </c>
      <c r="L13" s="3176"/>
      <c r="M13" s="3176"/>
      <c r="N13" s="3176"/>
      <c r="O13" s="3175"/>
      <c r="U13" s="2882"/>
      <c r="V13" s="2882"/>
    </row>
    <row r="14" spans="1:27" ht="15" customHeight="1">
      <c r="B14" s="3174" t="s">
        <v>128</v>
      </c>
      <c r="C14" s="836">
        <v>180</v>
      </c>
      <c r="D14" s="853">
        <v>130</v>
      </c>
      <c r="E14" s="287">
        <f t="shared" ref="E14:E19" si="0">(C14/1000)*D14</f>
        <v>23.4</v>
      </c>
      <c r="F14" s="288"/>
      <c r="G14" s="3552">
        <f>IF(E14=0,0,INT(E14/N8))</f>
        <v>7</v>
      </c>
      <c r="H14" s="3552"/>
      <c r="I14" s="3171">
        <f>E14-(G14*N8)</f>
        <v>2.3999999999999986</v>
      </c>
      <c r="J14" s="290" t="str">
        <f>IF(I14=0,0,O8)</f>
        <v>Kg</v>
      </c>
      <c r="K14" s="17"/>
      <c r="L14" s="291">
        <f t="shared" ref="L14:L19" si="1">IF(I14=0,0,G14+1)</f>
        <v>8</v>
      </c>
      <c r="M14" s="3170">
        <f>IF(I14=0,0,E14-(L14*N8))</f>
        <v>-0.60000000000000142</v>
      </c>
      <c r="N14" s="425" t="str">
        <f>IF(M14=0,0,O8)</f>
        <v>Kg</v>
      </c>
      <c r="O14" s="283"/>
      <c r="U14" s="2882"/>
      <c r="V14" s="2882"/>
    </row>
    <row r="15" spans="1:27" ht="15" customHeight="1">
      <c r="B15" s="3173" t="s">
        <v>129</v>
      </c>
      <c r="C15" s="836">
        <v>375</v>
      </c>
      <c r="D15" s="853">
        <v>210</v>
      </c>
      <c r="E15" s="287">
        <f t="shared" si="0"/>
        <v>78.75</v>
      </c>
      <c r="F15" s="17"/>
      <c r="G15" s="3552">
        <f>IF(E15=0,0,INT(E15/N8))</f>
        <v>26</v>
      </c>
      <c r="H15" s="3552"/>
      <c r="I15" s="3171">
        <f>E15-(G15*N8)</f>
        <v>0.75</v>
      </c>
      <c r="J15" s="290" t="str">
        <f>IF(I15=0,0,O8)</f>
        <v>Kg</v>
      </c>
      <c r="K15" s="17"/>
      <c r="L15" s="291">
        <f t="shared" si="1"/>
        <v>27</v>
      </c>
      <c r="M15" s="3170">
        <f>IF(I15=0,0,E15-(L15*N8))</f>
        <v>-2.25</v>
      </c>
      <c r="N15" s="425" t="str">
        <f>IF(M15=0,0,O8)</f>
        <v>Kg</v>
      </c>
      <c r="O15" s="283"/>
      <c r="U15" s="2882"/>
      <c r="V15" s="2882"/>
    </row>
    <row r="16" spans="1:27" ht="15" customHeight="1">
      <c r="B16" s="3172" t="s">
        <v>28</v>
      </c>
      <c r="C16" s="836">
        <v>53</v>
      </c>
      <c r="D16" s="853">
        <v>280</v>
      </c>
      <c r="E16" s="287">
        <f t="shared" si="0"/>
        <v>14.84</v>
      </c>
      <c r="F16" s="17"/>
      <c r="G16" s="3552">
        <f>IF(E16=0,0,INT(E16/N8))</f>
        <v>4</v>
      </c>
      <c r="H16" s="3552"/>
      <c r="I16" s="3171">
        <f>E16-(G16*N8)</f>
        <v>2.84</v>
      </c>
      <c r="J16" s="290" t="str">
        <f>IF(I16=0,0,O8)</f>
        <v>Kg</v>
      </c>
      <c r="K16" s="17"/>
      <c r="L16" s="291">
        <f t="shared" si="1"/>
        <v>5</v>
      </c>
      <c r="M16" s="3170">
        <f>IF(I16=0,0,E16-(L16*N8))</f>
        <v>-0.16000000000000014</v>
      </c>
      <c r="N16" s="425" t="str">
        <f>IF(M16=0,0,O8)</f>
        <v>Kg</v>
      </c>
      <c r="O16" s="283"/>
      <c r="U16" s="2882"/>
      <c r="V16" s="2882"/>
    </row>
    <row r="17" spans="1:22" ht="15" customHeight="1">
      <c r="B17" s="3172" t="s">
        <v>136</v>
      </c>
      <c r="C17" s="836">
        <v>25</v>
      </c>
      <c r="D17" s="853">
        <v>300</v>
      </c>
      <c r="E17" s="287">
        <f t="shared" si="0"/>
        <v>7.5</v>
      </c>
      <c r="F17" s="17"/>
      <c r="G17" s="3552">
        <f>IF(E17=0,0,INT(E17/N8))</f>
        <v>2</v>
      </c>
      <c r="H17" s="3552"/>
      <c r="I17" s="3171">
        <f>E17-(G17*N8)</f>
        <v>1.5</v>
      </c>
      <c r="J17" s="290" t="str">
        <f>IF(I17=0,0,O8)</f>
        <v>Kg</v>
      </c>
      <c r="K17" s="17"/>
      <c r="L17" s="291">
        <f t="shared" si="1"/>
        <v>3</v>
      </c>
      <c r="M17" s="3170">
        <f>IF(I17=0,0,E17-(L17*N8))</f>
        <v>-1.5</v>
      </c>
      <c r="N17" s="425" t="str">
        <f>IF(M17=0,0,O8)</f>
        <v>Kg</v>
      </c>
      <c r="O17" s="283"/>
      <c r="U17" s="2882"/>
      <c r="V17" s="2882"/>
    </row>
    <row r="18" spans="1:22" ht="15" customHeight="1">
      <c r="B18" s="3172" t="s">
        <v>56</v>
      </c>
      <c r="C18" s="836">
        <v>60</v>
      </c>
      <c r="D18" s="853">
        <v>200</v>
      </c>
      <c r="E18" s="287">
        <f t="shared" si="0"/>
        <v>12</v>
      </c>
      <c r="F18" s="17"/>
      <c r="G18" s="3552">
        <f>IF(E18=0,0,INT(E18/N8))</f>
        <v>4</v>
      </c>
      <c r="H18" s="3552"/>
      <c r="I18" s="3171">
        <f>E18-(G18*N8)</f>
        <v>0</v>
      </c>
      <c r="J18" s="290">
        <f>IF(I18=0,0,O8)</f>
        <v>0</v>
      </c>
      <c r="K18" s="17"/>
      <c r="L18" s="291">
        <f t="shared" si="1"/>
        <v>0</v>
      </c>
      <c r="M18" s="3170">
        <f>IF(I18=0,0,E18-(L18*N8))</f>
        <v>0</v>
      </c>
      <c r="N18" s="425">
        <f>IF(M18=0,0,O8)</f>
        <v>0</v>
      </c>
      <c r="O18" s="283"/>
      <c r="U18" s="2882"/>
      <c r="V18" s="2882"/>
    </row>
    <row r="19" spans="1:22" ht="15" customHeight="1">
      <c r="B19" s="3172" t="s">
        <v>57</v>
      </c>
      <c r="C19" s="836">
        <v>35</v>
      </c>
      <c r="D19" s="853">
        <v>190</v>
      </c>
      <c r="E19" s="287">
        <f t="shared" si="0"/>
        <v>6.65</v>
      </c>
      <c r="F19" s="17"/>
      <c r="G19" s="3552">
        <f>IF(E19=0,0,INT(E19/N8))</f>
        <v>2</v>
      </c>
      <c r="H19" s="3552"/>
      <c r="I19" s="3171">
        <f>E19-(G19*N8)</f>
        <v>0.65000000000000036</v>
      </c>
      <c r="J19" s="290" t="str">
        <f>IF(I19=0,0,O8)</f>
        <v>Kg</v>
      </c>
      <c r="K19" s="17"/>
      <c r="L19" s="291">
        <f t="shared" si="1"/>
        <v>3</v>
      </c>
      <c r="M19" s="3170">
        <f>IF(I19=0,0,E19-(L19*N8))</f>
        <v>-2.3499999999999996</v>
      </c>
      <c r="N19" s="425" t="str">
        <f>IF(M19=0,0,O8)</f>
        <v>Kg</v>
      </c>
      <c r="O19" s="283"/>
      <c r="U19" s="2882"/>
      <c r="V19" s="2882"/>
    </row>
    <row r="20" spans="1:22" ht="15" customHeight="1">
      <c r="B20" s="3169"/>
      <c r="C20" s="17"/>
      <c r="D20" s="17"/>
      <c r="E20" s="17"/>
      <c r="F20" s="17"/>
      <c r="G20" s="344" t="s">
        <v>139</v>
      </c>
      <c r="H20" s="344"/>
      <c r="I20" s="344"/>
      <c r="J20" s="344"/>
      <c r="K20" s="347"/>
      <c r="L20" s="344"/>
      <c r="M20" s="344"/>
      <c r="N20" s="344"/>
      <c r="O20" s="283"/>
      <c r="U20" s="2882"/>
      <c r="V20" s="2882"/>
    </row>
    <row r="21" spans="1:22" ht="15" customHeight="1">
      <c r="B21" s="3169"/>
      <c r="C21" s="17"/>
      <c r="D21" s="17"/>
      <c r="E21" s="17"/>
      <c r="F21" s="17"/>
      <c r="G21" s="3560">
        <f>IF(G23=0,0,INT(G23/N8))</f>
        <v>45</v>
      </c>
      <c r="H21" s="3560"/>
      <c r="I21" s="4882" t="s">
        <v>140</v>
      </c>
      <c r="J21" s="3553">
        <f>D11-G23</f>
        <v>8.1400000000000148</v>
      </c>
      <c r="K21" s="17"/>
      <c r="L21" s="4669" t="s">
        <v>141</v>
      </c>
      <c r="M21" s="4669"/>
      <c r="N21" s="3851">
        <f>COUNTIF(I14:I19,"&gt;0")</f>
        <v>5</v>
      </c>
      <c r="O21" s="3852" t="s">
        <v>142</v>
      </c>
      <c r="U21" s="2882"/>
      <c r="V21" s="2882"/>
    </row>
    <row r="22" spans="1:22" ht="15" customHeight="1">
      <c r="B22" s="3169"/>
      <c r="C22" s="17"/>
      <c r="D22" s="17"/>
      <c r="E22" s="17"/>
      <c r="F22" s="17"/>
      <c r="G22" s="3560"/>
      <c r="H22" s="3560"/>
      <c r="I22" s="4882"/>
      <c r="J22" s="3553"/>
      <c r="K22" s="17"/>
      <c r="L22" s="4669"/>
      <c r="M22" s="4669"/>
      <c r="N22" s="3851"/>
      <c r="O22" s="3852"/>
      <c r="U22" s="2882"/>
      <c r="V22" s="2882"/>
    </row>
    <row r="23" spans="1:22" ht="15" customHeight="1" thickBot="1">
      <c r="B23" s="3167"/>
      <c r="C23" s="3164"/>
      <c r="D23" s="3164"/>
      <c r="E23" s="3164"/>
      <c r="F23" s="3164"/>
      <c r="G23" s="3973">
        <f>SUM(G14:H19)*N8</f>
        <v>135</v>
      </c>
      <c r="H23" s="3973"/>
      <c r="I23" s="3164"/>
      <c r="J23" s="3165">
        <f>G23+J21</f>
        <v>143.14000000000001</v>
      </c>
      <c r="K23" s="3164"/>
      <c r="L23" s="3164"/>
      <c r="M23" s="3164"/>
      <c r="N23" s="3164"/>
      <c r="O23" s="3163"/>
      <c r="U23" s="2882"/>
      <c r="V23" s="2882"/>
    </row>
    <row r="24" spans="1:22" ht="33" customHeight="1">
      <c r="E24" s="2881"/>
      <c r="F24" s="2881"/>
      <c r="G24" s="2881"/>
      <c r="H24" s="2881"/>
      <c r="I24" s="2881"/>
      <c r="J24" s="2881"/>
      <c r="K24" s="2881"/>
      <c r="L24" s="2881"/>
      <c r="M24" s="2881"/>
      <c r="U24" s="2882"/>
      <c r="V24" s="2882"/>
    </row>
    <row r="25" spans="1:22" s="3132" customFormat="1" ht="36.75" customHeight="1">
      <c r="A25" s="3139"/>
      <c r="B25" s="3162" t="s">
        <v>6612</v>
      </c>
      <c r="C25" s="3161"/>
      <c r="D25" s="3161"/>
      <c r="E25" s="3160"/>
      <c r="F25" s="3160"/>
      <c r="G25" s="3160"/>
      <c r="H25" s="3160"/>
      <c r="I25" s="3160"/>
      <c r="J25" s="3160"/>
      <c r="K25" s="3160"/>
      <c r="L25" s="3159"/>
      <c r="M25" s="3158"/>
      <c r="N25" s="3158"/>
      <c r="O25" s="3158"/>
      <c r="P25" s="3158"/>
      <c r="Q25" s="3158"/>
      <c r="R25" s="3158"/>
      <c r="S25" s="3158"/>
      <c r="T25" s="3157" t="s">
        <v>533</v>
      </c>
      <c r="U25" s="3125"/>
      <c r="V25" s="3125"/>
    </row>
    <row r="26" spans="1:22" ht="30.75">
      <c r="B26" s="3156" t="s">
        <v>6611</v>
      </c>
      <c r="C26" s="3155"/>
      <c r="D26" s="3155"/>
      <c r="E26" s="3154"/>
      <c r="F26" s="3154"/>
      <c r="G26" s="3154"/>
      <c r="H26" s="3154"/>
      <c r="I26" s="3154"/>
      <c r="J26" s="3153"/>
      <c r="K26" s="3152"/>
      <c r="L26" s="3152"/>
      <c r="M26" s="3152"/>
      <c r="N26" s="3152"/>
      <c r="O26" s="3152"/>
      <c r="P26" s="3152"/>
      <c r="Q26" s="3152"/>
      <c r="R26" s="3152"/>
      <c r="S26" s="3152"/>
      <c r="T26" s="3151" t="s">
        <v>6610</v>
      </c>
      <c r="U26" s="3125"/>
      <c r="V26" s="2882"/>
    </row>
    <row r="27" spans="1:22" ht="20.25">
      <c r="B27" s="4663" t="s">
        <v>6604</v>
      </c>
      <c r="C27" s="4664"/>
      <c r="D27" s="4664"/>
      <c r="E27" s="4664"/>
      <c r="F27" s="4664"/>
      <c r="G27" s="4664"/>
      <c r="H27" s="4664"/>
      <c r="I27" s="4664"/>
      <c r="J27" s="4665"/>
      <c r="K27" s="4666" t="s">
        <v>6603</v>
      </c>
      <c r="L27" s="4667"/>
      <c r="M27" s="4667"/>
      <c r="N27" s="4667"/>
      <c r="O27" s="4667"/>
      <c r="P27" s="4667"/>
      <c r="Q27" s="4667"/>
      <c r="R27" s="4667"/>
      <c r="S27" s="4667"/>
      <c r="T27" s="4668"/>
      <c r="U27" s="3150"/>
      <c r="V27" s="2882"/>
    </row>
    <row r="28" spans="1:22" ht="38.25">
      <c r="B28" s="4670" t="s">
        <v>6602</v>
      </c>
      <c r="C28" s="4671"/>
      <c r="D28" s="4671"/>
      <c r="E28" s="4671"/>
      <c r="F28" s="3124" t="s">
        <v>116</v>
      </c>
      <c r="G28" s="4672" t="s">
        <v>6601</v>
      </c>
      <c r="H28" s="4672"/>
      <c r="I28" s="3149" t="s">
        <v>6599</v>
      </c>
      <c r="J28" s="3122" t="s">
        <v>190</v>
      </c>
      <c r="K28" s="3148" t="s">
        <v>6609</v>
      </c>
      <c r="L28" s="4673" t="s">
        <v>6598</v>
      </c>
      <c r="M28" s="4674"/>
      <c r="N28" s="4674"/>
      <c r="O28" s="3121" t="s">
        <v>6597</v>
      </c>
      <c r="P28" s="3120"/>
      <c r="Q28" s="3120"/>
      <c r="R28" s="3119"/>
      <c r="S28" s="3119"/>
      <c r="T28" s="3118"/>
      <c r="U28" s="3140"/>
      <c r="V28" s="2882"/>
    </row>
    <row r="29" spans="1:22" ht="28.5" customHeight="1">
      <c r="B29" s="4675" t="s">
        <v>6608</v>
      </c>
      <c r="C29" s="4676"/>
      <c r="D29" s="4676"/>
      <c r="E29" s="4676"/>
      <c r="F29" s="3117">
        <v>16</v>
      </c>
      <c r="G29" s="4677" t="s">
        <v>150</v>
      </c>
      <c r="H29" s="4677"/>
      <c r="I29" s="3147">
        <v>1</v>
      </c>
      <c r="J29" s="3146">
        <v>1250</v>
      </c>
      <c r="K29" s="3145">
        <f>F29/I29</f>
        <v>16</v>
      </c>
      <c r="L29" s="3115">
        <f>I29*J29</f>
        <v>1250</v>
      </c>
      <c r="M29" s="4678" t="str">
        <f>G29</f>
        <v>Cuisses</v>
      </c>
      <c r="N29" s="4678"/>
      <c r="O29" s="3143">
        <f>IF(L29=0,0,INT(L29/F29))</f>
        <v>78</v>
      </c>
      <c r="P29" s="3142">
        <f>L29-(O29*F29)</f>
        <v>2</v>
      </c>
      <c r="Q29" s="3144" t="str">
        <f>IF(P29=0,0,G29)</f>
        <v>Cuisses</v>
      </c>
      <c r="R29" s="3143">
        <f>IF(P29=0,0,O29+1)</f>
        <v>79</v>
      </c>
      <c r="S29" s="3142">
        <f>IF(P29=0,0,L29-(R29*F29))</f>
        <v>-14</v>
      </c>
      <c r="T29" s="3141" t="str">
        <f>IF(S29=0,0,G29)</f>
        <v>Cuisses</v>
      </c>
      <c r="U29" s="3140"/>
      <c r="V29" s="2882"/>
    </row>
    <row r="30" spans="1:22">
      <c r="U30" s="2882"/>
      <c r="V30" s="2882"/>
    </row>
    <row r="31" spans="1:22">
      <c r="U31" s="2882"/>
      <c r="V31" s="2882"/>
    </row>
    <row r="32" spans="1:22" s="3132" customFormat="1" ht="36.75" customHeight="1">
      <c r="A32" s="3139"/>
      <c r="B32" s="3138" t="s">
        <v>6607</v>
      </c>
      <c r="C32" s="3137"/>
      <c r="D32" s="3137"/>
      <c r="E32" s="3136"/>
      <c r="F32" s="3136"/>
      <c r="G32" s="3136"/>
      <c r="H32" s="3136"/>
      <c r="I32" s="3136"/>
      <c r="J32" s="3136"/>
      <c r="K32" s="3136"/>
      <c r="L32" s="3135"/>
      <c r="M32" s="3134"/>
      <c r="N32" s="3134"/>
      <c r="O32" s="3134"/>
      <c r="P32" s="3134"/>
      <c r="Q32" s="3134"/>
      <c r="R32" s="3134"/>
      <c r="S32" s="3134"/>
      <c r="T32" s="3133" t="s">
        <v>533</v>
      </c>
      <c r="U32" s="3125"/>
      <c r="V32" s="3125"/>
    </row>
    <row r="33" spans="1:22" ht="25.5" customHeight="1">
      <c r="B33" s="3131" t="s">
        <v>6606</v>
      </c>
      <c r="C33" s="3130"/>
      <c r="D33" s="3130"/>
      <c r="E33" s="3129"/>
      <c r="F33" s="3129"/>
      <c r="G33" s="3129"/>
      <c r="H33" s="3129"/>
      <c r="I33" s="3129"/>
      <c r="J33" s="3128"/>
      <c r="K33" s="3127"/>
      <c r="L33" s="3127"/>
      <c r="M33" s="3127"/>
      <c r="N33" s="3127"/>
      <c r="O33" s="3127"/>
      <c r="P33" s="3127"/>
      <c r="Q33" s="3127"/>
      <c r="R33" s="3127"/>
      <c r="S33" s="3127"/>
      <c r="T33" s="3126" t="s">
        <v>6605</v>
      </c>
      <c r="U33" s="3125"/>
      <c r="V33" s="2882"/>
    </row>
    <row r="34" spans="1:22" ht="20.25">
      <c r="B34" s="4663" t="s">
        <v>6604</v>
      </c>
      <c r="C34" s="4664"/>
      <c r="D34" s="4664"/>
      <c r="E34" s="4664"/>
      <c r="F34" s="4664"/>
      <c r="G34" s="4664"/>
      <c r="H34" s="4664"/>
      <c r="I34" s="4664"/>
      <c r="J34" s="4664"/>
      <c r="K34" s="4679" t="s">
        <v>6603</v>
      </c>
      <c r="L34" s="4680"/>
      <c r="M34" s="4680"/>
      <c r="N34" s="4680"/>
      <c r="O34" s="4680"/>
      <c r="P34" s="4680"/>
      <c r="Q34" s="4680"/>
      <c r="R34" s="4680"/>
      <c r="S34" s="4680"/>
      <c r="T34" s="4681"/>
      <c r="U34" s="2882"/>
      <c r="V34" s="2882"/>
    </row>
    <row r="35" spans="1:22" ht="38.25" customHeight="1">
      <c r="B35" s="4682" t="s">
        <v>6602</v>
      </c>
      <c r="C35" s="4683"/>
      <c r="D35" s="4683"/>
      <c r="E35" s="4684"/>
      <c r="F35" s="3124" t="s">
        <v>116</v>
      </c>
      <c r="G35" s="3123" t="s">
        <v>6601</v>
      </c>
      <c r="H35" s="4685" t="s">
        <v>6600</v>
      </c>
      <c r="I35" s="4685"/>
      <c r="J35" s="3122" t="s">
        <v>190</v>
      </c>
      <c r="K35" s="4686" t="s">
        <v>6599</v>
      </c>
      <c r="L35" s="4687"/>
      <c r="M35" s="4688" t="s">
        <v>6598</v>
      </c>
      <c r="N35" s="4689"/>
      <c r="O35" s="3121" t="s">
        <v>6597</v>
      </c>
      <c r="P35" s="3120"/>
      <c r="Q35" s="3120"/>
      <c r="R35" s="3119"/>
      <c r="S35" s="3119"/>
      <c r="T35" s="3118"/>
      <c r="U35" s="2882"/>
      <c r="V35" s="2882"/>
    </row>
    <row r="36" spans="1:22" ht="18.75">
      <c r="B36" s="4675" t="s">
        <v>157</v>
      </c>
      <c r="C36" s="4676"/>
      <c r="D36" s="4676"/>
      <c r="E36" s="4676"/>
      <c r="F36" s="3117">
        <v>3</v>
      </c>
      <c r="G36" s="3117" t="s">
        <v>22</v>
      </c>
      <c r="H36" s="4690">
        <v>23</v>
      </c>
      <c r="I36" s="4691"/>
      <c r="J36" s="3116">
        <v>100</v>
      </c>
      <c r="K36" s="4692">
        <f>F36/H36</f>
        <v>0.13043478260869565</v>
      </c>
      <c r="L36" s="4693"/>
      <c r="M36" s="3115">
        <f>K36*J36</f>
        <v>13.043478260869565</v>
      </c>
      <c r="N36" s="3114" t="str">
        <f>G36</f>
        <v>Kg</v>
      </c>
      <c r="O36" s="3112">
        <f>IF(M36=0,0,INT(M36/F36))</f>
        <v>4</v>
      </c>
      <c r="P36" s="3111">
        <f>M36-(O36*F36)</f>
        <v>1.0434782608695645</v>
      </c>
      <c r="Q36" s="3113" t="str">
        <f>IF(P36=0,0,G36)</f>
        <v>Kg</v>
      </c>
      <c r="R36" s="3112">
        <f>IF(P36=0,0,O36+1)</f>
        <v>5</v>
      </c>
      <c r="S36" s="3111">
        <f>IF(P36=0,0,M36-(R36*F36))</f>
        <v>-1.9565217391304355</v>
      </c>
      <c r="T36" s="3110" t="str">
        <f>IF(S36=0,0,G36)</f>
        <v>Kg</v>
      </c>
      <c r="U36" s="2882"/>
      <c r="V36" s="2882"/>
    </row>
    <row r="37" spans="1:22">
      <c r="P37" s="2882"/>
      <c r="Q37" s="2882"/>
      <c r="R37" s="2882"/>
      <c r="S37" s="2882"/>
      <c r="T37" s="2882"/>
      <c r="U37" s="2882"/>
      <c r="V37" s="2882"/>
    </row>
    <row r="38" spans="1:22">
      <c r="P38" s="2882"/>
      <c r="Q38" s="2882"/>
      <c r="R38" s="2882"/>
      <c r="S38" s="2882"/>
      <c r="T38" s="2882"/>
      <c r="U38" s="2882"/>
      <c r="V38" s="2882"/>
    </row>
    <row r="39" spans="1:22">
      <c r="B39" s="2884"/>
      <c r="C39" s="2884"/>
      <c r="D39" s="2884"/>
      <c r="E39" s="2884"/>
      <c r="F39" s="2884"/>
      <c r="G39" s="2884"/>
      <c r="H39" s="2884"/>
      <c r="I39" s="2884"/>
      <c r="J39" s="2884"/>
      <c r="K39" s="2884"/>
      <c r="L39" s="2884"/>
      <c r="M39" s="2884"/>
      <c r="N39" s="2884"/>
      <c r="O39" s="2884"/>
      <c r="P39" s="2883"/>
      <c r="Q39" s="2882"/>
      <c r="R39" s="2882"/>
      <c r="S39" s="2882"/>
      <c r="T39" s="2882"/>
      <c r="U39" s="2882"/>
      <c r="V39" s="2882"/>
    </row>
    <row r="40" spans="1:22">
      <c r="A40" s="2884"/>
      <c r="B40" s="4694" t="s">
        <v>6596</v>
      </c>
      <c r="C40" s="4694"/>
      <c r="D40" s="4694"/>
      <c r="E40" s="4694"/>
      <c r="F40" s="4694"/>
      <c r="G40" s="4694"/>
      <c r="H40" s="4694"/>
      <c r="I40" s="4694"/>
      <c r="J40" s="4694"/>
      <c r="K40" s="4694"/>
      <c r="L40" s="4694"/>
      <c r="M40" s="4694"/>
      <c r="N40" s="4694"/>
      <c r="O40" s="4694"/>
      <c r="P40" s="2883"/>
      <c r="Q40" s="2883"/>
      <c r="R40" s="2883"/>
      <c r="S40" s="2883"/>
      <c r="T40" s="2883"/>
      <c r="U40" s="2883"/>
      <c r="V40" s="2883"/>
    </row>
    <row r="41" spans="1:22">
      <c r="A41" s="2884"/>
      <c r="B41" s="4694"/>
      <c r="C41" s="4694"/>
      <c r="D41" s="4694"/>
      <c r="E41" s="4694"/>
      <c r="F41" s="4694"/>
      <c r="G41" s="4694"/>
      <c r="H41" s="4694"/>
      <c r="I41" s="4694"/>
      <c r="J41" s="4694"/>
      <c r="K41" s="4694"/>
      <c r="L41" s="4694"/>
      <c r="M41" s="4694"/>
      <c r="N41" s="4694"/>
      <c r="O41" s="4694"/>
      <c r="P41" s="2883"/>
      <c r="Q41" s="2883"/>
      <c r="R41" s="2883"/>
      <c r="S41" s="2883"/>
      <c r="T41" s="2883"/>
      <c r="U41" s="2883"/>
      <c r="V41" s="2883"/>
    </row>
    <row r="42" spans="1:22">
      <c r="A42" s="2884"/>
      <c r="B42" s="4694"/>
      <c r="C42" s="4694"/>
      <c r="D42" s="4694"/>
      <c r="E42" s="4694"/>
      <c r="F42" s="4694"/>
      <c r="G42" s="4694"/>
      <c r="H42" s="4694"/>
      <c r="I42" s="4694"/>
      <c r="J42" s="4694"/>
      <c r="K42" s="4694"/>
      <c r="L42" s="4694"/>
      <c r="M42" s="4694"/>
      <c r="N42" s="4694"/>
      <c r="O42" s="4694"/>
      <c r="P42" s="2883"/>
      <c r="Q42" s="2883"/>
      <c r="R42" s="2883"/>
      <c r="S42" s="2883"/>
      <c r="T42" s="2883"/>
      <c r="U42" s="2883"/>
      <c r="V42" s="2883"/>
    </row>
    <row r="43" spans="1:22" ht="15.75" thickBot="1">
      <c r="B43" s="2985"/>
      <c r="C43" s="2985"/>
      <c r="D43" s="2884"/>
      <c r="E43" s="2884"/>
      <c r="F43" s="2884"/>
      <c r="G43" s="2884"/>
      <c r="H43" s="2884"/>
      <c r="I43" s="2884"/>
      <c r="J43" s="2884"/>
      <c r="K43" s="2884"/>
      <c r="L43" s="2884"/>
      <c r="M43" s="2884"/>
      <c r="N43" s="2884"/>
      <c r="O43" s="2884"/>
      <c r="P43" s="2883"/>
      <c r="Q43" s="2882"/>
      <c r="R43" s="2882"/>
      <c r="S43" s="2882"/>
      <c r="T43" s="2882"/>
      <c r="U43" s="2882"/>
      <c r="V43" s="2882"/>
    </row>
    <row r="44" spans="1:22">
      <c r="B44" s="4695" t="s">
        <v>832</v>
      </c>
      <c r="C44" s="4697">
        <f ca="1">NOW()</f>
        <v>44608.74733564815</v>
      </c>
      <c r="D44" s="4697"/>
      <c r="E44" s="4699" t="s">
        <v>6595</v>
      </c>
      <c r="F44" s="4699"/>
      <c r="G44" s="4699"/>
      <c r="H44" s="4699"/>
      <c r="I44" s="4699"/>
      <c r="J44" s="4699"/>
      <c r="K44" s="4699"/>
      <c r="L44" s="4699"/>
      <c r="M44" s="4701" t="s">
        <v>6544</v>
      </c>
      <c r="N44" s="4703" t="s">
        <v>6594</v>
      </c>
      <c r="O44" s="4705">
        <v>1</v>
      </c>
      <c r="P44" s="2883"/>
      <c r="Q44" s="2882"/>
      <c r="R44" s="3005" t="s">
        <v>6593</v>
      </c>
      <c r="S44" s="2882"/>
      <c r="T44" s="2882"/>
      <c r="U44" s="2882"/>
      <c r="V44" s="2882"/>
    </row>
    <row r="45" spans="1:22">
      <c r="B45" s="4696"/>
      <c r="C45" s="4698"/>
      <c r="D45" s="4698"/>
      <c r="E45" s="4700"/>
      <c r="F45" s="4700"/>
      <c r="G45" s="4700"/>
      <c r="H45" s="4700"/>
      <c r="I45" s="4700"/>
      <c r="J45" s="4700"/>
      <c r="K45" s="4700"/>
      <c r="L45" s="4700"/>
      <c r="M45" s="4702"/>
      <c r="N45" s="4704"/>
      <c r="O45" s="4706"/>
      <c r="P45" s="2883"/>
      <c r="Q45" s="2882"/>
      <c r="R45" s="2882"/>
      <c r="S45" s="2882"/>
      <c r="T45" s="2882"/>
      <c r="U45" s="2882"/>
      <c r="V45" s="2882"/>
    </row>
    <row r="46" spans="1:22">
      <c r="B46" s="4707" t="s">
        <v>768</v>
      </c>
      <c r="C46" s="4708"/>
      <c r="D46" s="4708"/>
      <c r="E46" s="4708"/>
      <c r="F46" s="4708"/>
      <c r="G46" s="4708"/>
      <c r="H46" s="4708"/>
      <c r="I46" s="4708"/>
      <c r="J46" s="4708"/>
      <c r="K46" s="4708"/>
      <c r="L46" s="4708"/>
      <c r="M46" s="4708"/>
      <c r="N46" s="4708"/>
      <c r="O46" s="4709"/>
      <c r="P46" s="2883"/>
      <c r="Q46" s="2882"/>
      <c r="R46" s="2882"/>
      <c r="S46" s="2882"/>
      <c r="T46" s="2882"/>
      <c r="U46" s="2882"/>
      <c r="V46" s="2882"/>
    </row>
    <row r="47" spans="1:22" ht="15.75">
      <c r="B47" s="4710"/>
      <c r="C47" s="4711"/>
      <c r="D47" s="4711"/>
      <c r="E47" s="4711"/>
      <c r="F47" s="4711"/>
      <c r="G47" s="4711"/>
      <c r="H47" s="4711"/>
      <c r="I47" s="4711"/>
      <c r="J47" s="4711"/>
      <c r="K47" s="4711"/>
      <c r="L47" s="4711"/>
      <c r="M47" s="4711"/>
      <c r="N47" s="4711"/>
      <c r="O47" s="4712"/>
      <c r="P47" s="2883"/>
      <c r="Q47" s="2882"/>
      <c r="R47" s="4713" t="s">
        <v>6548</v>
      </c>
      <c r="S47" s="4713"/>
      <c r="T47" s="4713"/>
      <c r="U47" s="4713"/>
      <c r="V47" s="4713"/>
    </row>
    <row r="48" spans="1:22">
      <c r="B48" s="4714" t="s">
        <v>6592</v>
      </c>
      <c r="C48" s="4715"/>
      <c r="D48" s="4715"/>
      <c r="E48" s="4715"/>
      <c r="F48" s="4715"/>
      <c r="G48" s="4715"/>
      <c r="H48" s="4715"/>
      <c r="I48" s="4715"/>
      <c r="J48" s="4715"/>
      <c r="K48" s="4715"/>
      <c r="L48" s="4715"/>
      <c r="M48" s="4715"/>
      <c r="N48" s="4715"/>
      <c r="O48" s="4716"/>
      <c r="P48" s="2883"/>
      <c r="Q48" s="2882"/>
      <c r="R48" s="2882"/>
      <c r="S48" s="2882"/>
      <c r="T48" s="2882"/>
      <c r="U48" s="2882"/>
      <c r="V48" s="2882"/>
    </row>
    <row r="49" spans="2:22">
      <c r="B49" s="4717"/>
      <c r="C49" s="4700"/>
      <c r="D49" s="4700"/>
      <c r="E49" s="4700"/>
      <c r="F49" s="4700"/>
      <c r="G49" s="4700"/>
      <c r="H49" s="4700"/>
      <c r="I49" s="4700"/>
      <c r="J49" s="4700"/>
      <c r="K49" s="4700"/>
      <c r="L49" s="4700"/>
      <c r="M49" s="4700"/>
      <c r="N49" s="4700"/>
      <c r="O49" s="4718"/>
      <c r="P49" s="2883"/>
      <c r="Q49" s="2882"/>
      <c r="R49" s="2882"/>
      <c r="S49" s="2882"/>
      <c r="T49" s="2882"/>
      <c r="U49" s="2882"/>
      <c r="V49" s="2882"/>
    </row>
    <row r="50" spans="2:22">
      <c r="B50" s="4719" t="s">
        <v>58</v>
      </c>
      <c r="C50" s="4722" t="s">
        <v>190</v>
      </c>
      <c r="D50" s="4724" t="s">
        <v>6573</v>
      </c>
      <c r="E50" s="4726" t="s">
        <v>6591</v>
      </c>
      <c r="F50" s="4728" t="s">
        <v>6571</v>
      </c>
      <c r="G50" s="4730" t="s">
        <v>6570</v>
      </c>
      <c r="H50" s="4730"/>
      <c r="I50" s="4730" t="s">
        <v>6590</v>
      </c>
      <c r="J50" s="4730"/>
      <c r="K50" s="4730" t="s">
        <v>6568</v>
      </c>
      <c r="L50" s="4730"/>
      <c r="M50" s="3109" t="s">
        <v>6567</v>
      </c>
      <c r="N50" s="3046"/>
      <c r="O50" s="3045"/>
      <c r="P50" s="2883"/>
      <c r="Q50" s="2882"/>
      <c r="R50" s="2882"/>
      <c r="S50" s="2882"/>
      <c r="T50" s="2882"/>
      <c r="U50" s="2882"/>
      <c r="V50" s="2882"/>
    </row>
    <row r="51" spans="2:22">
      <c r="B51" s="4720"/>
      <c r="C51" s="4723"/>
      <c r="D51" s="4725"/>
      <c r="E51" s="4727"/>
      <c r="F51" s="4729"/>
      <c r="G51" s="4731"/>
      <c r="H51" s="4731"/>
      <c r="I51" s="4731"/>
      <c r="J51" s="4731"/>
      <c r="K51" s="4731"/>
      <c r="L51" s="4731"/>
      <c r="M51" s="3108"/>
      <c r="N51" s="3107"/>
      <c r="O51" s="3106"/>
      <c r="P51" s="2883"/>
      <c r="Q51" s="2882"/>
      <c r="R51" s="2882"/>
      <c r="S51" s="2882"/>
      <c r="T51" s="2882"/>
      <c r="U51" s="2882"/>
      <c r="V51" s="2882"/>
    </row>
    <row r="52" spans="2:22">
      <c r="B52" s="4721"/>
      <c r="C52" s="4723"/>
      <c r="D52" s="4725"/>
      <c r="E52" s="4727"/>
      <c r="F52" s="4729"/>
      <c r="G52" s="4731"/>
      <c r="H52" s="4731"/>
      <c r="I52" s="4731"/>
      <c r="J52" s="4731"/>
      <c r="K52" s="4731"/>
      <c r="L52" s="4731"/>
      <c r="M52" s="4732"/>
      <c r="N52" s="4732"/>
      <c r="O52" s="4733"/>
      <c r="P52" s="2883"/>
      <c r="Q52" s="2882"/>
      <c r="R52" s="2882"/>
      <c r="S52" s="2882"/>
      <c r="T52" s="2882"/>
      <c r="U52" s="2882"/>
      <c r="V52" s="2882"/>
    </row>
    <row r="53" spans="2:22">
      <c r="B53" s="3023" t="s">
        <v>53</v>
      </c>
      <c r="C53" s="3100">
        <v>100</v>
      </c>
      <c r="D53" s="2905">
        <v>0.05</v>
      </c>
      <c r="E53" s="3099">
        <v>1.2</v>
      </c>
      <c r="F53" s="3043">
        <v>30</v>
      </c>
      <c r="G53" s="3072">
        <f t="shared" ref="G53:G58" si="2">(D53*E53)/(100-F53)*100</f>
        <v>8.5714285714285715E-2</v>
      </c>
      <c r="H53" s="3068" t="s">
        <v>22</v>
      </c>
      <c r="I53" s="3098">
        <f t="shared" ref="I53:I58" si="3">(D53*E53)*C53</f>
        <v>6</v>
      </c>
      <c r="J53" s="3068" t="s">
        <v>22</v>
      </c>
      <c r="K53" s="3097">
        <f t="shared" ref="K53:K58" si="4">G53*C53</f>
        <v>8.5714285714285712</v>
      </c>
      <c r="L53" s="3068" t="s">
        <v>22</v>
      </c>
      <c r="M53" s="4732"/>
      <c r="N53" s="4732"/>
      <c r="O53" s="4733"/>
      <c r="P53" s="2883"/>
      <c r="Q53" s="2882"/>
      <c r="R53" s="3035" t="s">
        <v>6556</v>
      </c>
      <c r="S53" s="2882"/>
      <c r="T53" s="2882"/>
      <c r="U53" s="2882"/>
      <c r="V53" s="2882"/>
    </row>
    <row r="54" spans="2:22">
      <c r="B54" s="3023" t="s">
        <v>54</v>
      </c>
      <c r="C54" s="3100">
        <v>100</v>
      </c>
      <c r="D54" s="2905">
        <v>7.0000000000000007E-2</v>
      </c>
      <c r="E54" s="3099">
        <v>2</v>
      </c>
      <c r="F54" s="3043">
        <v>30</v>
      </c>
      <c r="G54" s="3072">
        <f t="shared" si="2"/>
        <v>0.2</v>
      </c>
      <c r="H54" s="3068" t="s">
        <v>22</v>
      </c>
      <c r="I54" s="3098">
        <f t="shared" si="3"/>
        <v>14.000000000000002</v>
      </c>
      <c r="J54" s="3068" t="s">
        <v>22</v>
      </c>
      <c r="K54" s="3097">
        <f t="shared" si="4"/>
        <v>20</v>
      </c>
      <c r="L54" s="3068" t="s">
        <v>22</v>
      </c>
      <c r="M54" s="4732"/>
      <c r="N54" s="4732"/>
      <c r="O54" s="4733"/>
      <c r="P54" s="2883"/>
      <c r="Q54" s="2882"/>
      <c r="R54" s="2882"/>
      <c r="S54" s="2882"/>
      <c r="T54" s="2882"/>
      <c r="U54" s="2882"/>
      <c r="V54" s="2882"/>
    </row>
    <row r="55" spans="2:22">
      <c r="B55" s="3036" t="s">
        <v>2</v>
      </c>
      <c r="C55" s="3105">
        <v>100</v>
      </c>
      <c r="D55" s="2908">
        <v>0.11</v>
      </c>
      <c r="E55" s="3099">
        <v>2.5</v>
      </c>
      <c r="F55" s="3043">
        <v>30</v>
      </c>
      <c r="G55" s="3098">
        <f t="shared" si="2"/>
        <v>0.3928571428571429</v>
      </c>
      <c r="H55" s="3068" t="s">
        <v>22</v>
      </c>
      <c r="I55" s="3098">
        <f t="shared" si="3"/>
        <v>27.500000000000004</v>
      </c>
      <c r="J55" s="3068" t="s">
        <v>22</v>
      </c>
      <c r="K55" s="3097">
        <f t="shared" si="4"/>
        <v>39.285714285714292</v>
      </c>
      <c r="L55" s="3068" t="s">
        <v>22</v>
      </c>
      <c r="M55" s="4732"/>
      <c r="N55" s="4732"/>
      <c r="O55" s="4733"/>
      <c r="P55" s="2883"/>
      <c r="Q55" s="2882"/>
      <c r="R55" s="2882"/>
      <c r="S55" s="2882"/>
      <c r="T55" s="2882"/>
      <c r="U55" s="2882"/>
      <c r="V55" s="2882"/>
    </row>
    <row r="56" spans="2:22">
      <c r="B56" s="3023" t="s">
        <v>55</v>
      </c>
      <c r="C56" s="3104">
        <v>100</v>
      </c>
      <c r="D56" s="2907">
        <f>(D55*M56%)+D55</f>
        <v>0.121</v>
      </c>
      <c r="E56" s="3099">
        <v>3</v>
      </c>
      <c r="F56" s="3043">
        <v>30</v>
      </c>
      <c r="G56" s="3098">
        <f t="shared" si="2"/>
        <v>0.51857142857142857</v>
      </c>
      <c r="H56" s="3068" t="s">
        <v>22</v>
      </c>
      <c r="I56" s="3098">
        <f t="shared" si="3"/>
        <v>36.299999999999997</v>
      </c>
      <c r="J56" s="3068" t="s">
        <v>22</v>
      </c>
      <c r="K56" s="3097">
        <f t="shared" si="4"/>
        <v>51.857142857142854</v>
      </c>
      <c r="L56" s="3068" t="s">
        <v>22</v>
      </c>
      <c r="M56" s="3103">
        <v>10</v>
      </c>
      <c r="N56" s="3102" t="s">
        <v>6589</v>
      </c>
      <c r="O56" s="3101"/>
      <c r="P56" s="2883"/>
      <c r="Q56" s="2882"/>
      <c r="R56" s="2882"/>
      <c r="S56" s="2882"/>
      <c r="T56" s="2882"/>
      <c r="U56" s="2882"/>
      <c r="V56" s="2882"/>
    </row>
    <row r="57" spans="2:22">
      <c r="B57" s="3023" t="s">
        <v>56</v>
      </c>
      <c r="C57" s="3100">
        <v>8</v>
      </c>
      <c r="D57" s="2906">
        <v>0.1</v>
      </c>
      <c r="E57" s="3099">
        <v>2.5</v>
      </c>
      <c r="F57" s="3043">
        <v>30</v>
      </c>
      <c r="G57" s="3072">
        <f t="shared" si="2"/>
        <v>0.35714285714285715</v>
      </c>
      <c r="H57" s="3068" t="s">
        <v>22</v>
      </c>
      <c r="I57" s="3098">
        <f t="shared" si="3"/>
        <v>2</v>
      </c>
      <c r="J57" s="3068" t="s">
        <v>22</v>
      </c>
      <c r="K57" s="3097">
        <f t="shared" si="4"/>
        <v>2.8571428571428572</v>
      </c>
      <c r="L57" s="3068" t="s">
        <v>22</v>
      </c>
      <c r="M57" s="4738" t="s">
        <v>6588</v>
      </c>
      <c r="N57" s="4738"/>
      <c r="O57" s="4739"/>
      <c r="P57" s="2883"/>
      <c r="Q57" s="2882"/>
      <c r="R57" s="2882"/>
      <c r="S57" s="2882"/>
      <c r="T57" s="2882"/>
      <c r="U57" s="2882"/>
      <c r="V57" s="2882"/>
    </row>
    <row r="58" spans="2:22">
      <c r="B58" s="3023" t="s">
        <v>6555</v>
      </c>
      <c r="C58" s="3100">
        <v>4</v>
      </c>
      <c r="D58" s="2905">
        <v>7.0000000000000007E-2</v>
      </c>
      <c r="E58" s="3099">
        <v>2</v>
      </c>
      <c r="F58" s="3043">
        <v>30</v>
      </c>
      <c r="G58" s="3072">
        <f t="shared" si="2"/>
        <v>0.2</v>
      </c>
      <c r="H58" s="3068" t="s">
        <v>22</v>
      </c>
      <c r="I58" s="3098">
        <f t="shared" si="3"/>
        <v>0.56000000000000005</v>
      </c>
      <c r="J58" s="3068" t="s">
        <v>22</v>
      </c>
      <c r="K58" s="3097">
        <f t="shared" si="4"/>
        <v>0.8</v>
      </c>
      <c r="L58" s="3068" t="s">
        <v>22</v>
      </c>
      <c r="M58" s="4738"/>
      <c r="N58" s="4738"/>
      <c r="O58" s="4739"/>
      <c r="P58" s="2883"/>
      <c r="Q58" s="2882"/>
      <c r="R58" s="2882"/>
      <c r="S58" s="2882"/>
      <c r="T58" s="2882"/>
      <c r="U58" s="2882"/>
      <c r="V58" s="2882"/>
    </row>
    <row r="59" spans="2:22">
      <c r="B59" s="4740" t="s">
        <v>6587</v>
      </c>
      <c r="C59" s="4741"/>
      <c r="D59" s="4741"/>
      <c r="E59" s="4741"/>
      <c r="F59" s="4741"/>
      <c r="G59" s="4741"/>
      <c r="H59" s="4741"/>
      <c r="I59" s="4741"/>
      <c r="J59" s="4741"/>
      <c r="K59" s="4741"/>
      <c r="L59" s="4741"/>
      <c r="M59" s="4741"/>
      <c r="N59" s="4741"/>
      <c r="O59" s="4742"/>
      <c r="P59" s="2883"/>
      <c r="Q59" s="2882"/>
      <c r="R59" s="2882"/>
      <c r="S59" s="2882"/>
      <c r="T59" s="2882"/>
      <c r="U59" s="2882"/>
      <c r="V59" s="2882"/>
    </row>
    <row r="60" spans="2:22">
      <c r="B60" s="4743" t="s">
        <v>6553</v>
      </c>
      <c r="C60" s="4745">
        <f>SUM(C53:C58)</f>
        <v>412</v>
      </c>
      <c r="D60" s="3096"/>
      <c r="E60" s="3096"/>
      <c r="F60" s="3096"/>
      <c r="G60" s="3095"/>
      <c r="H60" s="3009"/>
      <c r="I60" s="4747">
        <f>SUM(I53:I58)</f>
        <v>86.36</v>
      </c>
      <c r="J60" s="4749" t="s">
        <v>22</v>
      </c>
      <c r="K60" s="4747">
        <f>SUM(K53:K58)</f>
        <v>123.37142857142858</v>
      </c>
      <c r="L60" s="4749" t="s">
        <v>22</v>
      </c>
      <c r="M60" s="3094"/>
      <c r="N60" s="3094"/>
      <c r="O60" s="3093"/>
      <c r="P60" s="2883"/>
      <c r="Q60" s="2882"/>
      <c r="R60" s="2882"/>
      <c r="S60" s="2882"/>
      <c r="T60" s="2882"/>
      <c r="U60" s="2882"/>
      <c r="V60" s="2882"/>
    </row>
    <row r="61" spans="2:22">
      <c r="B61" s="4744"/>
      <c r="C61" s="4746"/>
      <c r="D61" s="3092"/>
      <c r="E61" s="3092"/>
      <c r="F61" s="3092"/>
      <c r="G61" s="3091"/>
      <c r="H61" s="3090"/>
      <c r="I61" s="4748"/>
      <c r="J61" s="4750"/>
      <c r="K61" s="4748"/>
      <c r="L61" s="4750"/>
      <c r="M61" s="3089"/>
      <c r="N61" s="3089"/>
      <c r="O61" s="3088"/>
      <c r="P61" s="2883"/>
      <c r="Q61" s="2882"/>
      <c r="R61" s="2882"/>
      <c r="S61" s="2882"/>
      <c r="T61" s="2882"/>
      <c r="U61" s="2882"/>
      <c r="V61" s="2882"/>
    </row>
    <row r="62" spans="2:22">
      <c r="B62" s="4714" t="s">
        <v>6586</v>
      </c>
      <c r="C62" s="4715"/>
      <c r="D62" s="4715"/>
      <c r="E62" s="4715"/>
      <c r="F62" s="4715"/>
      <c r="G62" s="4715"/>
      <c r="H62" s="4715"/>
      <c r="I62" s="4715"/>
      <c r="J62" s="4715"/>
      <c r="K62" s="4715"/>
      <c r="L62" s="4715"/>
      <c r="M62" s="4715"/>
      <c r="N62" s="4715"/>
      <c r="O62" s="4716"/>
      <c r="P62" s="2883"/>
      <c r="Q62" s="2882"/>
      <c r="R62" s="2882"/>
      <c r="S62" s="2882"/>
      <c r="T62" s="2882"/>
      <c r="U62" s="2882"/>
      <c r="V62" s="2882"/>
    </row>
    <row r="63" spans="2:22">
      <c r="B63" s="4717"/>
      <c r="C63" s="4700"/>
      <c r="D63" s="4700"/>
      <c r="E63" s="4700"/>
      <c r="F63" s="4700"/>
      <c r="G63" s="4700"/>
      <c r="H63" s="4700"/>
      <c r="I63" s="4700"/>
      <c r="J63" s="4700"/>
      <c r="K63" s="4700"/>
      <c r="L63" s="4700"/>
      <c r="M63" s="4700"/>
      <c r="N63" s="4700"/>
      <c r="O63" s="4718"/>
      <c r="P63" s="2883"/>
      <c r="Q63" s="2882"/>
      <c r="R63" s="2882"/>
      <c r="S63" s="2882"/>
      <c r="T63" s="2882"/>
      <c r="U63" s="2882"/>
      <c r="V63" s="2882"/>
    </row>
    <row r="64" spans="2:22">
      <c r="B64" s="4771" t="s">
        <v>6557</v>
      </c>
      <c r="C64" s="4772" t="s">
        <v>190</v>
      </c>
      <c r="D64" s="4774" t="s">
        <v>6565</v>
      </c>
      <c r="E64" s="4776" t="s">
        <v>6585</v>
      </c>
      <c r="F64" s="4778" t="s">
        <v>6563</v>
      </c>
      <c r="G64" s="4762" t="s">
        <v>6562</v>
      </c>
      <c r="H64" s="4757" t="s">
        <v>6561</v>
      </c>
      <c r="I64" s="4758"/>
      <c r="J64" s="4758"/>
      <c r="K64" s="4734" t="s">
        <v>6584</v>
      </c>
      <c r="L64" s="4736" t="s">
        <v>6583</v>
      </c>
      <c r="M64" s="4757" t="s">
        <v>6582</v>
      </c>
      <c r="N64" s="4758"/>
      <c r="O64" s="4769"/>
      <c r="P64" s="2883"/>
      <c r="Q64" s="2882"/>
      <c r="R64" s="2882"/>
      <c r="S64" s="2882"/>
      <c r="T64" s="2882"/>
      <c r="U64" s="2882"/>
      <c r="V64" s="2882"/>
    </row>
    <row r="65" spans="2:22" ht="15.75">
      <c r="B65" s="4771"/>
      <c r="C65" s="4772"/>
      <c r="D65" s="4774"/>
      <c r="E65" s="4776"/>
      <c r="F65" s="4778"/>
      <c r="G65" s="4762"/>
      <c r="H65" s="4757"/>
      <c r="I65" s="4758"/>
      <c r="J65" s="4758"/>
      <c r="K65" s="4734"/>
      <c r="L65" s="4736"/>
      <c r="M65" s="4757"/>
      <c r="N65" s="4758"/>
      <c r="O65" s="4769"/>
      <c r="P65" s="2883"/>
      <c r="Q65" s="2882"/>
      <c r="R65" s="3037" t="s">
        <v>6557</v>
      </c>
      <c r="S65" s="2882"/>
      <c r="T65" s="2882"/>
      <c r="U65" s="2882"/>
      <c r="V65" s="2882"/>
    </row>
    <row r="66" spans="2:22">
      <c r="B66" s="4771"/>
      <c r="C66" s="4772"/>
      <c r="D66" s="4774"/>
      <c r="E66" s="4776"/>
      <c r="F66" s="4778"/>
      <c r="G66" s="4762"/>
      <c r="H66" s="4757"/>
      <c r="I66" s="4758"/>
      <c r="J66" s="4758"/>
      <c r="K66" s="4734"/>
      <c r="L66" s="4736"/>
      <c r="M66" s="4757"/>
      <c r="N66" s="4758"/>
      <c r="O66" s="4769"/>
      <c r="P66" s="2883"/>
      <c r="Q66" s="2882"/>
      <c r="R66" s="2882"/>
      <c r="S66" s="2882"/>
      <c r="T66" s="2882"/>
      <c r="U66" s="2882"/>
      <c r="V66" s="2882"/>
    </row>
    <row r="67" spans="2:22">
      <c r="B67" s="4771"/>
      <c r="C67" s="4772"/>
      <c r="D67" s="4774"/>
      <c r="E67" s="4776"/>
      <c r="F67" s="4778"/>
      <c r="G67" s="4762"/>
      <c r="H67" s="4757"/>
      <c r="I67" s="4758"/>
      <c r="J67" s="4758"/>
      <c r="K67" s="4734"/>
      <c r="L67" s="4736"/>
      <c r="M67" s="4757"/>
      <c r="N67" s="4758"/>
      <c r="O67" s="4769"/>
      <c r="P67" s="2883"/>
      <c r="Q67" s="2882"/>
      <c r="R67" s="2882"/>
      <c r="S67" s="2882"/>
      <c r="T67" s="2882"/>
      <c r="U67" s="2882"/>
      <c r="V67" s="2882"/>
    </row>
    <row r="68" spans="2:22">
      <c r="B68" s="4771"/>
      <c r="C68" s="4772"/>
      <c r="D68" s="4774"/>
      <c r="E68" s="4776"/>
      <c r="F68" s="4778"/>
      <c r="G68" s="4762"/>
      <c r="H68" s="4757"/>
      <c r="I68" s="4758"/>
      <c r="J68" s="4758"/>
      <c r="K68" s="4734"/>
      <c r="L68" s="4736"/>
      <c r="M68" s="4757"/>
      <c r="N68" s="4758"/>
      <c r="O68" s="4769"/>
      <c r="P68" s="2883"/>
      <c r="Q68" s="2882"/>
      <c r="R68" s="2882"/>
      <c r="S68" s="2882"/>
      <c r="T68" s="2882"/>
      <c r="U68" s="2882"/>
      <c r="V68" s="2882"/>
    </row>
    <row r="69" spans="2:22">
      <c r="B69" s="4771"/>
      <c r="C69" s="4772"/>
      <c r="D69" s="4774"/>
      <c r="E69" s="4776"/>
      <c r="F69" s="4778"/>
      <c r="G69" s="4762"/>
      <c r="H69" s="4757"/>
      <c r="I69" s="4758"/>
      <c r="J69" s="4758"/>
      <c r="K69" s="4734"/>
      <c r="L69" s="4736"/>
      <c r="M69" s="4757"/>
      <c r="N69" s="4758"/>
      <c r="O69" s="4769"/>
      <c r="P69" s="2883"/>
      <c r="Q69" s="2882"/>
      <c r="R69" s="2882"/>
      <c r="S69" s="2882"/>
      <c r="T69" s="2882"/>
      <c r="U69" s="2882"/>
      <c r="V69" s="2882"/>
    </row>
    <row r="70" spans="2:22">
      <c r="B70" s="4771"/>
      <c r="C70" s="4773"/>
      <c r="D70" s="4775"/>
      <c r="E70" s="4777"/>
      <c r="F70" s="4779"/>
      <c r="G70" s="4763"/>
      <c r="H70" s="4759"/>
      <c r="I70" s="4760"/>
      <c r="J70" s="4760"/>
      <c r="K70" s="4735"/>
      <c r="L70" s="4737"/>
      <c r="M70" s="4759"/>
      <c r="N70" s="4760"/>
      <c r="O70" s="4770"/>
      <c r="P70" s="2883"/>
      <c r="Q70" s="2882"/>
      <c r="R70" s="2882"/>
      <c r="S70" s="2882"/>
      <c r="T70" s="2882"/>
      <c r="U70" s="2882"/>
      <c r="V70" s="2882"/>
    </row>
    <row r="71" spans="2:22" ht="15.75">
      <c r="B71" s="3023" t="s">
        <v>53</v>
      </c>
      <c r="C71" s="3087">
        <f t="shared" ref="C71:C76" si="5">C53</f>
        <v>100</v>
      </c>
      <c r="D71" s="3034" t="s">
        <v>6554</v>
      </c>
      <c r="E71" s="3033">
        <v>5</v>
      </c>
      <c r="F71" s="3032">
        <f t="shared" ref="F71:F76" si="6">IF(C71=0,0,E71-(E71*F53%))</f>
        <v>3.5</v>
      </c>
      <c r="G71" s="3085">
        <f t="shared" ref="G71:G76" si="7">I53</f>
        <v>6</v>
      </c>
      <c r="H71" s="3030">
        <f t="shared" ref="H71:H76" si="8">IF(I53=0,0,INT(I53/F71))</f>
        <v>1</v>
      </c>
      <c r="I71" s="3025">
        <f t="shared" ref="I71:I76" si="9">I53-(F71*H71)</f>
        <v>2.5</v>
      </c>
      <c r="J71" s="3029" t="str">
        <f t="shared" ref="J71:J76" si="10">IF(I71=0,0,"Kg")</f>
        <v>Kg</v>
      </c>
      <c r="K71" s="3028">
        <v>12</v>
      </c>
      <c r="L71" s="3027">
        <f t="shared" ref="L71:L76" si="11">C53*E53</f>
        <v>120</v>
      </c>
      <c r="M71" s="3030">
        <f t="shared" ref="M71:M76" si="12">IF(K71=0,0,INT(E53*C53/K71))</f>
        <v>10</v>
      </c>
      <c r="N71" s="3025">
        <f t="shared" ref="N71:N76" si="13">(C53*E53)-(M71*K71)</f>
        <v>0</v>
      </c>
      <c r="O71" s="3048">
        <f t="shared" ref="O71:O76" si="14">IF(N71=0,0,"Pièce /Mx")</f>
        <v>0</v>
      </c>
      <c r="P71" s="2883"/>
      <c r="Q71" s="2882"/>
      <c r="R71" s="4713" t="s">
        <v>6548</v>
      </c>
      <c r="S71" s="4713"/>
      <c r="T71" s="4713"/>
      <c r="U71" s="4713"/>
      <c r="V71" s="4713"/>
    </row>
    <row r="72" spans="2:22">
      <c r="B72" s="3023" t="s">
        <v>54</v>
      </c>
      <c r="C72" s="3087">
        <f t="shared" si="5"/>
        <v>100</v>
      </c>
      <c r="D72" s="3034" t="s">
        <v>6554</v>
      </c>
      <c r="E72" s="3033">
        <v>1.5</v>
      </c>
      <c r="F72" s="3032">
        <f t="shared" si="6"/>
        <v>1.05</v>
      </c>
      <c r="G72" s="3085">
        <f t="shared" si="7"/>
        <v>14.000000000000002</v>
      </c>
      <c r="H72" s="3030">
        <f t="shared" si="8"/>
        <v>13</v>
      </c>
      <c r="I72" s="3025">
        <f t="shared" si="9"/>
        <v>0.35000000000000142</v>
      </c>
      <c r="J72" s="3029" t="str">
        <f t="shared" si="10"/>
        <v>Kg</v>
      </c>
      <c r="K72" s="3028">
        <v>20</v>
      </c>
      <c r="L72" s="3027">
        <f t="shared" si="11"/>
        <v>200</v>
      </c>
      <c r="M72" s="3030">
        <f t="shared" si="12"/>
        <v>10</v>
      </c>
      <c r="N72" s="3025">
        <f t="shared" si="13"/>
        <v>0</v>
      </c>
      <c r="O72" s="3048">
        <f t="shared" si="14"/>
        <v>0</v>
      </c>
      <c r="P72" s="2883"/>
      <c r="Q72" s="2882"/>
      <c r="R72" s="2882"/>
      <c r="S72" s="2882"/>
      <c r="T72" s="2882"/>
      <c r="U72" s="2882"/>
      <c r="V72" s="2882"/>
    </row>
    <row r="73" spans="2:22">
      <c r="B73" s="3036" t="s">
        <v>2</v>
      </c>
      <c r="C73" s="3087">
        <f t="shared" si="5"/>
        <v>100</v>
      </c>
      <c r="D73" s="3034" t="s">
        <v>6554</v>
      </c>
      <c r="E73" s="3033">
        <v>1.5</v>
      </c>
      <c r="F73" s="3032">
        <f t="shared" si="6"/>
        <v>1.05</v>
      </c>
      <c r="G73" s="3085">
        <f t="shared" si="7"/>
        <v>27.500000000000004</v>
      </c>
      <c r="H73" s="3030">
        <f t="shared" si="8"/>
        <v>26</v>
      </c>
      <c r="I73" s="3025">
        <f t="shared" si="9"/>
        <v>0.20000000000000284</v>
      </c>
      <c r="J73" s="3029" t="str">
        <f t="shared" si="10"/>
        <v>Kg</v>
      </c>
      <c r="K73" s="3028">
        <v>20</v>
      </c>
      <c r="L73" s="3027">
        <f t="shared" si="11"/>
        <v>250</v>
      </c>
      <c r="M73" s="3030">
        <f t="shared" si="12"/>
        <v>12</v>
      </c>
      <c r="N73" s="3025">
        <f t="shared" si="13"/>
        <v>10</v>
      </c>
      <c r="O73" s="3048" t="str">
        <f t="shared" si="14"/>
        <v>Pièce /Mx</v>
      </c>
      <c r="P73" s="2883"/>
      <c r="Q73" s="2882"/>
      <c r="R73" s="3035" t="s">
        <v>6556</v>
      </c>
      <c r="S73" s="2882"/>
      <c r="T73" s="2882"/>
      <c r="U73" s="2882"/>
      <c r="V73" s="2882"/>
    </row>
    <row r="74" spans="2:22">
      <c r="B74" s="3023" t="s">
        <v>55</v>
      </c>
      <c r="C74" s="3087">
        <f t="shared" si="5"/>
        <v>100</v>
      </c>
      <c r="D74" s="3034" t="s">
        <v>6554</v>
      </c>
      <c r="E74" s="3033">
        <v>1.5</v>
      </c>
      <c r="F74" s="3032">
        <f t="shared" si="6"/>
        <v>1.05</v>
      </c>
      <c r="G74" s="3085">
        <f t="shared" si="7"/>
        <v>36.299999999999997</v>
      </c>
      <c r="H74" s="3030">
        <f t="shared" si="8"/>
        <v>34</v>
      </c>
      <c r="I74" s="3025">
        <f t="shared" si="9"/>
        <v>0.59999999999999432</v>
      </c>
      <c r="J74" s="3029" t="str">
        <f t="shared" si="10"/>
        <v>Kg</v>
      </c>
      <c r="K74" s="3028">
        <v>20</v>
      </c>
      <c r="L74" s="3027">
        <f t="shared" si="11"/>
        <v>300</v>
      </c>
      <c r="M74" s="3030">
        <f t="shared" si="12"/>
        <v>15</v>
      </c>
      <c r="N74" s="3025">
        <f t="shared" si="13"/>
        <v>0</v>
      </c>
      <c r="O74" s="3048">
        <f t="shared" si="14"/>
        <v>0</v>
      </c>
      <c r="P74" s="2883"/>
      <c r="Q74" s="2882"/>
      <c r="R74" s="2882"/>
      <c r="S74" s="2882"/>
      <c r="T74" s="2882"/>
      <c r="U74" s="2882"/>
      <c r="V74" s="2882"/>
    </row>
    <row r="75" spans="2:22">
      <c r="B75" s="3023" t="s">
        <v>56</v>
      </c>
      <c r="C75" s="3086">
        <f t="shared" si="5"/>
        <v>8</v>
      </c>
      <c r="D75" s="3034" t="s">
        <v>6554</v>
      </c>
      <c r="E75" s="3033">
        <v>1.5</v>
      </c>
      <c r="F75" s="3032">
        <f t="shared" si="6"/>
        <v>1.05</v>
      </c>
      <c r="G75" s="3085">
        <f t="shared" si="7"/>
        <v>2</v>
      </c>
      <c r="H75" s="3030">
        <f t="shared" si="8"/>
        <v>1</v>
      </c>
      <c r="I75" s="3025">
        <f t="shared" si="9"/>
        <v>0.95</v>
      </c>
      <c r="J75" s="3029" t="str">
        <f t="shared" si="10"/>
        <v>Kg</v>
      </c>
      <c r="K75" s="3028">
        <v>20</v>
      </c>
      <c r="L75" s="3027">
        <f t="shared" si="11"/>
        <v>20</v>
      </c>
      <c r="M75" s="3030">
        <f t="shared" si="12"/>
        <v>1</v>
      </c>
      <c r="N75" s="3025">
        <f t="shared" si="13"/>
        <v>0</v>
      </c>
      <c r="O75" s="3048">
        <f t="shared" si="14"/>
        <v>0</v>
      </c>
      <c r="P75" s="2883"/>
      <c r="Q75" s="2882"/>
      <c r="R75" s="2882"/>
      <c r="S75" s="2882"/>
      <c r="T75" s="2882"/>
      <c r="U75" s="2882"/>
      <c r="V75" s="2882"/>
    </row>
    <row r="76" spans="2:22">
      <c r="B76" s="3067" t="s">
        <v>6555</v>
      </c>
      <c r="C76" s="3084">
        <f t="shared" si="5"/>
        <v>4</v>
      </c>
      <c r="D76" s="3021" t="s">
        <v>6554</v>
      </c>
      <c r="E76" s="3020">
        <v>1.5</v>
      </c>
      <c r="F76" s="3019">
        <f t="shared" si="6"/>
        <v>1.05</v>
      </c>
      <c r="G76" s="3083">
        <f t="shared" si="7"/>
        <v>0.56000000000000005</v>
      </c>
      <c r="H76" s="3017">
        <f t="shared" si="8"/>
        <v>0</v>
      </c>
      <c r="I76" s="3012">
        <f t="shared" si="9"/>
        <v>0.56000000000000005</v>
      </c>
      <c r="J76" s="3016" t="str">
        <f t="shared" si="10"/>
        <v>Kg</v>
      </c>
      <c r="K76" s="3015">
        <v>20</v>
      </c>
      <c r="L76" s="3014">
        <f t="shared" si="11"/>
        <v>8</v>
      </c>
      <c r="M76" s="3017">
        <f t="shared" si="12"/>
        <v>0</v>
      </c>
      <c r="N76" s="3012">
        <f t="shared" si="13"/>
        <v>8</v>
      </c>
      <c r="O76" s="3082" t="str">
        <f t="shared" si="14"/>
        <v>Pièce /Mx</v>
      </c>
      <c r="P76" s="2883"/>
      <c r="Q76" s="2882"/>
      <c r="R76" s="2882"/>
      <c r="S76" s="2882"/>
      <c r="T76" s="2882"/>
      <c r="U76" s="2882"/>
      <c r="V76" s="2882"/>
    </row>
    <row r="77" spans="2:22">
      <c r="B77" s="4740" t="s">
        <v>6581</v>
      </c>
      <c r="C77" s="4741"/>
      <c r="D77" s="4741"/>
      <c r="E77" s="4741"/>
      <c r="F77" s="4741"/>
      <c r="G77" s="4741"/>
      <c r="H77" s="4741"/>
      <c r="I77" s="4741"/>
      <c r="J77" s="4741"/>
      <c r="K77" s="4741"/>
      <c r="L77" s="4741"/>
      <c r="M77" s="4741"/>
      <c r="N77" s="4741"/>
      <c r="O77" s="4742"/>
      <c r="P77" s="2883"/>
      <c r="Q77" s="2882"/>
      <c r="R77" s="2882"/>
      <c r="S77" s="2882"/>
      <c r="T77" s="2882"/>
      <c r="U77" s="2882"/>
      <c r="V77" s="2882"/>
    </row>
    <row r="78" spans="2:22">
      <c r="B78" s="4743" t="s">
        <v>6553</v>
      </c>
      <c r="C78" s="4745">
        <f>SUM(C71:C76)</f>
        <v>412</v>
      </c>
      <c r="D78" s="3009"/>
      <c r="E78" s="3009"/>
      <c r="F78" s="4751">
        <f>SUM(G71:G76)</f>
        <v>86.36</v>
      </c>
      <c r="G78" s="4752" t="str">
        <f>+J71</f>
        <v>Kg</v>
      </c>
      <c r="H78" s="4753">
        <f>SUM(H71:H76)</f>
        <v>75</v>
      </c>
      <c r="I78" s="4754">
        <f>SUM(I71:I76)</f>
        <v>5.1599999999999984</v>
      </c>
      <c r="J78" s="4756" t="str">
        <f>IF(I78=0,0,"Kg")</f>
        <v>Kg</v>
      </c>
      <c r="K78" s="3009"/>
      <c r="L78" s="4745">
        <f>SUM(L71:L76)</f>
        <v>898</v>
      </c>
      <c r="M78" s="4753">
        <f>SUM(M71:M76)</f>
        <v>48</v>
      </c>
      <c r="N78" s="4754">
        <f>SUM(N71:N76)</f>
        <v>18</v>
      </c>
      <c r="O78" s="4755" t="str">
        <f>IF(N78=0,0,"Pièce /Mx")</f>
        <v>Pièce /Mx</v>
      </c>
      <c r="P78" s="2883"/>
      <c r="Q78" s="2882"/>
      <c r="R78" s="2882"/>
      <c r="S78" s="2882"/>
      <c r="T78" s="2882"/>
      <c r="U78" s="2882"/>
      <c r="V78" s="2882"/>
    </row>
    <row r="79" spans="2:22">
      <c r="B79" s="4743"/>
      <c r="C79" s="4745"/>
      <c r="D79" s="3009"/>
      <c r="E79" s="3009"/>
      <c r="F79" s="4751"/>
      <c r="G79" s="4752"/>
      <c r="H79" s="4753"/>
      <c r="I79" s="4754"/>
      <c r="J79" s="4756"/>
      <c r="K79" s="3009"/>
      <c r="L79" s="4745"/>
      <c r="M79" s="4753"/>
      <c r="N79" s="4754"/>
      <c r="O79" s="4755"/>
      <c r="P79" s="2883"/>
      <c r="Q79" s="2882"/>
      <c r="R79" s="2882"/>
      <c r="S79" s="2882"/>
      <c r="T79" s="2882"/>
      <c r="U79" s="2882"/>
      <c r="V79" s="2882"/>
    </row>
    <row r="80" spans="2:22">
      <c r="B80" s="3081"/>
      <c r="C80" s="3080"/>
      <c r="D80" s="3080"/>
      <c r="E80" s="3080"/>
      <c r="F80" s="3080"/>
      <c r="G80" s="3080"/>
      <c r="H80" s="3080"/>
      <c r="I80" s="3080"/>
      <c r="J80" s="3080"/>
      <c r="K80" s="3080"/>
      <c r="L80" s="3080"/>
      <c r="M80" s="3080"/>
      <c r="N80" s="3080"/>
      <c r="O80" s="3079"/>
      <c r="P80" s="2883"/>
      <c r="Q80" s="2882"/>
      <c r="R80" s="2882"/>
      <c r="S80" s="2882"/>
      <c r="T80" s="2882"/>
      <c r="U80" s="2882"/>
      <c r="V80" s="2882"/>
    </row>
    <row r="81" spans="2:22">
      <c r="B81" s="4780" t="s">
        <v>6580</v>
      </c>
      <c r="C81" s="4781"/>
      <c r="D81" s="4781"/>
      <c r="E81" s="4781"/>
      <c r="F81" s="3078"/>
      <c r="G81" s="4784" t="s">
        <v>6579</v>
      </c>
      <c r="H81" s="4784"/>
      <c r="I81" s="4786">
        <v>0.15</v>
      </c>
      <c r="J81" s="4786"/>
      <c r="K81" s="3077"/>
      <c r="L81" s="3077"/>
      <c r="M81" s="3077"/>
      <c r="N81" s="3077"/>
      <c r="O81" s="3076"/>
      <c r="P81" s="2883"/>
      <c r="Q81" s="2882"/>
      <c r="R81" s="2882"/>
      <c r="S81" s="2882"/>
      <c r="T81" s="2882"/>
      <c r="U81" s="2882"/>
      <c r="V81" s="2882"/>
    </row>
    <row r="82" spans="2:22">
      <c r="B82" s="4782"/>
      <c r="C82" s="4783"/>
      <c r="D82" s="4783"/>
      <c r="E82" s="4783"/>
      <c r="F82" s="3075"/>
      <c r="G82" s="4785"/>
      <c r="H82" s="4785"/>
      <c r="I82" s="4787"/>
      <c r="J82" s="4787"/>
      <c r="K82" s="3074"/>
      <c r="L82" s="3074"/>
      <c r="M82" s="3074"/>
      <c r="N82" s="3074"/>
      <c r="O82" s="3073"/>
      <c r="P82" s="2883"/>
      <c r="Q82" s="2882"/>
      <c r="R82" s="2882"/>
      <c r="S82" s="2882"/>
      <c r="T82" s="2882"/>
      <c r="U82" s="2882"/>
      <c r="V82" s="2882"/>
    </row>
    <row r="83" spans="2:22">
      <c r="B83" s="4719" t="s">
        <v>58</v>
      </c>
      <c r="C83" s="4722" t="s">
        <v>190</v>
      </c>
      <c r="D83" s="4789" t="s">
        <v>6573</v>
      </c>
      <c r="E83" s="4728" t="s">
        <v>6571</v>
      </c>
      <c r="F83" s="4730" t="s">
        <v>6570</v>
      </c>
      <c r="G83" s="4730"/>
      <c r="H83" s="4730" t="s">
        <v>6578</v>
      </c>
      <c r="I83" s="4730" t="s">
        <v>6569</v>
      </c>
      <c r="J83" s="4730"/>
      <c r="K83" s="4730" t="s">
        <v>6568</v>
      </c>
      <c r="L83" s="4791"/>
      <c r="M83" s="3047" t="s">
        <v>6567</v>
      </c>
      <c r="N83" s="3046"/>
      <c r="O83" s="3045"/>
      <c r="P83" s="2883"/>
      <c r="Q83" s="2882"/>
      <c r="R83" s="2882"/>
      <c r="S83" s="2882"/>
      <c r="T83" s="2882"/>
      <c r="U83" s="2882"/>
      <c r="V83" s="2882"/>
    </row>
    <row r="84" spans="2:22" ht="15.75">
      <c r="B84" s="4721"/>
      <c r="C84" s="4723"/>
      <c r="D84" s="4790"/>
      <c r="E84" s="4729"/>
      <c r="F84" s="4731"/>
      <c r="G84" s="4731"/>
      <c r="H84" s="4731"/>
      <c r="I84" s="4731"/>
      <c r="J84" s="4731"/>
      <c r="K84" s="4792"/>
      <c r="L84" s="4793"/>
      <c r="M84" s="4794"/>
      <c r="N84" s="4795"/>
      <c r="O84" s="4796"/>
      <c r="P84" s="2883"/>
      <c r="Q84" s="2882"/>
      <c r="R84" s="4713" t="s">
        <v>6548</v>
      </c>
      <c r="S84" s="4713"/>
      <c r="T84" s="4713"/>
      <c r="U84" s="4713"/>
      <c r="V84" s="4713"/>
    </row>
    <row r="85" spans="2:22">
      <c r="B85" s="3023" t="s">
        <v>53</v>
      </c>
      <c r="C85" s="3022">
        <f t="shared" ref="C85:C90" si="15">C53</f>
        <v>100</v>
      </c>
      <c r="D85" s="3044">
        <v>0.03</v>
      </c>
      <c r="E85" s="3043">
        <v>2</v>
      </c>
      <c r="F85" s="3072">
        <f t="shared" ref="F85:F90" si="16">IF(C85=0,0,(D85/(100-E85)*100))</f>
        <v>3.0612244897959183E-2</v>
      </c>
      <c r="G85" s="3068" t="s">
        <v>22</v>
      </c>
      <c r="H85" s="3071">
        <f>I81/D85</f>
        <v>5</v>
      </c>
      <c r="I85" s="3070">
        <f t="shared" ref="I85:I90" si="17">D85*C85</f>
        <v>3</v>
      </c>
      <c r="J85" s="3068" t="s">
        <v>22</v>
      </c>
      <c r="K85" s="3069">
        <f t="shared" ref="K85:K90" si="18">F85*C85</f>
        <v>3.0612244897959182</v>
      </c>
      <c r="L85" s="3068" t="s">
        <v>22</v>
      </c>
      <c r="M85" s="4794"/>
      <c r="N85" s="4795"/>
      <c r="O85" s="4796"/>
      <c r="P85" s="2883"/>
      <c r="Q85" s="2882"/>
      <c r="R85" s="2882"/>
      <c r="S85" s="2882"/>
      <c r="T85" s="2882"/>
      <c r="U85" s="2882"/>
      <c r="V85" s="2882"/>
    </row>
    <row r="86" spans="2:22">
      <c r="B86" s="3023" t="s">
        <v>54</v>
      </c>
      <c r="C86" s="3022">
        <f t="shared" si="15"/>
        <v>100</v>
      </c>
      <c r="D86" s="3044">
        <v>0.04</v>
      </c>
      <c r="E86" s="3043">
        <v>2</v>
      </c>
      <c r="F86" s="3072">
        <f t="shared" si="16"/>
        <v>4.0816326530612249E-2</v>
      </c>
      <c r="G86" s="3068" t="s">
        <v>22</v>
      </c>
      <c r="H86" s="3071">
        <f>I81/D86</f>
        <v>3.75</v>
      </c>
      <c r="I86" s="3070">
        <f t="shared" si="17"/>
        <v>4</v>
      </c>
      <c r="J86" s="3068" t="s">
        <v>22</v>
      </c>
      <c r="K86" s="3069">
        <f t="shared" si="18"/>
        <v>4.0816326530612246</v>
      </c>
      <c r="L86" s="3068" t="s">
        <v>22</v>
      </c>
      <c r="M86" s="4794"/>
      <c r="N86" s="4795"/>
      <c r="O86" s="4796"/>
      <c r="P86" s="2883"/>
      <c r="Q86" s="2882"/>
      <c r="R86" s="2882"/>
      <c r="S86" s="2882"/>
      <c r="T86" s="2882"/>
      <c r="U86" s="2882"/>
      <c r="V86" s="2882"/>
    </row>
    <row r="87" spans="2:22">
      <c r="B87" s="3036" t="s">
        <v>2</v>
      </c>
      <c r="C87" s="3022">
        <f t="shared" si="15"/>
        <v>100</v>
      </c>
      <c r="D87" s="3044">
        <v>0.06</v>
      </c>
      <c r="E87" s="3043">
        <v>2</v>
      </c>
      <c r="F87" s="3072">
        <f t="shared" si="16"/>
        <v>6.1224489795918366E-2</v>
      </c>
      <c r="G87" s="3068" t="s">
        <v>22</v>
      </c>
      <c r="H87" s="3071">
        <f>I81/D87</f>
        <v>2.5</v>
      </c>
      <c r="I87" s="3070">
        <f t="shared" si="17"/>
        <v>6</v>
      </c>
      <c r="J87" s="3068" t="s">
        <v>22</v>
      </c>
      <c r="K87" s="3069">
        <f t="shared" si="18"/>
        <v>6.1224489795918364</v>
      </c>
      <c r="L87" s="3068" t="s">
        <v>22</v>
      </c>
      <c r="M87" s="4794"/>
      <c r="N87" s="4795"/>
      <c r="O87" s="4796"/>
      <c r="P87" s="2883"/>
      <c r="Q87" s="2882"/>
      <c r="R87" s="2882"/>
      <c r="S87" s="2882"/>
      <c r="T87" s="2882"/>
      <c r="U87" s="2882"/>
      <c r="V87" s="2882"/>
    </row>
    <row r="88" spans="2:22">
      <c r="B88" s="3023" t="s">
        <v>55</v>
      </c>
      <c r="C88" s="3022">
        <f t="shared" si="15"/>
        <v>100</v>
      </c>
      <c r="D88" s="3044">
        <v>7.0000000000000007E-2</v>
      </c>
      <c r="E88" s="3043">
        <v>2</v>
      </c>
      <c r="F88" s="3072">
        <f t="shared" si="16"/>
        <v>7.1428571428571438E-2</v>
      </c>
      <c r="G88" s="3068" t="s">
        <v>22</v>
      </c>
      <c r="H88" s="3071">
        <f>I81/D88</f>
        <v>2.1428571428571428</v>
      </c>
      <c r="I88" s="3070">
        <f t="shared" si="17"/>
        <v>7.0000000000000009</v>
      </c>
      <c r="J88" s="3068" t="s">
        <v>22</v>
      </c>
      <c r="K88" s="3069">
        <f t="shared" si="18"/>
        <v>7.1428571428571441</v>
      </c>
      <c r="L88" s="3068" t="s">
        <v>22</v>
      </c>
      <c r="M88" s="4794"/>
      <c r="N88" s="4795"/>
      <c r="O88" s="4796"/>
      <c r="P88" s="2883"/>
      <c r="Q88" s="2882"/>
      <c r="R88" s="3035" t="s">
        <v>6556</v>
      </c>
      <c r="S88" s="2882"/>
      <c r="T88" s="2882"/>
      <c r="U88" s="2882"/>
      <c r="V88" s="2882"/>
    </row>
    <row r="89" spans="2:22">
      <c r="B89" s="3023" t="s">
        <v>56</v>
      </c>
      <c r="C89" s="3022">
        <f t="shared" si="15"/>
        <v>8</v>
      </c>
      <c r="D89" s="3044">
        <v>0.06</v>
      </c>
      <c r="E89" s="3043">
        <v>2</v>
      </c>
      <c r="F89" s="3072">
        <f t="shared" si="16"/>
        <v>6.1224489795918366E-2</v>
      </c>
      <c r="G89" s="3068" t="s">
        <v>22</v>
      </c>
      <c r="H89" s="3071">
        <f>I81/D89</f>
        <v>2.5</v>
      </c>
      <c r="I89" s="3070">
        <f t="shared" si="17"/>
        <v>0.48</v>
      </c>
      <c r="J89" s="3068" t="s">
        <v>22</v>
      </c>
      <c r="K89" s="3069">
        <f t="shared" si="18"/>
        <v>0.48979591836734693</v>
      </c>
      <c r="L89" s="3068" t="s">
        <v>22</v>
      </c>
      <c r="M89" s="4794"/>
      <c r="N89" s="4795"/>
      <c r="O89" s="4796"/>
      <c r="P89" s="2883"/>
      <c r="Q89" s="2882"/>
      <c r="R89" s="2882"/>
      <c r="S89" s="2882"/>
      <c r="T89" s="2882"/>
      <c r="U89" s="2882"/>
      <c r="V89" s="2882"/>
    </row>
    <row r="90" spans="2:22">
      <c r="B90" s="3067" t="s">
        <v>6555</v>
      </c>
      <c r="C90" s="3066">
        <f t="shared" si="15"/>
        <v>4</v>
      </c>
      <c r="D90" s="3065">
        <v>0.05</v>
      </c>
      <c r="E90" s="3064">
        <v>2</v>
      </c>
      <c r="F90" s="3063">
        <f t="shared" si="16"/>
        <v>5.1020408163265307E-2</v>
      </c>
      <c r="G90" s="3059" t="s">
        <v>22</v>
      </c>
      <c r="H90" s="3062">
        <f>I81/D90</f>
        <v>2.9999999999999996</v>
      </c>
      <c r="I90" s="3061">
        <f t="shared" si="17"/>
        <v>0.2</v>
      </c>
      <c r="J90" s="3059" t="s">
        <v>22</v>
      </c>
      <c r="K90" s="3060">
        <f t="shared" si="18"/>
        <v>0.20408163265306123</v>
      </c>
      <c r="L90" s="3059" t="s">
        <v>22</v>
      </c>
      <c r="M90" s="4797"/>
      <c r="N90" s="4798"/>
      <c r="O90" s="4799"/>
      <c r="P90" s="2883"/>
      <c r="Q90" s="2882"/>
      <c r="R90" s="2882"/>
      <c r="S90" s="2882"/>
      <c r="T90" s="2882"/>
      <c r="U90" s="2882"/>
      <c r="V90" s="2882"/>
    </row>
    <row r="91" spans="2:22" ht="20.25">
      <c r="B91" s="3058" t="s">
        <v>6553</v>
      </c>
      <c r="C91" s="3057">
        <f>SUM(C85:C90)</f>
        <v>412</v>
      </c>
      <c r="D91" s="3056"/>
      <c r="E91" s="3056"/>
      <c r="F91" s="3055"/>
      <c r="G91" s="3055"/>
      <c r="H91" s="3055"/>
      <c r="I91" s="3054">
        <f>SUM(I85:I90)</f>
        <v>20.68</v>
      </c>
      <c r="J91" s="3054" t="s">
        <v>22</v>
      </c>
      <c r="K91" s="3053">
        <f>SUM(K85:K90)</f>
        <v>21.102040816326529</v>
      </c>
      <c r="L91" s="3053" t="s">
        <v>22</v>
      </c>
      <c r="M91" s="3052"/>
      <c r="N91" s="3052"/>
      <c r="O91" s="3051"/>
      <c r="P91" s="2883"/>
      <c r="Q91" s="2882"/>
      <c r="R91" s="2882"/>
      <c r="S91" s="2882"/>
      <c r="T91" s="2882"/>
      <c r="U91" s="2882"/>
      <c r="V91" s="2882"/>
    </row>
    <row r="92" spans="2:22">
      <c r="B92" s="4714" t="s">
        <v>6577</v>
      </c>
      <c r="C92" s="4715"/>
      <c r="D92" s="4715"/>
      <c r="E92" s="4715"/>
      <c r="F92" s="4715"/>
      <c r="G92" s="4715"/>
      <c r="H92" s="4715"/>
      <c r="I92" s="4715"/>
      <c r="J92" s="4715"/>
      <c r="K92" s="4715"/>
      <c r="L92" s="4715"/>
      <c r="M92" s="4715"/>
      <c r="N92" s="4715"/>
      <c r="O92" s="4716"/>
      <c r="P92" s="2883"/>
      <c r="Q92" s="2882"/>
      <c r="R92" s="2882"/>
      <c r="S92" s="2882"/>
      <c r="T92" s="2882"/>
      <c r="U92" s="2882"/>
      <c r="V92" s="2882"/>
    </row>
    <row r="93" spans="2:22">
      <c r="B93" s="4717"/>
      <c r="C93" s="4700"/>
      <c r="D93" s="4700"/>
      <c r="E93" s="4700"/>
      <c r="F93" s="4700"/>
      <c r="G93" s="4700"/>
      <c r="H93" s="4700"/>
      <c r="I93" s="4700"/>
      <c r="J93" s="4700"/>
      <c r="K93" s="4700"/>
      <c r="L93" s="4700"/>
      <c r="M93" s="4700"/>
      <c r="N93" s="4700"/>
      <c r="O93" s="4718"/>
      <c r="P93" s="2883"/>
      <c r="Q93" s="2882"/>
      <c r="R93" s="2882"/>
      <c r="S93" s="2882"/>
      <c r="T93" s="2882"/>
      <c r="U93" s="2882"/>
      <c r="V93" s="2882"/>
    </row>
    <row r="94" spans="2:22" ht="15.75">
      <c r="B94" s="4800" t="s">
        <v>6557</v>
      </c>
      <c r="C94" s="4803" t="s">
        <v>190</v>
      </c>
      <c r="D94" s="4804" t="s">
        <v>6565</v>
      </c>
      <c r="E94" s="4805" t="s">
        <v>6564</v>
      </c>
      <c r="F94" s="4788" t="s">
        <v>6563</v>
      </c>
      <c r="G94" s="4761" t="s">
        <v>6562</v>
      </c>
      <c r="H94" s="4764" t="s">
        <v>6561</v>
      </c>
      <c r="I94" s="4765"/>
      <c r="J94" s="4765"/>
      <c r="K94" s="4766" t="s">
        <v>6576</v>
      </c>
      <c r="L94" s="4767" t="s">
        <v>6559</v>
      </c>
      <c r="M94" s="4764" t="s">
        <v>6575</v>
      </c>
      <c r="N94" s="4765"/>
      <c r="O94" s="4768"/>
      <c r="P94" s="2883"/>
      <c r="Q94" s="2882"/>
      <c r="R94" s="3037" t="s">
        <v>6557</v>
      </c>
      <c r="S94" s="2882"/>
      <c r="T94" s="2882"/>
      <c r="U94" s="2882"/>
      <c r="V94" s="2882"/>
    </row>
    <row r="95" spans="2:22">
      <c r="B95" s="4801"/>
      <c r="C95" s="4772"/>
      <c r="D95" s="4774"/>
      <c r="E95" s="4776"/>
      <c r="F95" s="4778"/>
      <c r="G95" s="4762"/>
      <c r="H95" s="4757"/>
      <c r="I95" s="4758"/>
      <c r="J95" s="4758"/>
      <c r="K95" s="4734"/>
      <c r="L95" s="4736"/>
      <c r="M95" s="4757"/>
      <c r="N95" s="4758"/>
      <c r="O95" s="4769"/>
      <c r="P95" s="2883"/>
      <c r="Q95" s="2882"/>
      <c r="R95" s="2882"/>
      <c r="S95" s="2882"/>
      <c r="T95" s="2882"/>
      <c r="U95" s="2882"/>
      <c r="V95" s="2882"/>
    </row>
    <row r="96" spans="2:22">
      <c r="B96" s="4801"/>
      <c r="C96" s="4772"/>
      <c r="D96" s="4774"/>
      <c r="E96" s="4776"/>
      <c r="F96" s="4778"/>
      <c r="G96" s="4762"/>
      <c r="H96" s="4757"/>
      <c r="I96" s="4758"/>
      <c r="J96" s="4758"/>
      <c r="K96" s="4734"/>
      <c r="L96" s="4736"/>
      <c r="M96" s="4757"/>
      <c r="N96" s="4758"/>
      <c r="O96" s="4769"/>
      <c r="P96" s="2883"/>
      <c r="Q96" s="2882"/>
      <c r="R96" s="2882"/>
      <c r="S96" s="2882"/>
      <c r="T96" s="2882"/>
      <c r="U96" s="2882"/>
      <c r="V96" s="2882"/>
    </row>
    <row r="97" spans="2:22">
      <c r="B97" s="4802"/>
      <c r="C97" s="4773"/>
      <c r="D97" s="4775"/>
      <c r="E97" s="4777"/>
      <c r="F97" s="4779"/>
      <c r="G97" s="4763"/>
      <c r="H97" s="4759"/>
      <c r="I97" s="4760"/>
      <c r="J97" s="4760"/>
      <c r="K97" s="4735"/>
      <c r="L97" s="4737"/>
      <c r="M97" s="4759"/>
      <c r="N97" s="4760"/>
      <c r="O97" s="4770"/>
      <c r="P97" s="2883"/>
      <c r="Q97" s="2882"/>
      <c r="R97" s="2882"/>
      <c r="S97" s="2882"/>
      <c r="T97" s="2882"/>
      <c r="U97" s="2882"/>
      <c r="V97" s="2882"/>
    </row>
    <row r="98" spans="2:22" ht="15.75">
      <c r="B98" s="3023" t="s">
        <v>53</v>
      </c>
      <c r="C98" s="3022">
        <f t="shared" ref="C98:C103" si="19">C85</f>
        <v>100</v>
      </c>
      <c r="D98" s="3034" t="s">
        <v>6554</v>
      </c>
      <c r="E98" s="3033">
        <v>2.5</v>
      </c>
      <c r="F98" s="3032">
        <f t="shared" ref="F98:F103" si="20">IF(C98=0,0,E98-(E98*E85%))</f>
        <v>2.4500000000000002</v>
      </c>
      <c r="G98" s="3050">
        <f t="shared" ref="G98:G103" si="21">I85</f>
        <v>3</v>
      </c>
      <c r="H98" s="3030">
        <f t="shared" ref="H98:H103" si="22">IF(I85=0,0,INT(I85/F98))</f>
        <v>1</v>
      </c>
      <c r="I98" s="3025">
        <f t="shared" ref="I98:I103" si="23">I85-(F98*H98)</f>
        <v>0.54999999999999982</v>
      </c>
      <c r="J98" s="3029" t="str">
        <f t="shared" ref="J98:J104" si="24">IF(I98=0,0,"Kg")</f>
        <v>Kg</v>
      </c>
      <c r="K98" s="3028">
        <v>12</v>
      </c>
      <c r="L98" s="3049">
        <f t="shared" ref="L98:L103" si="25">C85/H85</f>
        <v>20</v>
      </c>
      <c r="M98" s="3030">
        <f t="shared" ref="M98:M103" si="26">IF(C85=0,0,INT(L98/K98))</f>
        <v>1</v>
      </c>
      <c r="N98" s="3025">
        <f t="shared" ref="N98:N103" si="27">(C85/H85)-(M98*K98)</f>
        <v>8</v>
      </c>
      <c r="O98" s="3048" t="str">
        <f t="shared" ref="O98:O104" si="28">IF(N98=0,0,"Louches")</f>
        <v>Louches</v>
      </c>
      <c r="P98" s="2883"/>
      <c r="Q98" s="2882"/>
      <c r="R98" s="4713" t="s">
        <v>6548</v>
      </c>
      <c r="S98" s="4713"/>
      <c r="T98" s="4713"/>
      <c r="U98" s="4713"/>
      <c r="V98" s="4713"/>
    </row>
    <row r="99" spans="2:22">
      <c r="B99" s="3023" t="s">
        <v>54</v>
      </c>
      <c r="C99" s="3022">
        <f t="shared" si="19"/>
        <v>100</v>
      </c>
      <c r="D99" s="3034" t="s">
        <v>6554</v>
      </c>
      <c r="E99" s="3033">
        <v>2.5</v>
      </c>
      <c r="F99" s="3032">
        <f t="shared" si="20"/>
        <v>2.4500000000000002</v>
      </c>
      <c r="G99" s="3050">
        <f t="shared" si="21"/>
        <v>4</v>
      </c>
      <c r="H99" s="3030">
        <f t="shared" si="22"/>
        <v>1</v>
      </c>
      <c r="I99" s="3025">
        <f t="shared" si="23"/>
        <v>1.5499999999999998</v>
      </c>
      <c r="J99" s="3029" t="str">
        <f t="shared" si="24"/>
        <v>Kg</v>
      </c>
      <c r="K99" s="3028">
        <v>20</v>
      </c>
      <c r="L99" s="3049">
        <f t="shared" si="25"/>
        <v>26.666666666666668</v>
      </c>
      <c r="M99" s="3030">
        <f t="shared" si="26"/>
        <v>1</v>
      </c>
      <c r="N99" s="3025">
        <f t="shared" si="27"/>
        <v>6.6666666666666679</v>
      </c>
      <c r="O99" s="3048" t="str">
        <f t="shared" si="28"/>
        <v>Louches</v>
      </c>
      <c r="P99" s="2883"/>
      <c r="Q99" s="2882"/>
      <c r="R99" s="2882"/>
      <c r="S99" s="2882"/>
      <c r="T99" s="2882"/>
      <c r="U99" s="2882"/>
      <c r="V99" s="2882"/>
    </row>
    <row r="100" spans="2:22">
      <c r="B100" s="3036" t="s">
        <v>2</v>
      </c>
      <c r="C100" s="3022">
        <f t="shared" si="19"/>
        <v>100</v>
      </c>
      <c r="D100" s="3034" t="s">
        <v>6554</v>
      </c>
      <c r="E100" s="3033">
        <v>2.5</v>
      </c>
      <c r="F100" s="3032">
        <f t="shared" si="20"/>
        <v>2.4500000000000002</v>
      </c>
      <c r="G100" s="3050">
        <f t="shared" si="21"/>
        <v>6</v>
      </c>
      <c r="H100" s="3030">
        <f t="shared" si="22"/>
        <v>2</v>
      </c>
      <c r="I100" s="3025">
        <f t="shared" si="23"/>
        <v>1.0999999999999996</v>
      </c>
      <c r="J100" s="3029" t="str">
        <f t="shared" si="24"/>
        <v>Kg</v>
      </c>
      <c r="K100" s="3028">
        <v>13</v>
      </c>
      <c r="L100" s="3049">
        <f t="shared" si="25"/>
        <v>40</v>
      </c>
      <c r="M100" s="3030">
        <f t="shared" si="26"/>
        <v>3</v>
      </c>
      <c r="N100" s="3025">
        <f t="shared" si="27"/>
        <v>1</v>
      </c>
      <c r="O100" s="3048" t="str">
        <f t="shared" si="28"/>
        <v>Louches</v>
      </c>
      <c r="P100" s="2883"/>
      <c r="Q100" s="2882"/>
      <c r="R100" s="2882"/>
      <c r="S100" s="2882"/>
      <c r="T100" s="2882"/>
      <c r="U100" s="2882"/>
      <c r="V100" s="2882"/>
    </row>
    <row r="101" spans="2:22">
      <c r="B101" s="3023" t="s">
        <v>55</v>
      </c>
      <c r="C101" s="3022">
        <f t="shared" si="19"/>
        <v>100</v>
      </c>
      <c r="D101" s="3034" t="s">
        <v>6554</v>
      </c>
      <c r="E101" s="3033">
        <v>2.5</v>
      </c>
      <c r="F101" s="3032">
        <f t="shared" si="20"/>
        <v>2.4500000000000002</v>
      </c>
      <c r="G101" s="3050">
        <f t="shared" si="21"/>
        <v>7.0000000000000009</v>
      </c>
      <c r="H101" s="3030">
        <f t="shared" si="22"/>
        <v>2</v>
      </c>
      <c r="I101" s="3025">
        <f t="shared" si="23"/>
        <v>2.1000000000000005</v>
      </c>
      <c r="J101" s="3029" t="str">
        <f t="shared" si="24"/>
        <v>Kg</v>
      </c>
      <c r="K101" s="3028">
        <v>20</v>
      </c>
      <c r="L101" s="3049">
        <f t="shared" si="25"/>
        <v>46.666666666666671</v>
      </c>
      <c r="M101" s="3030">
        <f t="shared" si="26"/>
        <v>2</v>
      </c>
      <c r="N101" s="3025">
        <f t="shared" si="27"/>
        <v>6.6666666666666714</v>
      </c>
      <c r="O101" s="3048" t="str">
        <f t="shared" si="28"/>
        <v>Louches</v>
      </c>
      <c r="P101" s="2883"/>
      <c r="Q101" s="2882"/>
      <c r="R101" s="3035" t="s">
        <v>6556</v>
      </c>
      <c r="S101" s="2882"/>
      <c r="T101" s="2882"/>
      <c r="U101" s="2882"/>
      <c r="V101" s="2882"/>
    </row>
    <row r="102" spans="2:22">
      <c r="B102" s="3023" t="s">
        <v>56</v>
      </c>
      <c r="C102" s="3022">
        <f t="shared" si="19"/>
        <v>8</v>
      </c>
      <c r="D102" s="3034" t="s">
        <v>6554</v>
      </c>
      <c r="E102" s="3033">
        <v>2.5</v>
      </c>
      <c r="F102" s="3032">
        <f t="shared" si="20"/>
        <v>2.4500000000000002</v>
      </c>
      <c r="G102" s="3050">
        <f t="shared" si="21"/>
        <v>0.48</v>
      </c>
      <c r="H102" s="3030">
        <f t="shared" si="22"/>
        <v>0</v>
      </c>
      <c r="I102" s="3025">
        <f t="shared" si="23"/>
        <v>0.48</v>
      </c>
      <c r="J102" s="3029" t="str">
        <f t="shared" si="24"/>
        <v>Kg</v>
      </c>
      <c r="K102" s="3028">
        <v>7.5</v>
      </c>
      <c r="L102" s="3049">
        <f t="shared" si="25"/>
        <v>3.2</v>
      </c>
      <c r="M102" s="3030">
        <f t="shared" si="26"/>
        <v>0</v>
      </c>
      <c r="N102" s="3025">
        <f t="shared" si="27"/>
        <v>3.2</v>
      </c>
      <c r="O102" s="3048" t="str">
        <f t="shared" si="28"/>
        <v>Louches</v>
      </c>
      <c r="P102" s="2883"/>
      <c r="Q102" s="2882"/>
      <c r="R102" s="2882"/>
      <c r="S102" s="2882"/>
      <c r="T102" s="2882"/>
      <c r="U102" s="2882"/>
      <c r="V102" s="2882"/>
    </row>
    <row r="103" spans="2:22">
      <c r="B103" s="3023" t="s">
        <v>6555</v>
      </c>
      <c r="C103" s="3022">
        <f t="shared" si="19"/>
        <v>4</v>
      </c>
      <c r="D103" s="3034" t="s">
        <v>6554</v>
      </c>
      <c r="E103" s="3033">
        <v>2.5</v>
      </c>
      <c r="F103" s="3032">
        <f t="shared" si="20"/>
        <v>2.4500000000000002</v>
      </c>
      <c r="G103" s="3050">
        <f t="shared" si="21"/>
        <v>0.2</v>
      </c>
      <c r="H103" s="3030">
        <f t="shared" si="22"/>
        <v>0</v>
      </c>
      <c r="I103" s="3025">
        <f t="shared" si="23"/>
        <v>0.2</v>
      </c>
      <c r="J103" s="3029" t="str">
        <f t="shared" si="24"/>
        <v>Kg</v>
      </c>
      <c r="K103" s="3028">
        <v>10</v>
      </c>
      <c r="L103" s="3049">
        <f t="shared" si="25"/>
        <v>1.3333333333333335</v>
      </c>
      <c r="M103" s="3030">
        <f t="shared" si="26"/>
        <v>0</v>
      </c>
      <c r="N103" s="3025">
        <f t="shared" si="27"/>
        <v>1.3333333333333335</v>
      </c>
      <c r="O103" s="3048" t="str">
        <f t="shared" si="28"/>
        <v>Louches</v>
      </c>
      <c r="P103" s="2883"/>
      <c r="Q103" s="2882"/>
      <c r="R103" s="2882"/>
      <c r="S103" s="2882"/>
      <c r="T103" s="2882"/>
      <c r="U103" s="2882"/>
      <c r="V103" s="2882"/>
    </row>
    <row r="104" spans="2:22">
      <c r="B104" s="4809" t="s">
        <v>6553</v>
      </c>
      <c r="C104" s="4810">
        <f>SUM(C98:C103)</f>
        <v>412</v>
      </c>
      <c r="D104" s="3010"/>
      <c r="E104" s="3010"/>
      <c r="F104" s="3010"/>
      <c r="G104" s="4811">
        <f>SUM(G98:G103)</f>
        <v>20.68</v>
      </c>
      <c r="H104" s="4813">
        <f>SUM(H98:H103)</f>
        <v>6</v>
      </c>
      <c r="I104" s="4814">
        <f>SUM(I98:I103)</f>
        <v>5.9799999999999995</v>
      </c>
      <c r="J104" s="4815" t="str">
        <f t="shared" si="24"/>
        <v>Kg</v>
      </c>
      <c r="K104" s="3010"/>
      <c r="L104" s="4811">
        <f>SUM(L98:L103)</f>
        <v>137.86666666666667</v>
      </c>
      <c r="M104" s="4813">
        <f>SUM(M98:M103)</f>
        <v>7</v>
      </c>
      <c r="N104" s="4814">
        <f>SUM(N98:N103)</f>
        <v>26.866666666666671</v>
      </c>
      <c r="O104" s="4816" t="str">
        <f t="shared" si="28"/>
        <v>Louches</v>
      </c>
      <c r="P104" s="2883"/>
      <c r="Q104" s="2882"/>
      <c r="R104" s="2882"/>
      <c r="S104" s="2882"/>
      <c r="T104" s="2882"/>
      <c r="U104" s="2882"/>
      <c r="V104" s="2882"/>
    </row>
    <row r="105" spans="2:22">
      <c r="B105" s="4743"/>
      <c r="C105" s="4745"/>
      <c r="D105" s="3009"/>
      <c r="E105" s="3009"/>
      <c r="F105" s="3009"/>
      <c r="G105" s="4812"/>
      <c r="H105" s="4753"/>
      <c r="I105" s="4754"/>
      <c r="J105" s="4756"/>
      <c r="K105" s="3009"/>
      <c r="L105" s="4812"/>
      <c r="M105" s="4753"/>
      <c r="N105" s="4754"/>
      <c r="O105" s="4817"/>
      <c r="P105" s="2883"/>
      <c r="Q105" s="2882"/>
      <c r="R105" s="2882"/>
      <c r="S105" s="2882"/>
      <c r="T105" s="2882"/>
      <c r="U105" s="2882"/>
      <c r="V105" s="2882"/>
    </row>
    <row r="106" spans="2:22">
      <c r="B106" s="4818" t="s">
        <v>6574</v>
      </c>
      <c r="C106" s="4819"/>
      <c r="D106" s="4819"/>
      <c r="E106" s="4819"/>
      <c r="F106" s="4819"/>
      <c r="G106" s="4819"/>
      <c r="H106" s="4819"/>
      <c r="I106" s="4819"/>
      <c r="J106" s="4819"/>
      <c r="K106" s="4819"/>
      <c r="L106" s="4819"/>
      <c r="M106" s="4819"/>
      <c r="N106" s="4819"/>
      <c r="O106" s="4820"/>
      <c r="P106" s="2883"/>
      <c r="Q106" s="2882"/>
      <c r="R106" s="2882"/>
      <c r="S106" s="2882"/>
      <c r="T106" s="2882"/>
      <c r="U106" s="2882"/>
      <c r="V106" s="2882"/>
    </row>
    <row r="107" spans="2:22">
      <c r="B107" s="4821"/>
      <c r="C107" s="4822"/>
      <c r="D107" s="4822"/>
      <c r="E107" s="4822"/>
      <c r="F107" s="4822"/>
      <c r="G107" s="4822"/>
      <c r="H107" s="4822"/>
      <c r="I107" s="4822"/>
      <c r="J107" s="4822"/>
      <c r="K107" s="4822"/>
      <c r="L107" s="4822"/>
      <c r="M107" s="4822"/>
      <c r="N107" s="4822"/>
      <c r="O107" s="4823"/>
      <c r="P107" s="2883"/>
      <c r="Q107" s="2882"/>
      <c r="R107" s="2882"/>
      <c r="S107" s="2882"/>
      <c r="T107" s="2882"/>
      <c r="U107" s="2882"/>
      <c r="V107" s="2882"/>
    </row>
    <row r="108" spans="2:22">
      <c r="B108" s="4719" t="s">
        <v>58</v>
      </c>
      <c r="C108" s="4722" t="s">
        <v>190</v>
      </c>
      <c r="D108" s="4789" t="s">
        <v>6573</v>
      </c>
      <c r="E108" s="4726" t="s">
        <v>6572</v>
      </c>
      <c r="F108" s="4728" t="s">
        <v>6571</v>
      </c>
      <c r="G108" s="4730" t="s">
        <v>6570</v>
      </c>
      <c r="H108" s="4730"/>
      <c r="I108" s="4730" t="s">
        <v>6569</v>
      </c>
      <c r="J108" s="4730"/>
      <c r="K108" s="4730" t="s">
        <v>6568</v>
      </c>
      <c r="L108" s="4791"/>
      <c r="M108" s="3047" t="s">
        <v>6567</v>
      </c>
      <c r="N108" s="3046"/>
      <c r="O108" s="3045"/>
      <c r="P108" s="2883"/>
      <c r="Q108" s="2882"/>
      <c r="R108" s="2882"/>
      <c r="S108" s="2882"/>
      <c r="T108" s="2882"/>
      <c r="U108" s="2882"/>
      <c r="V108" s="2882"/>
    </row>
    <row r="109" spans="2:22">
      <c r="B109" s="4721"/>
      <c r="C109" s="4723"/>
      <c r="D109" s="4824"/>
      <c r="E109" s="4727"/>
      <c r="F109" s="4729"/>
      <c r="G109" s="4731"/>
      <c r="H109" s="4731"/>
      <c r="I109" s="4731"/>
      <c r="J109" s="4731"/>
      <c r="K109" s="4792"/>
      <c r="L109" s="4793"/>
      <c r="M109" s="4794"/>
      <c r="N109" s="4795"/>
      <c r="O109" s="4796"/>
      <c r="P109" s="2883"/>
      <c r="Q109" s="2882"/>
      <c r="R109" s="2882"/>
      <c r="S109" s="2882"/>
      <c r="T109" s="2882"/>
      <c r="U109" s="2882"/>
      <c r="V109" s="2882"/>
    </row>
    <row r="110" spans="2:22" ht="15.75">
      <c r="B110" s="3023" t="s">
        <v>53</v>
      </c>
      <c r="C110" s="3022">
        <f t="shared" ref="C110:C115" si="29">C53</f>
        <v>100</v>
      </c>
      <c r="D110" s="3044">
        <v>0.04</v>
      </c>
      <c r="E110" s="3033">
        <v>1</v>
      </c>
      <c r="F110" s="3043">
        <v>5</v>
      </c>
      <c r="G110" s="4806">
        <f t="shared" ref="G110:G115" si="30">IF(C110=0,0,(D110*E110)/(100-F110)*100)</f>
        <v>4.2105263157894736E-2</v>
      </c>
      <c r="H110" s="4807"/>
      <c r="I110" s="4808">
        <f t="shared" ref="I110:I115" si="31">(D110*E110)*C110</f>
        <v>4</v>
      </c>
      <c r="J110" s="4808"/>
      <c r="K110" s="3042">
        <f t="shared" ref="K110:K115" si="32">G110*C110</f>
        <v>4.2105263157894735</v>
      </c>
      <c r="L110" s="3041"/>
      <c r="M110" s="4794"/>
      <c r="N110" s="4795"/>
      <c r="O110" s="4796"/>
      <c r="P110" s="2883"/>
      <c r="Q110" s="2882"/>
      <c r="R110" s="4713" t="s">
        <v>6548</v>
      </c>
      <c r="S110" s="4713"/>
      <c r="T110" s="4713"/>
      <c r="U110" s="4713"/>
      <c r="V110" s="4713"/>
    </row>
    <row r="111" spans="2:22">
      <c r="B111" s="3023" t="s">
        <v>54</v>
      </c>
      <c r="C111" s="3022">
        <f t="shared" si="29"/>
        <v>100</v>
      </c>
      <c r="D111" s="3044">
        <v>0.04</v>
      </c>
      <c r="E111" s="3033">
        <v>1</v>
      </c>
      <c r="F111" s="3043">
        <v>5</v>
      </c>
      <c r="G111" s="4806">
        <f t="shared" si="30"/>
        <v>4.2105263157894736E-2</v>
      </c>
      <c r="H111" s="4807"/>
      <c r="I111" s="4808">
        <f t="shared" si="31"/>
        <v>4</v>
      </c>
      <c r="J111" s="4808"/>
      <c r="K111" s="3042">
        <f t="shared" si="32"/>
        <v>4.2105263157894735</v>
      </c>
      <c r="L111" s="3041"/>
      <c r="M111" s="4794"/>
      <c r="N111" s="4795"/>
      <c r="O111" s="4796"/>
      <c r="P111" s="2883"/>
      <c r="Q111" s="2882"/>
      <c r="R111" s="2882"/>
      <c r="S111" s="2882"/>
      <c r="T111" s="2882"/>
      <c r="U111" s="2882"/>
      <c r="V111" s="2882"/>
    </row>
    <row r="112" spans="2:22">
      <c r="B112" s="3036" t="s">
        <v>2</v>
      </c>
      <c r="C112" s="3022">
        <f t="shared" si="29"/>
        <v>100</v>
      </c>
      <c r="D112" s="3044">
        <v>0.1</v>
      </c>
      <c r="E112" s="3033">
        <v>1</v>
      </c>
      <c r="F112" s="3043">
        <v>5</v>
      </c>
      <c r="G112" s="4806">
        <f t="shared" si="30"/>
        <v>0.10526315789473684</v>
      </c>
      <c r="H112" s="4807"/>
      <c r="I112" s="4808">
        <f t="shared" si="31"/>
        <v>10</v>
      </c>
      <c r="J112" s="4808"/>
      <c r="K112" s="3042">
        <f t="shared" si="32"/>
        <v>10.526315789473683</v>
      </c>
      <c r="L112" s="3041"/>
      <c r="M112" s="4794"/>
      <c r="N112" s="4795"/>
      <c r="O112" s="4796"/>
      <c r="P112" s="2883"/>
      <c r="Q112" s="2882"/>
      <c r="R112" s="2882"/>
      <c r="S112" s="2882"/>
      <c r="T112" s="2882"/>
      <c r="U112" s="2882"/>
      <c r="V112" s="2882"/>
    </row>
    <row r="113" spans="2:22">
      <c r="B113" s="3023" t="s">
        <v>55</v>
      </c>
      <c r="C113" s="3022">
        <f t="shared" si="29"/>
        <v>100</v>
      </c>
      <c r="D113" s="3044">
        <v>0.09</v>
      </c>
      <c r="E113" s="3033">
        <v>1</v>
      </c>
      <c r="F113" s="3043">
        <v>5</v>
      </c>
      <c r="G113" s="4806">
        <f t="shared" si="30"/>
        <v>9.4736842105263147E-2</v>
      </c>
      <c r="H113" s="4807"/>
      <c r="I113" s="4808">
        <f t="shared" si="31"/>
        <v>9</v>
      </c>
      <c r="J113" s="4808"/>
      <c r="K113" s="3042">
        <f t="shared" si="32"/>
        <v>9.473684210526315</v>
      </c>
      <c r="L113" s="3041"/>
      <c r="M113" s="4794"/>
      <c r="N113" s="4795"/>
      <c r="O113" s="4796"/>
      <c r="P113" s="2883"/>
      <c r="Q113" s="2882"/>
      <c r="R113" s="3035" t="s">
        <v>6556</v>
      </c>
      <c r="S113" s="2882"/>
      <c r="T113" s="2882"/>
      <c r="U113" s="2882"/>
      <c r="V113" s="2882"/>
    </row>
    <row r="114" spans="2:22">
      <c r="B114" s="3023" t="s">
        <v>56</v>
      </c>
      <c r="C114" s="3022">
        <f t="shared" si="29"/>
        <v>8</v>
      </c>
      <c r="D114" s="3044">
        <v>0.1</v>
      </c>
      <c r="E114" s="3033">
        <v>1</v>
      </c>
      <c r="F114" s="3043">
        <v>5</v>
      </c>
      <c r="G114" s="4806">
        <f t="shared" si="30"/>
        <v>0.10526315789473684</v>
      </c>
      <c r="H114" s="4807"/>
      <c r="I114" s="4808">
        <f t="shared" si="31"/>
        <v>0.8</v>
      </c>
      <c r="J114" s="4808"/>
      <c r="K114" s="3042">
        <f t="shared" si="32"/>
        <v>0.84210526315789469</v>
      </c>
      <c r="L114" s="3041"/>
      <c r="M114" s="4794"/>
      <c r="N114" s="4795"/>
      <c r="O114" s="4796"/>
      <c r="P114" s="2883"/>
      <c r="Q114" s="2882"/>
      <c r="R114" s="2882"/>
      <c r="S114" s="2882"/>
      <c r="T114" s="2882"/>
      <c r="U114" s="2882"/>
      <c r="V114" s="2882"/>
    </row>
    <row r="115" spans="2:22">
      <c r="B115" s="3023" t="s">
        <v>6555</v>
      </c>
      <c r="C115" s="3022">
        <f t="shared" si="29"/>
        <v>4</v>
      </c>
      <c r="D115" s="3044">
        <v>7.0000000000000007E-2</v>
      </c>
      <c r="E115" s="3033">
        <v>1</v>
      </c>
      <c r="F115" s="3043">
        <v>5</v>
      </c>
      <c r="G115" s="4806">
        <f t="shared" si="30"/>
        <v>7.3684210526315796E-2</v>
      </c>
      <c r="H115" s="4807"/>
      <c r="I115" s="4808">
        <f t="shared" si="31"/>
        <v>0.28000000000000003</v>
      </c>
      <c r="J115" s="4808"/>
      <c r="K115" s="3042">
        <f t="shared" si="32"/>
        <v>0.29473684210526319</v>
      </c>
      <c r="L115" s="3041"/>
      <c r="M115" s="4794"/>
      <c r="N115" s="4795"/>
      <c r="O115" s="4796"/>
      <c r="P115" s="2883"/>
      <c r="Q115" s="2882"/>
      <c r="R115" s="2882"/>
      <c r="S115" s="2882"/>
      <c r="T115" s="2882"/>
      <c r="U115" s="2882"/>
      <c r="V115" s="2882"/>
    </row>
    <row r="116" spans="2:22" ht="20.25">
      <c r="B116" s="3040" t="s">
        <v>6553</v>
      </c>
      <c r="C116" s="3039">
        <f>SUM(C110:C115)</f>
        <v>412</v>
      </c>
      <c r="D116" s="3038"/>
      <c r="E116" s="3038"/>
      <c r="F116" s="3010"/>
      <c r="G116" s="3010"/>
      <c r="H116" s="3010"/>
      <c r="I116" s="4825">
        <f>SUM(I110:I115)</f>
        <v>28.080000000000002</v>
      </c>
      <c r="J116" s="4825"/>
      <c r="K116" s="4826">
        <f>SUM(K110:K115)</f>
        <v>29.557894736842101</v>
      </c>
      <c r="L116" s="4827"/>
      <c r="M116" s="4794"/>
      <c r="N116" s="4795"/>
      <c r="O116" s="4796"/>
      <c r="P116" s="2883"/>
      <c r="Q116" s="2882"/>
      <c r="R116" s="2882"/>
      <c r="S116" s="2882"/>
      <c r="T116" s="2882"/>
      <c r="U116" s="2882"/>
      <c r="V116" s="2882"/>
    </row>
    <row r="117" spans="2:22">
      <c r="B117" s="4714" t="s">
        <v>6566</v>
      </c>
      <c r="C117" s="4715"/>
      <c r="D117" s="4715"/>
      <c r="E117" s="4715"/>
      <c r="F117" s="4715"/>
      <c r="G117" s="4715"/>
      <c r="H117" s="4715"/>
      <c r="I117" s="4715"/>
      <c r="J117" s="4715"/>
      <c r="K117" s="4715"/>
      <c r="L117" s="4715"/>
      <c r="M117" s="4715"/>
      <c r="N117" s="4715"/>
      <c r="O117" s="4716"/>
      <c r="P117" s="2883"/>
      <c r="Q117" s="2882"/>
      <c r="R117" s="2882"/>
      <c r="S117" s="2882"/>
      <c r="T117" s="2882"/>
      <c r="U117" s="2882"/>
      <c r="V117" s="2882"/>
    </row>
    <row r="118" spans="2:22">
      <c r="B118" s="4717"/>
      <c r="C118" s="4700"/>
      <c r="D118" s="4700"/>
      <c r="E118" s="4700"/>
      <c r="F118" s="4700"/>
      <c r="G118" s="4700"/>
      <c r="H118" s="4700"/>
      <c r="I118" s="4700"/>
      <c r="J118" s="4700"/>
      <c r="K118" s="4700"/>
      <c r="L118" s="4700"/>
      <c r="M118" s="4700"/>
      <c r="N118" s="4700"/>
      <c r="O118" s="4718"/>
      <c r="P118" s="2883"/>
      <c r="Q118" s="2882"/>
      <c r="R118" s="2882"/>
      <c r="S118" s="2882"/>
      <c r="T118" s="2882"/>
      <c r="U118" s="2882"/>
      <c r="V118" s="2882"/>
    </row>
    <row r="119" spans="2:22" ht="15.75">
      <c r="B119" s="4801" t="s">
        <v>6557</v>
      </c>
      <c r="C119" s="4828" t="s">
        <v>190</v>
      </c>
      <c r="D119" s="4774" t="s">
        <v>6565</v>
      </c>
      <c r="E119" s="4776" t="s">
        <v>6564</v>
      </c>
      <c r="F119" s="4778" t="s">
        <v>6563</v>
      </c>
      <c r="G119" s="4762" t="s">
        <v>6562</v>
      </c>
      <c r="H119" s="4757" t="s">
        <v>6561</v>
      </c>
      <c r="I119" s="4758"/>
      <c r="J119" s="4758"/>
      <c r="K119" s="4766" t="s">
        <v>6560</v>
      </c>
      <c r="L119" s="4767" t="s">
        <v>6559</v>
      </c>
      <c r="M119" s="4764" t="s">
        <v>6558</v>
      </c>
      <c r="N119" s="4765"/>
      <c r="O119" s="4768"/>
      <c r="P119" s="2883"/>
      <c r="Q119" s="2882"/>
      <c r="R119" s="3037" t="s">
        <v>6557</v>
      </c>
      <c r="S119" s="2882"/>
      <c r="T119" s="2882"/>
      <c r="U119" s="2882"/>
      <c r="V119" s="2882"/>
    </row>
    <row r="120" spans="2:22">
      <c r="B120" s="4801"/>
      <c r="C120" s="4772"/>
      <c r="D120" s="4774"/>
      <c r="E120" s="4776"/>
      <c r="F120" s="4778"/>
      <c r="G120" s="4762"/>
      <c r="H120" s="4757"/>
      <c r="I120" s="4758"/>
      <c r="J120" s="4758"/>
      <c r="K120" s="4734"/>
      <c r="L120" s="4736"/>
      <c r="M120" s="4757"/>
      <c r="N120" s="4758"/>
      <c r="O120" s="4769"/>
      <c r="P120" s="2883"/>
      <c r="Q120" s="2882"/>
      <c r="R120" s="2882"/>
      <c r="S120" s="2882"/>
      <c r="T120" s="2882"/>
      <c r="U120" s="2882"/>
      <c r="V120" s="2882"/>
    </row>
    <row r="121" spans="2:22">
      <c r="B121" s="4801"/>
      <c r="C121" s="4772"/>
      <c r="D121" s="4774"/>
      <c r="E121" s="4776"/>
      <c r="F121" s="4778"/>
      <c r="G121" s="4762"/>
      <c r="H121" s="4757"/>
      <c r="I121" s="4758"/>
      <c r="J121" s="4758"/>
      <c r="K121" s="4734"/>
      <c r="L121" s="4736"/>
      <c r="M121" s="4757"/>
      <c r="N121" s="4758"/>
      <c r="O121" s="4769"/>
      <c r="P121" s="2883"/>
      <c r="Q121" s="2882"/>
      <c r="R121" s="2882"/>
      <c r="S121" s="2882"/>
      <c r="T121" s="2882"/>
      <c r="U121" s="2882"/>
      <c r="V121" s="2882"/>
    </row>
    <row r="122" spans="2:22">
      <c r="B122" s="4801"/>
      <c r="C122" s="4773"/>
      <c r="D122" s="4775"/>
      <c r="E122" s="4777"/>
      <c r="F122" s="4779"/>
      <c r="G122" s="4763"/>
      <c r="H122" s="4759"/>
      <c r="I122" s="4760"/>
      <c r="J122" s="4760"/>
      <c r="K122" s="4735"/>
      <c r="L122" s="4737"/>
      <c r="M122" s="4759"/>
      <c r="N122" s="4760"/>
      <c r="O122" s="4770"/>
      <c r="P122" s="2883"/>
      <c r="Q122" s="2882"/>
      <c r="R122" s="2882"/>
      <c r="S122" s="2882"/>
      <c r="T122" s="2882"/>
      <c r="U122" s="2882"/>
      <c r="V122" s="2882"/>
    </row>
    <row r="123" spans="2:22">
      <c r="B123" s="3023" t="s">
        <v>53</v>
      </c>
      <c r="C123" s="3022">
        <f t="shared" ref="C123:C128" si="33">C110</f>
        <v>100</v>
      </c>
      <c r="D123" s="3034" t="s">
        <v>6554</v>
      </c>
      <c r="E123" s="3033">
        <v>5</v>
      </c>
      <c r="F123" s="3032">
        <f t="shared" ref="F123:F128" si="34">IF(C123=0,0,E123-(E123*F110%))</f>
        <v>4.75</v>
      </c>
      <c r="G123" s="3031">
        <f t="shared" ref="G123:G128" si="35">I110</f>
        <v>4</v>
      </c>
      <c r="H123" s="3030">
        <f t="shared" ref="H123:H128" si="36">IF(I110=0,0,INT(I110/F123))</f>
        <v>0</v>
      </c>
      <c r="I123" s="3025">
        <f t="shared" ref="I123:I128" si="37">I110-(F123*H123)</f>
        <v>4</v>
      </c>
      <c r="J123" s="3029" t="s">
        <v>6552</v>
      </c>
      <c r="K123" s="3028">
        <v>12</v>
      </c>
      <c r="L123" s="3027">
        <f t="shared" ref="L123:L128" si="38">C110*E110</f>
        <v>100</v>
      </c>
      <c r="M123" s="3026">
        <f t="shared" ref="M123:M128" si="39">IF(K123=0,0,INT(E110*C110/K123))</f>
        <v>8</v>
      </c>
      <c r="N123" s="3025">
        <f t="shared" ref="N123:N128" si="40">(C110*E110)-(M123*K123)</f>
        <v>4</v>
      </c>
      <c r="O123" s="3024" t="str">
        <f t="shared" ref="O123:O129" si="41">IF(N123=0,0,"Louches/Mx")</f>
        <v>Louches/Mx</v>
      </c>
      <c r="P123" s="2883"/>
      <c r="Q123" s="2882"/>
      <c r="R123" s="2882"/>
      <c r="S123" s="2882"/>
      <c r="T123" s="2882"/>
      <c r="U123" s="2882"/>
      <c r="V123" s="2882"/>
    </row>
    <row r="124" spans="2:22" ht="15.75">
      <c r="B124" s="3023" t="s">
        <v>54</v>
      </c>
      <c r="C124" s="3022">
        <f t="shared" si="33"/>
        <v>100</v>
      </c>
      <c r="D124" s="3034" t="s">
        <v>6554</v>
      </c>
      <c r="E124" s="3033">
        <v>1.5</v>
      </c>
      <c r="F124" s="3032">
        <f t="shared" si="34"/>
        <v>1.425</v>
      </c>
      <c r="G124" s="3031">
        <f t="shared" si="35"/>
        <v>4</v>
      </c>
      <c r="H124" s="3030">
        <f t="shared" si="36"/>
        <v>2</v>
      </c>
      <c r="I124" s="3025">
        <f t="shared" si="37"/>
        <v>1.1499999999999999</v>
      </c>
      <c r="J124" s="3029" t="s">
        <v>6552</v>
      </c>
      <c r="K124" s="3028">
        <v>20</v>
      </c>
      <c r="L124" s="3027">
        <f t="shared" si="38"/>
        <v>100</v>
      </c>
      <c r="M124" s="3026">
        <f t="shared" si="39"/>
        <v>5</v>
      </c>
      <c r="N124" s="3025">
        <f t="shared" si="40"/>
        <v>0</v>
      </c>
      <c r="O124" s="3024">
        <f t="shared" si="41"/>
        <v>0</v>
      </c>
      <c r="P124" s="2883"/>
      <c r="Q124" s="2882"/>
      <c r="R124" s="4713" t="s">
        <v>6548</v>
      </c>
      <c r="S124" s="4713"/>
      <c r="T124" s="4713"/>
      <c r="U124" s="4713"/>
      <c r="V124" s="4713"/>
    </row>
    <row r="125" spans="2:22">
      <c r="B125" s="3036" t="s">
        <v>2</v>
      </c>
      <c r="C125" s="3022">
        <f t="shared" si="33"/>
        <v>100</v>
      </c>
      <c r="D125" s="3034" t="s">
        <v>6554</v>
      </c>
      <c r="E125" s="3033">
        <v>1.5</v>
      </c>
      <c r="F125" s="3032">
        <f t="shared" si="34"/>
        <v>1.425</v>
      </c>
      <c r="G125" s="3031">
        <f t="shared" si="35"/>
        <v>10</v>
      </c>
      <c r="H125" s="3030">
        <f t="shared" si="36"/>
        <v>7</v>
      </c>
      <c r="I125" s="3025">
        <f t="shared" si="37"/>
        <v>2.5000000000000355E-2</v>
      </c>
      <c r="J125" s="3029" t="s">
        <v>6552</v>
      </c>
      <c r="K125" s="3028">
        <v>20</v>
      </c>
      <c r="L125" s="3027">
        <f t="shared" si="38"/>
        <v>100</v>
      </c>
      <c r="M125" s="3026">
        <f t="shared" si="39"/>
        <v>5</v>
      </c>
      <c r="N125" s="3025">
        <f t="shared" si="40"/>
        <v>0</v>
      </c>
      <c r="O125" s="3024">
        <f t="shared" si="41"/>
        <v>0</v>
      </c>
      <c r="P125" s="2883"/>
      <c r="Q125" s="2882"/>
      <c r="R125" s="2882"/>
      <c r="S125" s="2882"/>
      <c r="T125" s="2882"/>
      <c r="U125" s="2882"/>
      <c r="V125" s="2882"/>
    </row>
    <row r="126" spans="2:22">
      <c r="B126" s="3023" t="s">
        <v>55</v>
      </c>
      <c r="C126" s="3022">
        <f t="shared" si="33"/>
        <v>100</v>
      </c>
      <c r="D126" s="3034" t="s">
        <v>6554</v>
      </c>
      <c r="E126" s="3033">
        <v>1.5</v>
      </c>
      <c r="F126" s="3032">
        <f t="shared" si="34"/>
        <v>1.425</v>
      </c>
      <c r="G126" s="3031">
        <f t="shared" si="35"/>
        <v>9</v>
      </c>
      <c r="H126" s="3030">
        <f t="shared" si="36"/>
        <v>6</v>
      </c>
      <c r="I126" s="3025">
        <f t="shared" si="37"/>
        <v>0.44999999999999929</v>
      </c>
      <c r="J126" s="3029" t="s">
        <v>6552</v>
      </c>
      <c r="K126" s="3028">
        <v>20</v>
      </c>
      <c r="L126" s="3027">
        <f t="shared" si="38"/>
        <v>100</v>
      </c>
      <c r="M126" s="3026">
        <f t="shared" si="39"/>
        <v>5</v>
      </c>
      <c r="N126" s="3025">
        <f t="shared" si="40"/>
        <v>0</v>
      </c>
      <c r="O126" s="3024">
        <f t="shared" si="41"/>
        <v>0</v>
      </c>
      <c r="P126" s="2883"/>
      <c r="Q126" s="2882"/>
      <c r="R126" s="3035" t="s">
        <v>6556</v>
      </c>
      <c r="S126" s="2882"/>
      <c r="T126" s="2882"/>
      <c r="U126" s="2882"/>
      <c r="V126" s="2882"/>
    </row>
    <row r="127" spans="2:22">
      <c r="B127" s="3023" t="s">
        <v>56</v>
      </c>
      <c r="C127" s="3022">
        <f t="shared" si="33"/>
        <v>8</v>
      </c>
      <c r="D127" s="3034" t="s">
        <v>6554</v>
      </c>
      <c r="E127" s="3033">
        <v>1.5</v>
      </c>
      <c r="F127" s="3032">
        <f t="shared" si="34"/>
        <v>1.425</v>
      </c>
      <c r="G127" s="3031">
        <f t="shared" si="35"/>
        <v>0.8</v>
      </c>
      <c r="H127" s="3030">
        <f t="shared" si="36"/>
        <v>0</v>
      </c>
      <c r="I127" s="3025">
        <f t="shared" si="37"/>
        <v>0.8</v>
      </c>
      <c r="J127" s="3029" t="s">
        <v>6552</v>
      </c>
      <c r="K127" s="3028">
        <v>20</v>
      </c>
      <c r="L127" s="3027">
        <f t="shared" si="38"/>
        <v>8</v>
      </c>
      <c r="M127" s="3026">
        <f t="shared" si="39"/>
        <v>0</v>
      </c>
      <c r="N127" s="3025">
        <f t="shared" si="40"/>
        <v>8</v>
      </c>
      <c r="O127" s="3024" t="str">
        <f t="shared" si="41"/>
        <v>Louches/Mx</v>
      </c>
      <c r="P127" s="2883"/>
      <c r="Q127" s="2882"/>
      <c r="R127" s="2882"/>
      <c r="S127" s="2882"/>
      <c r="T127" s="2882"/>
      <c r="U127" s="2882"/>
      <c r="V127" s="2882"/>
    </row>
    <row r="128" spans="2:22">
      <c r="B128" s="3023" t="s">
        <v>6555</v>
      </c>
      <c r="C128" s="3022">
        <f t="shared" si="33"/>
        <v>4</v>
      </c>
      <c r="D128" s="3021" t="s">
        <v>6554</v>
      </c>
      <c r="E128" s="3020">
        <v>1.5</v>
      </c>
      <c r="F128" s="3019">
        <f t="shared" si="34"/>
        <v>1.425</v>
      </c>
      <c r="G128" s="3018">
        <f t="shared" si="35"/>
        <v>0.28000000000000003</v>
      </c>
      <c r="H128" s="3017">
        <f t="shared" si="36"/>
        <v>0</v>
      </c>
      <c r="I128" s="3012">
        <f t="shared" si="37"/>
        <v>0.28000000000000003</v>
      </c>
      <c r="J128" s="3016" t="s">
        <v>6552</v>
      </c>
      <c r="K128" s="3015">
        <v>20</v>
      </c>
      <c r="L128" s="3014">
        <f t="shared" si="38"/>
        <v>4</v>
      </c>
      <c r="M128" s="3013">
        <f t="shared" si="39"/>
        <v>0</v>
      </c>
      <c r="N128" s="3012">
        <f t="shared" si="40"/>
        <v>4</v>
      </c>
      <c r="O128" s="3011" t="str">
        <f t="shared" si="41"/>
        <v>Louches/Mx</v>
      </c>
      <c r="P128" s="2883"/>
      <c r="Q128" s="2882"/>
      <c r="R128" s="2882"/>
      <c r="S128" s="2882"/>
      <c r="T128" s="2882"/>
      <c r="U128" s="2882"/>
      <c r="V128" s="2882"/>
    </row>
    <row r="129" spans="1:22">
      <c r="B129" s="4809" t="s">
        <v>6553</v>
      </c>
      <c r="C129" s="4810">
        <f>SUM(C123:C128)</f>
        <v>412</v>
      </c>
      <c r="D129" s="3010"/>
      <c r="E129" s="3010"/>
      <c r="F129" s="3010"/>
      <c r="G129" s="4811">
        <f>SUM(G123:G128)</f>
        <v>28.080000000000002</v>
      </c>
      <c r="H129" s="4813">
        <f>SUM(H123:H128)</f>
        <v>15</v>
      </c>
      <c r="I129" s="4814">
        <f>SUM(I123:I128)</f>
        <v>6.7050000000000001</v>
      </c>
      <c r="J129" s="4829" t="s">
        <v>6552</v>
      </c>
      <c r="K129" s="3010"/>
      <c r="L129" s="4811">
        <f>SUM(L123:L128)</f>
        <v>412</v>
      </c>
      <c r="M129" s="4813">
        <f>SUM(M123:M128)</f>
        <v>23</v>
      </c>
      <c r="N129" s="4814">
        <f>SUM(N123:N128)</f>
        <v>16</v>
      </c>
      <c r="O129" s="4841" t="str">
        <f t="shared" si="41"/>
        <v>Louches/Mx</v>
      </c>
      <c r="P129" s="2883"/>
      <c r="Q129" s="2882"/>
      <c r="R129" s="2882"/>
      <c r="S129" s="2882"/>
      <c r="T129" s="2882"/>
      <c r="U129" s="2882"/>
      <c r="V129" s="2882"/>
    </row>
    <row r="130" spans="1:22">
      <c r="B130" s="4743"/>
      <c r="C130" s="4745"/>
      <c r="D130" s="3009"/>
      <c r="E130" s="3009"/>
      <c r="F130" s="3009"/>
      <c r="G130" s="4812"/>
      <c r="H130" s="4753"/>
      <c r="I130" s="4754"/>
      <c r="J130" s="4830"/>
      <c r="K130" s="3009"/>
      <c r="L130" s="4812"/>
      <c r="M130" s="4753"/>
      <c r="N130" s="4754"/>
      <c r="O130" s="4842"/>
      <c r="P130" s="2883"/>
      <c r="Q130" s="2882"/>
      <c r="R130" s="2882"/>
      <c r="S130" s="2882"/>
      <c r="T130" s="2882"/>
      <c r="U130" s="2882"/>
      <c r="V130" s="2882"/>
    </row>
    <row r="131" spans="1:22">
      <c r="B131" s="3008"/>
      <c r="C131" s="3007"/>
      <c r="D131" s="3005"/>
      <c r="E131" s="3005"/>
      <c r="F131" s="3005"/>
      <c r="G131" s="3004"/>
      <c r="H131" s="3003"/>
      <c r="I131" s="3002"/>
      <c r="J131" s="3006"/>
      <c r="K131" s="3005"/>
      <c r="L131" s="3004"/>
      <c r="M131" s="3003"/>
      <c r="N131" s="3002"/>
      <c r="O131" s="3001"/>
      <c r="P131" s="2883"/>
      <c r="Q131" s="2882"/>
      <c r="R131" s="2882"/>
      <c r="S131" s="2882"/>
      <c r="T131" s="2882"/>
      <c r="U131" s="2882"/>
      <c r="V131" s="2882"/>
    </row>
    <row r="132" spans="1:22">
      <c r="B132" s="2999" t="s">
        <v>6551</v>
      </c>
      <c r="C132" s="2997"/>
      <c r="D132" s="2996"/>
      <c r="E132" s="2997"/>
      <c r="F132" s="3000" t="s">
        <v>6550</v>
      </c>
      <c r="G132" s="2996"/>
      <c r="H132" s="2998"/>
      <c r="I132" s="2996"/>
      <c r="J132" s="2996"/>
      <c r="K132" s="2996"/>
      <c r="L132" s="2996"/>
      <c r="M132" s="2997" t="s">
        <v>136</v>
      </c>
      <c r="N132" s="2996"/>
      <c r="O132" s="2995"/>
      <c r="P132" s="2883"/>
      <c r="Q132" s="2882"/>
      <c r="R132" s="2882"/>
      <c r="S132" s="2882"/>
      <c r="T132" s="2882"/>
      <c r="U132" s="2882"/>
      <c r="V132" s="2882"/>
    </row>
    <row r="133" spans="1:22">
      <c r="B133" s="2999" t="s">
        <v>6549</v>
      </c>
      <c r="C133" s="2997"/>
      <c r="D133" s="2996"/>
      <c r="E133" s="2996"/>
      <c r="F133" s="2997" t="s">
        <v>502</v>
      </c>
      <c r="G133" s="2996"/>
      <c r="H133" s="2998"/>
      <c r="I133" s="2996"/>
      <c r="J133" s="2996"/>
      <c r="K133" s="2996"/>
      <c r="L133" s="2997" t="s">
        <v>501</v>
      </c>
      <c r="M133" s="2996"/>
      <c r="N133" s="2996"/>
      <c r="O133" s="2995"/>
      <c r="P133" s="2883"/>
      <c r="Q133" s="2882"/>
      <c r="R133" s="2882"/>
      <c r="S133" s="2882"/>
      <c r="T133" s="2882"/>
      <c r="U133" s="2882"/>
      <c r="V133" s="2882"/>
    </row>
    <row r="134" spans="1:22" ht="15.75">
      <c r="B134" s="4843" t="s">
        <v>6548</v>
      </c>
      <c r="C134" s="4844"/>
      <c r="D134" s="4844"/>
      <c r="E134" s="4844"/>
      <c r="F134" s="4844"/>
      <c r="G134" s="4844"/>
      <c r="H134" s="4844"/>
      <c r="I134" s="4844"/>
      <c r="J134" s="4844"/>
      <c r="K134" s="4844"/>
      <c r="L134" s="4844"/>
      <c r="M134" s="4844"/>
      <c r="N134" s="4844"/>
      <c r="O134" s="4845"/>
      <c r="P134" s="2883"/>
      <c r="Q134" s="2882"/>
      <c r="R134" s="2882"/>
      <c r="S134" s="2882"/>
      <c r="T134" s="2882"/>
      <c r="U134" s="2882"/>
      <c r="V134" s="2882"/>
    </row>
    <row r="135" spans="1:22" ht="15.75" thickBot="1">
      <c r="B135" s="2994" t="str">
        <f t="shared" ref="B135:O135" si="42">SUBSTITUTE(ADDRESS(1,COLUMN(),4),"1","")</f>
        <v>B</v>
      </c>
      <c r="C135" s="2992" t="str">
        <f t="shared" si="42"/>
        <v>C</v>
      </c>
      <c r="D135" s="2992" t="str">
        <f t="shared" si="42"/>
        <v>D</v>
      </c>
      <c r="E135" s="2992" t="str">
        <f t="shared" si="42"/>
        <v>E</v>
      </c>
      <c r="F135" s="2992" t="str">
        <f t="shared" si="42"/>
        <v>F</v>
      </c>
      <c r="G135" s="2992" t="str">
        <f t="shared" si="42"/>
        <v>G</v>
      </c>
      <c r="H135" s="2992" t="str">
        <f t="shared" si="42"/>
        <v>H</v>
      </c>
      <c r="I135" s="2992" t="str">
        <f t="shared" si="42"/>
        <v>I</v>
      </c>
      <c r="J135" s="2992" t="str">
        <f t="shared" si="42"/>
        <v>J</v>
      </c>
      <c r="K135" s="2993" t="str">
        <f t="shared" si="42"/>
        <v>K</v>
      </c>
      <c r="L135" s="2993" t="str">
        <f t="shared" si="42"/>
        <v>L</v>
      </c>
      <c r="M135" s="2992" t="str">
        <f t="shared" si="42"/>
        <v>M</v>
      </c>
      <c r="N135" s="2992" t="str">
        <f t="shared" si="42"/>
        <v>N</v>
      </c>
      <c r="O135" s="2991" t="str">
        <f t="shared" si="42"/>
        <v>O</v>
      </c>
      <c r="P135" s="2883"/>
      <c r="Q135" s="2882"/>
      <c r="R135" s="2966" t="s">
        <v>6541</v>
      </c>
      <c r="S135" s="2882"/>
      <c r="T135" s="2882"/>
      <c r="U135" s="2882"/>
      <c r="V135" s="2882"/>
    </row>
    <row r="136" spans="1:22" ht="15.75">
      <c r="B136" s="4846" t="s">
        <v>6547</v>
      </c>
      <c r="C136" s="4847"/>
      <c r="D136" s="4847"/>
      <c r="E136" s="4847"/>
      <c r="F136" s="4847"/>
      <c r="G136" s="4847"/>
      <c r="H136" s="4847"/>
      <c r="I136" s="4847"/>
      <c r="J136" s="4847"/>
      <c r="K136" s="4847"/>
      <c r="L136" s="4847"/>
      <c r="M136" s="4847"/>
      <c r="N136" s="4847"/>
      <c r="O136" s="2990"/>
      <c r="P136" s="2883"/>
      <c r="Q136" s="2882"/>
      <c r="R136" s="2882"/>
      <c r="S136" s="2882"/>
      <c r="T136" s="2882"/>
      <c r="U136" s="2882"/>
      <c r="V136" s="2882"/>
    </row>
    <row r="137" spans="1:22">
      <c r="B137" s="2989" t="s">
        <v>777</v>
      </c>
      <c r="C137" s="2987" t="str">
        <f ca="1">CELL("nomfichier")</f>
        <v>E:\0-UPRT\1-UPRT.FR-SITE-WEB\ff-fiches-fabrications\ff-fiches-fabrication-maj-08-2020\[ff-2-A-collectivite.poids.portion.xlsx]Nota</v>
      </c>
      <c r="D137" s="2987"/>
      <c r="E137" s="2987"/>
      <c r="F137" s="2987"/>
      <c r="G137" s="2987"/>
      <c r="H137" s="2987"/>
      <c r="I137" s="2987"/>
      <c r="J137" s="2987"/>
      <c r="K137" s="2987"/>
      <c r="L137" s="2987"/>
      <c r="M137" s="2987"/>
      <c r="N137" s="2987"/>
      <c r="O137" s="2986"/>
      <c r="P137" s="2883"/>
      <c r="Q137" s="2882"/>
      <c r="R137" s="2882"/>
      <c r="S137" s="2882"/>
      <c r="T137" s="2882"/>
      <c r="U137" s="2882"/>
      <c r="V137" s="2882"/>
    </row>
    <row r="138" spans="1:22">
      <c r="B138" s="2988" t="s">
        <v>901</v>
      </c>
      <c r="C138" s="2987" t="s">
        <v>6546</v>
      </c>
      <c r="D138" s="2987"/>
      <c r="E138" s="2987"/>
      <c r="F138" s="2987"/>
      <c r="G138" s="2987"/>
      <c r="H138" s="2987"/>
      <c r="I138" s="2987"/>
      <c r="J138" s="2987"/>
      <c r="K138" s="2987"/>
      <c r="L138" s="2987"/>
      <c r="M138" s="2987"/>
      <c r="N138" s="2987"/>
      <c r="O138" s="2986"/>
      <c r="P138" s="2883"/>
      <c r="Q138" s="2882"/>
      <c r="R138" s="2882"/>
      <c r="S138" s="2882"/>
      <c r="T138" s="2882"/>
      <c r="U138" s="2882"/>
      <c r="V138" s="2882"/>
    </row>
    <row r="139" spans="1:22" ht="15.75" thickBot="1">
      <c r="B139" s="4848" t="s">
        <v>826</v>
      </c>
      <c r="C139" s="4849"/>
      <c r="D139" s="4849"/>
      <c r="E139" s="4849"/>
      <c r="F139" s="4849"/>
      <c r="G139" s="4849"/>
      <c r="H139" s="4849"/>
      <c r="I139" s="4849"/>
      <c r="J139" s="4849"/>
      <c r="K139" s="4849"/>
      <c r="L139" s="4849"/>
      <c r="M139" s="4849"/>
      <c r="N139" s="4849"/>
      <c r="O139" s="4850"/>
      <c r="P139" s="2883"/>
      <c r="Q139" s="2882"/>
      <c r="R139" s="2882"/>
      <c r="S139" s="2882"/>
      <c r="T139" s="2882"/>
      <c r="U139" s="2882"/>
      <c r="V139" s="2882"/>
    </row>
    <row r="140" spans="1:22">
      <c r="B140" s="2884"/>
      <c r="C140" s="2884"/>
      <c r="D140" s="2884"/>
      <c r="E140" s="2884"/>
      <c r="F140" s="2884"/>
      <c r="G140" s="2884"/>
      <c r="H140" s="2884"/>
      <c r="I140" s="2884"/>
      <c r="J140" s="2884"/>
      <c r="K140" s="2884"/>
      <c r="L140" s="2884"/>
      <c r="M140" s="2883"/>
      <c r="N140" s="2883"/>
      <c r="O140" s="2883"/>
      <c r="P140" s="2883"/>
      <c r="Q140" s="2882"/>
      <c r="R140" s="2882"/>
      <c r="S140" s="2882"/>
      <c r="T140" s="2882"/>
      <c r="U140" s="2882"/>
      <c r="V140" s="2882"/>
    </row>
    <row r="141" spans="1:22">
      <c r="A141" s="2884"/>
      <c r="B141" s="2985"/>
      <c r="C141" s="2884"/>
      <c r="D141" s="2884"/>
      <c r="E141" s="2884"/>
      <c r="F141" s="2884"/>
      <c r="G141" s="2884"/>
      <c r="H141" s="2884"/>
      <c r="I141" s="2884"/>
      <c r="J141" s="2884"/>
      <c r="K141" s="2884"/>
      <c r="L141" s="2884"/>
      <c r="M141" s="2883"/>
      <c r="N141" s="2883"/>
      <c r="O141" s="2883"/>
      <c r="P141" s="2883"/>
      <c r="Q141" s="2882"/>
      <c r="R141" s="2882"/>
      <c r="S141" s="2882"/>
      <c r="T141" s="2882"/>
      <c r="U141" s="2882"/>
      <c r="V141" s="2882"/>
    </row>
    <row r="142" spans="1:22" ht="26.25">
      <c r="A142" s="2884"/>
      <c r="B142" s="2984" t="s">
        <v>832</v>
      </c>
      <c r="C142" s="2983">
        <f ca="1">NOW()</f>
        <v>44608.74733564815</v>
      </c>
      <c r="D142" s="4851" t="s">
        <v>6545</v>
      </c>
      <c r="E142" s="4852"/>
      <c r="F142" s="4852"/>
      <c r="G142" s="4852"/>
      <c r="H142" s="4852"/>
      <c r="I142" s="4852"/>
      <c r="J142" s="2982" t="s">
        <v>6544</v>
      </c>
      <c r="K142" s="2981" t="s">
        <v>0</v>
      </c>
      <c r="L142" s="2980">
        <v>1</v>
      </c>
      <c r="M142" s="2883"/>
      <c r="N142" s="2979" t="s">
        <v>6536</v>
      </c>
      <c r="O142" s="2883"/>
      <c r="P142" s="2883"/>
      <c r="Q142" s="2882"/>
      <c r="R142" s="2882"/>
      <c r="S142" s="2882"/>
      <c r="T142" s="2882"/>
      <c r="U142" s="2882"/>
      <c r="V142" s="2882"/>
    </row>
    <row r="143" spans="1:22">
      <c r="A143" s="2884"/>
      <c r="B143" s="2978"/>
      <c r="C143" s="2978"/>
      <c r="D143" s="2978"/>
      <c r="E143" s="2978"/>
      <c r="F143" s="2978"/>
      <c r="G143" s="2978"/>
      <c r="H143" s="2978"/>
      <c r="I143" s="2884"/>
      <c r="J143" s="2978"/>
      <c r="K143" s="2978"/>
      <c r="L143" s="2978"/>
      <c r="M143" s="2883"/>
      <c r="N143" s="2977" t="s">
        <v>6543</v>
      </c>
      <c r="O143" s="2882"/>
      <c r="P143" s="2882"/>
      <c r="Q143" s="2882"/>
      <c r="R143" s="2882"/>
      <c r="S143" s="2882"/>
      <c r="T143" s="2882"/>
      <c r="U143" s="2882"/>
      <c r="V143" s="2882"/>
    </row>
    <row r="144" spans="1:22">
      <c r="A144" s="2884"/>
      <c r="B144" s="4853" t="s">
        <v>6542</v>
      </c>
      <c r="C144" s="4854"/>
      <c r="D144" s="4854"/>
      <c r="E144" s="4854"/>
      <c r="F144" s="4854"/>
      <c r="G144" s="4854"/>
      <c r="H144" s="4854"/>
      <c r="I144" s="4854"/>
      <c r="J144" s="4854"/>
      <c r="K144" s="4854"/>
      <c r="L144" s="4854"/>
      <c r="M144" s="2883"/>
      <c r="N144" s="2883"/>
      <c r="O144" s="2882"/>
      <c r="P144" s="2882"/>
      <c r="Q144" s="2882"/>
      <c r="R144" s="2882"/>
      <c r="S144" s="2882"/>
      <c r="T144" s="2882"/>
      <c r="U144" s="2882"/>
      <c r="V144" s="2882"/>
    </row>
    <row r="145" spans="1:22">
      <c r="A145" s="2884"/>
      <c r="B145" s="4853"/>
      <c r="C145" s="4854"/>
      <c r="D145" s="4854"/>
      <c r="E145" s="4854"/>
      <c r="F145" s="4854"/>
      <c r="G145" s="4854"/>
      <c r="H145" s="4854"/>
      <c r="I145" s="4854"/>
      <c r="J145" s="4854"/>
      <c r="K145" s="4854"/>
      <c r="L145" s="4854"/>
      <c r="M145" s="2883"/>
      <c r="N145" s="2883" t="s">
        <v>6541</v>
      </c>
      <c r="O145" s="2882"/>
      <c r="P145" s="2882"/>
      <c r="Q145" s="2882"/>
      <c r="R145" s="2882"/>
      <c r="S145" s="2882"/>
      <c r="T145" s="2882"/>
      <c r="U145" s="2882"/>
      <c r="V145" s="2882"/>
    </row>
    <row r="146" spans="1:22" ht="15.75" thickBot="1">
      <c r="A146" s="2884"/>
      <c r="B146" s="4853"/>
      <c r="C146" s="4854"/>
      <c r="D146" s="4854"/>
      <c r="E146" s="4854"/>
      <c r="F146" s="4854"/>
      <c r="G146" s="4854"/>
      <c r="H146" s="4854"/>
      <c r="I146" s="4854"/>
      <c r="J146" s="4854"/>
      <c r="K146" s="4854"/>
      <c r="L146" s="4854"/>
      <c r="M146" s="2883"/>
      <c r="N146" s="2883"/>
      <c r="O146" s="2882"/>
      <c r="P146" s="2882"/>
      <c r="Q146" s="2882"/>
      <c r="R146" s="2882"/>
      <c r="S146" s="2882"/>
      <c r="T146" s="2882"/>
      <c r="U146" s="2882"/>
      <c r="V146" s="2882"/>
    </row>
    <row r="147" spans="1:22">
      <c r="A147" s="2884"/>
      <c r="B147" s="2976" t="str">
        <f t="shared" ref="B147:L147" si="43">SUBSTITUTE(ADDRESS(1,COLUMN(),4),"1","")</f>
        <v>B</v>
      </c>
      <c r="C147" s="2971" t="str">
        <f t="shared" si="43"/>
        <v>C</v>
      </c>
      <c r="D147" s="2971" t="str">
        <f t="shared" si="43"/>
        <v>D</v>
      </c>
      <c r="E147" s="2971" t="str">
        <f t="shared" si="43"/>
        <v>E</v>
      </c>
      <c r="F147" s="2971" t="str">
        <f t="shared" si="43"/>
        <v>F</v>
      </c>
      <c r="G147" s="2971" t="str">
        <f t="shared" si="43"/>
        <v>G</v>
      </c>
      <c r="H147" s="2971" t="str">
        <f t="shared" si="43"/>
        <v>H</v>
      </c>
      <c r="I147" s="2971" t="str">
        <f t="shared" si="43"/>
        <v>I</v>
      </c>
      <c r="J147" s="2971" t="str">
        <f t="shared" si="43"/>
        <v>J</v>
      </c>
      <c r="K147" s="2971" t="str">
        <f t="shared" si="43"/>
        <v>K</v>
      </c>
      <c r="L147" s="2975" t="str">
        <f t="shared" si="43"/>
        <v>L</v>
      </c>
      <c r="M147" s="2974"/>
      <c r="N147" s="2973"/>
      <c r="O147" s="2972"/>
      <c r="P147" s="2971" t="str">
        <f t="shared" ref="P147:V147" si="44">SUBSTITUTE(ADDRESS(1,COLUMN(),4),"1","")</f>
        <v>P</v>
      </c>
      <c r="Q147" s="2971" t="str">
        <f t="shared" si="44"/>
        <v>Q</v>
      </c>
      <c r="R147" s="2971" t="str">
        <f t="shared" si="44"/>
        <v>R</v>
      </c>
      <c r="S147" s="2971" t="str">
        <f t="shared" si="44"/>
        <v>S</v>
      </c>
      <c r="T147" s="2971" t="str">
        <f t="shared" si="44"/>
        <v>T</v>
      </c>
      <c r="U147" s="2971" t="str">
        <f t="shared" si="44"/>
        <v>U</v>
      </c>
      <c r="V147" s="2971" t="str">
        <f t="shared" si="44"/>
        <v>V</v>
      </c>
    </row>
    <row r="148" spans="1:22">
      <c r="B148" s="2970" t="str">
        <f ca="1">CELL("nomfichier")</f>
        <v>E:\0-UPRT\1-UPRT.FR-SITE-WEB\ff-fiches-fabrications\ff-fiches-fabrication-maj-08-2020\[ff-2-A-collectivite.poids.portion.xlsx]Nota</v>
      </c>
      <c r="C148" s="2969"/>
      <c r="D148" s="2969"/>
      <c r="E148" s="2968"/>
      <c r="F148" s="2968"/>
      <c r="G148" s="2968"/>
      <c r="H148" s="2968"/>
      <c r="I148" s="2968"/>
      <c r="J148" s="2968"/>
      <c r="K148" s="2968"/>
      <c r="L148" s="2967"/>
      <c r="M148" s="2882"/>
      <c r="N148" s="2966"/>
      <c r="O148" s="2882"/>
      <c r="P148" s="4855" t="s">
        <v>6539</v>
      </c>
      <c r="Q148" s="4855" t="s">
        <v>6538</v>
      </c>
      <c r="R148" s="4855" t="s">
        <v>6537</v>
      </c>
      <c r="S148" s="4864" t="s">
        <v>136</v>
      </c>
      <c r="T148" s="4867" t="s">
        <v>502</v>
      </c>
      <c r="U148" s="4858" t="s">
        <v>501</v>
      </c>
      <c r="V148" s="4870" t="s">
        <v>6535</v>
      </c>
    </row>
    <row r="149" spans="1:22" ht="15" customHeight="1">
      <c r="A149" s="2884"/>
      <c r="B149" s="4873" t="s">
        <v>6540</v>
      </c>
      <c r="C149" s="4874"/>
      <c r="D149" s="4874"/>
      <c r="E149" s="4875"/>
      <c r="F149" s="4855" t="s">
        <v>6539</v>
      </c>
      <c r="G149" s="4855" t="s">
        <v>6538</v>
      </c>
      <c r="H149" s="4855" t="s">
        <v>6537</v>
      </c>
      <c r="I149" s="4864" t="s">
        <v>136</v>
      </c>
      <c r="J149" s="4867" t="s">
        <v>502</v>
      </c>
      <c r="K149" s="4858" t="s">
        <v>501</v>
      </c>
      <c r="L149" s="4861" t="s">
        <v>6536</v>
      </c>
      <c r="M149" s="2883"/>
      <c r="N149" s="2966"/>
      <c r="O149" s="2882"/>
      <c r="P149" s="4856"/>
      <c r="Q149" s="4856"/>
      <c r="R149" s="4856"/>
      <c r="S149" s="4865"/>
      <c r="T149" s="4868"/>
      <c r="U149" s="4859"/>
      <c r="V149" s="4871"/>
    </row>
    <row r="150" spans="1:22">
      <c r="A150" s="2884"/>
      <c r="B150" s="4876"/>
      <c r="C150" s="4877"/>
      <c r="D150" s="4877"/>
      <c r="E150" s="4878"/>
      <c r="F150" s="4856"/>
      <c r="G150" s="4856"/>
      <c r="H150" s="4856"/>
      <c r="I150" s="4865"/>
      <c r="J150" s="4868"/>
      <c r="K150" s="4859"/>
      <c r="L150" s="4862"/>
      <c r="M150" s="2883"/>
      <c r="N150" s="2912"/>
      <c r="O150" s="2882"/>
      <c r="P150" s="4856"/>
      <c r="Q150" s="4856"/>
      <c r="R150" s="4856"/>
      <c r="S150" s="4865"/>
      <c r="T150" s="4868"/>
      <c r="U150" s="4859"/>
      <c r="V150" s="4871"/>
    </row>
    <row r="151" spans="1:22">
      <c r="A151" s="2884"/>
      <c r="B151" s="4876"/>
      <c r="C151" s="4877"/>
      <c r="D151" s="4877"/>
      <c r="E151" s="4878"/>
      <c r="F151" s="4856"/>
      <c r="G151" s="4856"/>
      <c r="H151" s="4856"/>
      <c r="I151" s="4865"/>
      <c r="J151" s="4868"/>
      <c r="K151" s="4859"/>
      <c r="L151" s="4862"/>
      <c r="M151" s="2883"/>
      <c r="N151" s="2912"/>
      <c r="O151" s="2882"/>
      <c r="P151" s="4856"/>
      <c r="Q151" s="4856"/>
      <c r="R151" s="4856"/>
      <c r="S151" s="4865"/>
      <c r="T151" s="4868"/>
      <c r="U151" s="4859"/>
      <c r="V151" s="4871"/>
    </row>
    <row r="152" spans="1:22">
      <c r="A152" s="2884"/>
      <c r="B152" s="4876"/>
      <c r="C152" s="4877"/>
      <c r="D152" s="4877"/>
      <c r="E152" s="4878"/>
      <c r="F152" s="4856"/>
      <c r="G152" s="4856"/>
      <c r="H152" s="4856"/>
      <c r="I152" s="4865"/>
      <c r="J152" s="4868"/>
      <c r="K152" s="4859"/>
      <c r="L152" s="4862"/>
      <c r="M152" s="2883"/>
      <c r="N152" s="2912"/>
      <c r="O152" s="2882"/>
      <c r="P152" s="4856"/>
      <c r="Q152" s="4856"/>
      <c r="R152" s="4856"/>
      <c r="S152" s="4865"/>
      <c r="T152" s="4868"/>
      <c r="U152" s="4859"/>
      <c r="V152" s="4871"/>
    </row>
    <row r="153" spans="1:22">
      <c r="A153" s="2884"/>
      <c r="B153" s="4876"/>
      <c r="C153" s="4877"/>
      <c r="D153" s="4877"/>
      <c r="E153" s="4878"/>
      <c r="F153" s="4856"/>
      <c r="G153" s="4856"/>
      <c r="H153" s="4856"/>
      <c r="I153" s="4865"/>
      <c r="J153" s="4868"/>
      <c r="K153" s="4859"/>
      <c r="L153" s="4862"/>
      <c r="M153" s="2883"/>
      <c r="N153" s="2912"/>
      <c r="O153" s="2882"/>
      <c r="P153" s="4856"/>
      <c r="Q153" s="4856"/>
      <c r="R153" s="4856"/>
      <c r="S153" s="4865"/>
      <c r="T153" s="4868"/>
      <c r="U153" s="4859"/>
      <c r="V153" s="4871"/>
    </row>
    <row r="154" spans="1:22">
      <c r="A154" s="2884"/>
      <c r="B154" s="4876"/>
      <c r="C154" s="4877"/>
      <c r="D154" s="4877"/>
      <c r="E154" s="4878"/>
      <c r="F154" s="4856"/>
      <c r="G154" s="4856"/>
      <c r="H154" s="4856"/>
      <c r="I154" s="4865"/>
      <c r="J154" s="4868"/>
      <c r="K154" s="4859"/>
      <c r="L154" s="4862"/>
      <c r="M154" s="2883"/>
      <c r="N154" s="2912"/>
      <c r="O154" s="2882"/>
      <c r="P154" s="4857"/>
      <c r="Q154" s="4857"/>
      <c r="R154" s="4857"/>
      <c r="S154" s="4866"/>
      <c r="T154" s="4869"/>
      <c r="U154" s="4860"/>
      <c r="V154" s="4872"/>
    </row>
    <row r="155" spans="1:22">
      <c r="A155" s="2884"/>
      <c r="B155" s="4879"/>
      <c r="C155" s="4880"/>
      <c r="D155" s="4880"/>
      <c r="E155" s="4881"/>
      <c r="F155" s="4857"/>
      <c r="G155" s="4857"/>
      <c r="H155" s="4857"/>
      <c r="I155" s="4866"/>
      <c r="J155" s="4869"/>
      <c r="K155" s="4860"/>
      <c r="L155" s="4863"/>
      <c r="M155" s="2965"/>
      <c r="N155" s="2964"/>
      <c r="O155" s="2964"/>
      <c r="P155" s="2959" t="s">
        <v>128</v>
      </c>
      <c r="Q155" s="2959" t="s">
        <v>129</v>
      </c>
      <c r="R155" s="2960" t="s">
        <v>28</v>
      </c>
      <c r="S155" s="2960" t="s">
        <v>136</v>
      </c>
      <c r="T155" s="2959" t="s">
        <v>56</v>
      </c>
      <c r="U155" s="2959" t="s">
        <v>57</v>
      </c>
      <c r="V155" s="2963" t="s">
        <v>6535</v>
      </c>
    </row>
    <row r="156" spans="1:22" ht="15.75">
      <c r="A156" s="2884"/>
      <c r="B156" s="2962" t="s">
        <v>6534</v>
      </c>
      <c r="C156" s="2961"/>
      <c r="D156" s="2961"/>
      <c r="E156" s="2961"/>
      <c r="F156" s="2959" t="s">
        <v>53</v>
      </c>
      <c r="G156" s="2959" t="s">
        <v>54</v>
      </c>
      <c r="H156" s="2960" t="s">
        <v>2</v>
      </c>
      <c r="I156" s="2960" t="s">
        <v>55</v>
      </c>
      <c r="J156" s="2959" t="s">
        <v>56</v>
      </c>
      <c r="K156" s="2959" t="s">
        <v>57</v>
      </c>
      <c r="L156" s="2958" t="s">
        <v>6533</v>
      </c>
      <c r="M156" s="2883"/>
      <c r="N156" s="2957"/>
      <c r="O156" s="2956" t="s">
        <v>6532</v>
      </c>
      <c r="P156" s="2955">
        <v>253</v>
      </c>
      <c r="Q156" s="2955">
        <v>829</v>
      </c>
      <c r="R156" s="2955">
        <v>48</v>
      </c>
      <c r="S156" s="2955">
        <v>13</v>
      </c>
      <c r="T156" s="2955">
        <v>29</v>
      </c>
      <c r="U156" s="2955">
        <v>17</v>
      </c>
      <c r="V156" s="2954">
        <f>SUM(P156:U156)</f>
        <v>1189</v>
      </c>
    </row>
    <row r="157" spans="1:22">
      <c r="A157" s="2884"/>
      <c r="B157" s="2911"/>
      <c r="C157" s="2953"/>
      <c r="D157" s="2953"/>
      <c r="E157" s="2952" t="s">
        <v>6531</v>
      </c>
      <c r="F157" s="2905">
        <v>0.04</v>
      </c>
      <c r="G157" s="2905">
        <v>0.05</v>
      </c>
      <c r="H157" s="2908">
        <v>0.08</v>
      </c>
      <c r="I157" s="2907">
        <f>(H157*L157%)+H157</f>
        <v>8.7999999999999995E-2</v>
      </c>
      <c r="J157" s="2906">
        <v>0.05</v>
      </c>
      <c r="K157" s="2905">
        <v>0.05</v>
      </c>
      <c r="L157" s="2904">
        <v>10</v>
      </c>
      <c r="M157" s="2883"/>
      <c r="N157" s="2882"/>
      <c r="O157" s="2903" t="str">
        <f>E157</f>
        <v>PAIN</v>
      </c>
      <c r="P157" s="2900">
        <f t="shared" ref="P157:U157" si="45">F157*P156</f>
        <v>10.120000000000001</v>
      </c>
      <c r="Q157" s="2900">
        <f t="shared" si="45"/>
        <v>41.45</v>
      </c>
      <c r="R157" s="2902">
        <f t="shared" si="45"/>
        <v>3.84</v>
      </c>
      <c r="S157" s="2901">
        <f t="shared" si="45"/>
        <v>1.1439999999999999</v>
      </c>
      <c r="T157" s="2901">
        <f t="shared" si="45"/>
        <v>1.4500000000000002</v>
      </c>
      <c r="U157" s="2900">
        <f t="shared" si="45"/>
        <v>0.85000000000000009</v>
      </c>
      <c r="V157" s="2951">
        <f>SUM(P157:U157)</f>
        <v>58.854000000000013</v>
      </c>
    </row>
    <row r="158" spans="1:22" ht="15" customHeight="1">
      <c r="A158" s="2884"/>
      <c r="B158" s="2913"/>
      <c r="C158" s="4831" t="s">
        <v>6530</v>
      </c>
      <c r="D158" s="4831"/>
      <c r="E158" s="4831"/>
      <c r="F158" s="4831"/>
      <c r="G158" s="4831"/>
      <c r="H158" s="4831"/>
      <c r="I158" s="4831"/>
      <c r="J158" s="4831"/>
      <c r="K158" s="4831"/>
      <c r="L158" s="4832"/>
      <c r="M158" s="2912"/>
      <c r="N158" s="2912"/>
      <c r="O158" s="2882"/>
      <c r="P158" s="4835" t="str">
        <f>C158</f>
        <v>*- CRUDITÉS sans assaisonnement</v>
      </c>
      <c r="Q158" s="4836"/>
      <c r="R158" s="4836"/>
      <c r="S158" s="4836"/>
      <c r="T158" s="4836"/>
      <c r="U158" s="4836"/>
      <c r="V158" s="4837"/>
    </row>
    <row r="159" spans="1:22" ht="15" customHeight="1">
      <c r="A159" s="2884"/>
      <c r="B159" s="2913"/>
      <c r="C159" s="4833"/>
      <c r="D159" s="4833"/>
      <c r="E159" s="4833"/>
      <c r="F159" s="4833"/>
      <c r="G159" s="4833"/>
      <c r="H159" s="4833"/>
      <c r="I159" s="4833"/>
      <c r="J159" s="4833"/>
      <c r="K159" s="4833"/>
      <c r="L159" s="4834"/>
      <c r="M159" s="2912"/>
      <c r="N159" s="2912"/>
      <c r="O159" s="2882"/>
      <c r="P159" s="4838"/>
      <c r="Q159" s="4839"/>
      <c r="R159" s="4839"/>
      <c r="S159" s="4839"/>
      <c r="T159" s="4839"/>
      <c r="U159" s="4839"/>
      <c r="V159" s="4840"/>
    </row>
    <row r="160" spans="1:22" ht="17.25">
      <c r="A160" s="2884"/>
      <c r="B160" s="2911"/>
      <c r="C160" s="2949" t="s">
        <v>6529</v>
      </c>
      <c r="D160" s="2948"/>
      <c r="E160" s="2922"/>
      <c r="F160" s="2905">
        <v>0.25</v>
      </c>
      <c r="G160" s="2905">
        <v>0.5</v>
      </c>
      <c r="H160" s="2908">
        <v>0.5</v>
      </c>
      <c r="I160" s="2907">
        <f t="shared" ref="I160:I172" si="46">(H160*L160%)+H160</f>
        <v>0.55000000000000004</v>
      </c>
      <c r="J160" s="2906">
        <v>0.5</v>
      </c>
      <c r="K160" s="2905">
        <v>0.5</v>
      </c>
      <c r="L160" s="2904">
        <v>10</v>
      </c>
      <c r="M160" s="1106"/>
      <c r="N160" s="2945"/>
      <c r="O160" s="2920" t="str">
        <f t="shared" ref="O160:O172" si="47">C160</f>
        <v>Avocat (à l'unité)</v>
      </c>
      <c r="P160" s="2917">
        <f t="shared" ref="P160:U160" si="48">F160*P156</f>
        <v>63.25</v>
      </c>
      <c r="Q160" s="2917">
        <f t="shared" si="48"/>
        <v>414.5</v>
      </c>
      <c r="R160" s="2919">
        <f t="shared" si="48"/>
        <v>24</v>
      </c>
      <c r="S160" s="2918">
        <f t="shared" si="48"/>
        <v>7.15</v>
      </c>
      <c r="T160" s="2918">
        <f t="shared" si="48"/>
        <v>14.5</v>
      </c>
      <c r="U160" s="2917">
        <f t="shared" si="48"/>
        <v>8.5</v>
      </c>
      <c r="V160" s="2885">
        <f t="shared" ref="V160:V172" si="49">SUM(P160:U160)</f>
        <v>531.9</v>
      </c>
    </row>
    <row r="161" spans="1:22" ht="15.75">
      <c r="A161" s="2884"/>
      <c r="B161" s="2950"/>
      <c r="C161" s="2949" t="s">
        <v>6528</v>
      </c>
      <c r="D161" s="2948"/>
      <c r="E161" s="2922"/>
      <c r="F161" s="2905">
        <v>0.05</v>
      </c>
      <c r="G161" s="2905">
        <v>7.0000000000000007E-2</v>
      </c>
      <c r="H161" s="2908">
        <v>0.1</v>
      </c>
      <c r="I161" s="2907">
        <f t="shared" si="46"/>
        <v>0.11000000000000001</v>
      </c>
      <c r="J161" s="2906">
        <v>7.0000000000000007E-2</v>
      </c>
      <c r="K161" s="2905">
        <v>7.0000000000000007E-2</v>
      </c>
      <c r="L161" s="2904">
        <v>10</v>
      </c>
      <c r="M161" s="1106"/>
      <c r="N161" s="2945"/>
      <c r="O161" s="2903" t="str">
        <f t="shared" si="47"/>
        <v>Carottes, céleri et autres racines râpées</v>
      </c>
      <c r="P161" s="2900">
        <f t="shared" ref="P161:U161" si="50">F161*P156</f>
        <v>12.65</v>
      </c>
      <c r="Q161" s="2900">
        <f t="shared" si="50"/>
        <v>58.030000000000008</v>
      </c>
      <c r="R161" s="2902">
        <f t="shared" si="50"/>
        <v>4.8000000000000007</v>
      </c>
      <c r="S161" s="2901">
        <f t="shared" si="50"/>
        <v>1.4300000000000002</v>
      </c>
      <c r="T161" s="2901">
        <f t="shared" si="50"/>
        <v>2.0300000000000002</v>
      </c>
      <c r="U161" s="2900">
        <f t="shared" si="50"/>
        <v>1.1900000000000002</v>
      </c>
      <c r="V161" s="2885">
        <f t="shared" si="49"/>
        <v>80.13000000000001</v>
      </c>
    </row>
    <row r="162" spans="1:22" ht="15.75" customHeight="1">
      <c r="A162" s="2884"/>
      <c r="B162" s="2911"/>
      <c r="C162" s="2949" t="s">
        <v>6527</v>
      </c>
      <c r="D162" s="2948"/>
      <c r="E162" s="2922"/>
      <c r="F162" s="2905">
        <v>0.04</v>
      </c>
      <c r="G162" s="2905">
        <v>0.06</v>
      </c>
      <c r="H162" s="2908">
        <v>0.1</v>
      </c>
      <c r="I162" s="2907">
        <f t="shared" si="46"/>
        <v>0.11000000000000001</v>
      </c>
      <c r="J162" s="2906">
        <v>0.08</v>
      </c>
      <c r="K162" s="2905">
        <v>0.08</v>
      </c>
      <c r="L162" s="2904">
        <v>10</v>
      </c>
      <c r="M162" s="1106"/>
      <c r="N162" s="2945"/>
      <c r="O162" s="2903" t="str">
        <f t="shared" si="47"/>
        <v>Choux rouge et choux blanc émincé</v>
      </c>
      <c r="P162" s="2900">
        <f t="shared" ref="P162:U162" si="51">F162*P156</f>
        <v>10.120000000000001</v>
      </c>
      <c r="Q162" s="2900">
        <f t="shared" si="51"/>
        <v>49.739999999999995</v>
      </c>
      <c r="R162" s="2902">
        <f t="shared" si="51"/>
        <v>4.8000000000000007</v>
      </c>
      <c r="S162" s="2901">
        <f t="shared" si="51"/>
        <v>1.4300000000000002</v>
      </c>
      <c r="T162" s="2901">
        <f t="shared" si="51"/>
        <v>2.3199999999999998</v>
      </c>
      <c r="U162" s="2900">
        <f t="shared" si="51"/>
        <v>1.36</v>
      </c>
      <c r="V162" s="2885">
        <f t="shared" si="49"/>
        <v>69.77</v>
      </c>
    </row>
    <row r="163" spans="1:22" ht="15.75">
      <c r="A163" s="2884"/>
      <c r="B163" s="2911"/>
      <c r="C163" s="2949" t="s">
        <v>1180</v>
      </c>
      <c r="D163" s="2948"/>
      <c r="E163" s="2922"/>
      <c r="F163" s="2905">
        <v>0.06</v>
      </c>
      <c r="G163" s="2905">
        <v>0.08</v>
      </c>
      <c r="H163" s="2908">
        <v>0.1</v>
      </c>
      <c r="I163" s="2907">
        <f t="shared" si="46"/>
        <v>0.11000000000000001</v>
      </c>
      <c r="J163" s="2906">
        <v>0.09</v>
      </c>
      <c r="K163" s="2905">
        <v>0.09</v>
      </c>
      <c r="L163" s="2904">
        <v>10</v>
      </c>
      <c r="M163" s="1106"/>
      <c r="N163" s="2945"/>
      <c r="O163" s="2903" t="str">
        <f t="shared" si="47"/>
        <v>Concombre</v>
      </c>
      <c r="P163" s="2900">
        <f t="shared" ref="P163:U163" si="52">F163*P156</f>
        <v>15.18</v>
      </c>
      <c r="Q163" s="2900">
        <f t="shared" si="52"/>
        <v>66.320000000000007</v>
      </c>
      <c r="R163" s="2902">
        <f t="shared" si="52"/>
        <v>4.8000000000000007</v>
      </c>
      <c r="S163" s="2901">
        <f t="shared" si="52"/>
        <v>1.4300000000000002</v>
      </c>
      <c r="T163" s="2901">
        <f t="shared" si="52"/>
        <v>2.61</v>
      </c>
      <c r="U163" s="2900">
        <f t="shared" si="52"/>
        <v>1.53</v>
      </c>
      <c r="V163" s="2885">
        <f t="shared" si="49"/>
        <v>91.87</v>
      </c>
    </row>
    <row r="164" spans="1:22" ht="15.75">
      <c r="A164" s="2884"/>
      <c r="B164" s="2911"/>
      <c r="C164" s="2949" t="s">
        <v>6526</v>
      </c>
      <c r="D164" s="2948"/>
      <c r="E164" s="2922"/>
      <c r="F164" s="2905">
        <v>0.02</v>
      </c>
      <c r="G164" s="2905">
        <v>0.03</v>
      </c>
      <c r="H164" s="2908">
        <v>0.1</v>
      </c>
      <c r="I164" s="2907">
        <f t="shared" si="46"/>
        <v>0.11000000000000001</v>
      </c>
      <c r="J164" s="2906">
        <v>0.08</v>
      </c>
      <c r="K164" s="2905">
        <v>0.08</v>
      </c>
      <c r="L164" s="2904">
        <v>10</v>
      </c>
      <c r="M164" s="1106"/>
      <c r="N164" s="2945"/>
      <c r="O164" s="2903" t="str">
        <f t="shared" si="47"/>
        <v>Endive</v>
      </c>
      <c r="P164" s="2900">
        <f t="shared" ref="P164:U164" si="53">F164*P156</f>
        <v>5.0600000000000005</v>
      </c>
      <c r="Q164" s="2900">
        <f t="shared" si="53"/>
        <v>24.869999999999997</v>
      </c>
      <c r="R164" s="2902">
        <f t="shared" si="53"/>
        <v>4.8000000000000007</v>
      </c>
      <c r="S164" s="2901">
        <f t="shared" si="53"/>
        <v>1.4300000000000002</v>
      </c>
      <c r="T164" s="2901">
        <f t="shared" si="53"/>
        <v>2.3199999999999998</v>
      </c>
      <c r="U164" s="2900">
        <f t="shared" si="53"/>
        <v>1.36</v>
      </c>
      <c r="V164" s="2885">
        <f t="shared" si="49"/>
        <v>39.840000000000003</v>
      </c>
    </row>
    <row r="165" spans="1:22" ht="15.75">
      <c r="A165" s="2884"/>
      <c r="B165" s="2911"/>
      <c r="C165" s="2949" t="s">
        <v>6525</v>
      </c>
      <c r="D165" s="2948"/>
      <c r="E165" s="2922"/>
      <c r="F165" s="2905">
        <v>0.12</v>
      </c>
      <c r="G165" s="2905">
        <v>0.15</v>
      </c>
      <c r="H165" s="2908">
        <v>0.18</v>
      </c>
      <c r="I165" s="2907">
        <f t="shared" si="46"/>
        <v>0.19799999999999998</v>
      </c>
      <c r="J165" s="2906">
        <v>0.15</v>
      </c>
      <c r="K165" s="2905">
        <v>0.15</v>
      </c>
      <c r="L165" s="2904">
        <v>10</v>
      </c>
      <c r="M165" s="1106"/>
      <c r="N165" s="2945"/>
      <c r="O165" s="2903" t="str">
        <f t="shared" si="47"/>
        <v>Melon, Pastèque</v>
      </c>
      <c r="P165" s="2900">
        <f t="shared" ref="P165:U165" si="54">F165*P156</f>
        <v>30.36</v>
      </c>
      <c r="Q165" s="2900">
        <f t="shared" si="54"/>
        <v>124.35</v>
      </c>
      <c r="R165" s="2902">
        <f t="shared" si="54"/>
        <v>8.64</v>
      </c>
      <c r="S165" s="2901">
        <f t="shared" si="54"/>
        <v>2.5739999999999998</v>
      </c>
      <c r="T165" s="2901">
        <f t="shared" si="54"/>
        <v>4.3499999999999996</v>
      </c>
      <c r="U165" s="2900">
        <f t="shared" si="54"/>
        <v>2.5499999999999998</v>
      </c>
      <c r="V165" s="2885">
        <f t="shared" si="49"/>
        <v>172.82399999999998</v>
      </c>
    </row>
    <row r="166" spans="1:22" ht="17.25">
      <c r="A166" s="2884"/>
      <c r="B166" s="2911"/>
      <c r="C166" s="2949" t="s">
        <v>6524</v>
      </c>
      <c r="D166" s="2948"/>
      <c r="E166" s="2922"/>
      <c r="F166" s="2905">
        <v>0.5</v>
      </c>
      <c r="G166" s="2905">
        <v>0.5</v>
      </c>
      <c r="H166" s="2908">
        <v>0.5</v>
      </c>
      <c r="I166" s="2907">
        <f t="shared" si="46"/>
        <v>0.55000000000000004</v>
      </c>
      <c r="J166" s="2906">
        <v>0.5</v>
      </c>
      <c r="K166" s="2905">
        <v>0.5</v>
      </c>
      <c r="L166" s="2904">
        <v>10</v>
      </c>
      <c r="M166" s="1106"/>
      <c r="N166" s="2945"/>
      <c r="O166" s="2920" t="str">
        <f t="shared" si="47"/>
        <v>Pamplemousse (à l'unité)</v>
      </c>
      <c r="P166" s="2917">
        <f t="shared" ref="P166:U166" si="55">F166*P156</f>
        <v>126.5</v>
      </c>
      <c r="Q166" s="2917">
        <f t="shared" si="55"/>
        <v>414.5</v>
      </c>
      <c r="R166" s="2919">
        <f t="shared" si="55"/>
        <v>24</v>
      </c>
      <c r="S166" s="2918">
        <f t="shared" si="55"/>
        <v>7.15</v>
      </c>
      <c r="T166" s="2918">
        <f t="shared" si="55"/>
        <v>14.5</v>
      </c>
      <c r="U166" s="2917">
        <f t="shared" si="55"/>
        <v>8.5</v>
      </c>
      <c r="V166" s="2885">
        <f t="shared" si="49"/>
        <v>595.15</v>
      </c>
    </row>
    <row r="167" spans="1:22" ht="15.75">
      <c r="A167" s="2884"/>
      <c r="B167" s="2911"/>
      <c r="C167" s="2949" t="s">
        <v>6523</v>
      </c>
      <c r="D167" s="2948"/>
      <c r="E167" s="2922"/>
      <c r="F167" s="2905">
        <v>0.03</v>
      </c>
      <c r="G167" s="2905">
        <v>0.05</v>
      </c>
      <c r="H167" s="2908">
        <v>0.09</v>
      </c>
      <c r="I167" s="2907">
        <f t="shared" si="46"/>
        <v>9.8999999999999991E-2</v>
      </c>
      <c r="J167" s="2906">
        <v>0.06</v>
      </c>
      <c r="K167" s="2905">
        <v>0.06</v>
      </c>
      <c r="L167" s="2904">
        <v>10</v>
      </c>
      <c r="M167" s="1106"/>
      <c r="N167" s="2945"/>
      <c r="O167" s="2903" t="str">
        <f t="shared" si="47"/>
        <v>Radis</v>
      </c>
      <c r="P167" s="2900">
        <f t="shared" ref="P167:U167" si="56">F167*P156</f>
        <v>7.59</v>
      </c>
      <c r="Q167" s="2900">
        <f t="shared" si="56"/>
        <v>41.45</v>
      </c>
      <c r="R167" s="2902">
        <f t="shared" si="56"/>
        <v>4.32</v>
      </c>
      <c r="S167" s="2901">
        <f t="shared" si="56"/>
        <v>1.2869999999999999</v>
      </c>
      <c r="T167" s="2901">
        <f t="shared" si="56"/>
        <v>1.74</v>
      </c>
      <c r="U167" s="2900">
        <f t="shared" si="56"/>
        <v>1.02</v>
      </c>
      <c r="V167" s="2885">
        <f t="shared" si="49"/>
        <v>57.407000000000011</v>
      </c>
    </row>
    <row r="168" spans="1:22" ht="15.75">
      <c r="A168" s="2884"/>
      <c r="B168" s="2911"/>
      <c r="C168" s="2949" t="s">
        <v>6522</v>
      </c>
      <c r="D168" s="2948"/>
      <c r="E168" s="2922"/>
      <c r="F168" s="2905">
        <v>2.5000000000000001E-2</v>
      </c>
      <c r="G168" s="2905">
        <v>0.03</v>
      </c>
      <c r="H168" s="2908">
        <v>0.05</v>
      </c>
      <c r="I168" s="2907">
        <f t="shared" si="46"/>
        <v>5.5000000000000007E-2</v>
      </c>
      <c r="J168" s="2906">
        <v>0.03</v>
      </c>
      <c r="K168" s="2905">
        <v>0.03</v>
      </c>
      <c r="L168" s="2904">
        <v>10</v>
      </c>
      <c r="M168" s="1106"/>
      <c r="N168" s="2945"/>
      <c r="O168" s="2903" t="str">
        <f t="shared" si="47"/>
        <v>Salade verte</v>
      </c>
      <c r="P168" s="2900">
        <f t="shared" ref="P168:U168" si="57">F168*P156</f>
        <v>6.3250000000000002</v>
      </c>
      <c r="Q168" s="2900">
        <f t="shared" si="57"/>
        <v>24.869999999999997</v>
      </c>
      <c r="R168" s="2902">
        <f t="shared" si="57"/>
        <v>2.4000000000000004</v>
      </c>
      <c r="S168" s="2901">
        <f t="shared" si="57"/>
        <v>0.71500000000000008</v>
      </c>
      <c r="T168" s="2901">
        <f t="shared" si="57"/>
        <v>0.87</v>
      </c>
      <c r="U168" s="2900">
        <f t="shared" si="57"/>
        <v>0.51</v>
      </c>
      <c r="V168" s="2885">
        <f t="shared" si="49"/>
        <v>35.69</v>
      </c>
    </row>
    <row r="169" spans="1:22" ht="15.75">
      <c r="A169" s="2884"/>
      <c r="B169" s="2911"/>
      <c r="C169" s="2949" t="s">
        <v>6521</v>
      </c>
      <c r="D169" s="2948"/>
      <c r="E169" s="2922"/>
      <c r="F169" s="2905">
        <v>0.06</v>
      </c>
      <c r="G169" s="2905">
        <v>0.08</v>
      </c>
      <c r="H169" s="2908">
        <v>0.11</v>
      </c>
      <c r="I169" s="2907">
        <f t="shared" si="46"/>
        <v>0.121</v>
      </c>
      <c r="J169" s="2906">
        <v>0.08</v>
      </c>
      <c r="K169" s="2905">
        <v>0.08</v>
      </c>
      <c r="L169" s="2904">
        <v>10</v>
      </c>
      <c r="M169" s="1106"/>
      <c r="N169" s="2945"/>
      <c r="O169" s="2903" t="str">
        <f t="shared" si="47"/>
        <v>Tomate</v>
      </c>
      <c r="P169" s="2900">
        <f t="shared" ref="P169:U169" si="58">F169*P156</f>
        <v>15.18</v>
      </c>
      <c r="Q169" s="2900">
        <f t="shared" si="58"/>
        <v>66.320000000000007</v>
      </c>
      <c r="R169" s="2902">
        <f t="shared" si="58"/>
        <v>5.28</v>
      </c>
      <c r="S169" s="2901">
        <f t="shared" si="58"/>
        <v>1.573</v>
      </c>
      <c r="T169" s="2901">
        <f t="shared" si="58"/>
        <v>2.3199999999999998</v>
      </c>
      <c r="U169" s="2900">
        <f t="shared" si="58"/>
        <v>1.36</v>
      </c>
      <c r="V169" s="2885">
        <f t="shared" si="49"/>
        <v>92.032999999999987</v>
      </c>
    </row>
    <row r="170" spans="1:22" ht="15.75">
      <c r="A170" s="2884"/>
      <c r="B170" s="2911"/>
      <c r="C170" s="2949" t="s">
        <v>6520</v>
      </c>
      <c r="D170" s="2948"/>
      <c r="E170" s="2922"/>
      <c r="F170" s="2905">
        <v>0.04</v>
      </c>
      <c r="G170" s="2905">
        <v>0.06</v>
      </c>
      <c r="H170" s="2908">
        <v>0.09</v>
      </c>
      <c r="I170" s="2907">
        <f t="shared" si="46"/>
        <v>9.8999999999999991E-2</v>
      </c>
      <c r="J170" s="2906">
        <v>0.08</v>
      </c>
      <c r="K170" s="2905">
        <v>0.08</v>
      </c>
      <c r="L170" s="2904">
        <v>10</v>
      </c>
      <c r="M170" s="1106"/>
      <c r="N170" s="2945"/>
      <c r="O170" s="2903" t="str">
        <f t="shared" si="47"/>
        <v>Salade composée à base de crudités</v>
      </c>
      <c r="P170" s="2900">
        <f t="shared" ref="P170:U170" si="59">F170*P156</f>
        <v>10.120000000000001</v>
      </c>
      <c r="Q170" s="2900">
        <f t="shared" si="59"/>
        <v>49.739999999999995</v>
      </c>
      <c r="R170" s="2902">
        <f t="shared" si="59"/>
        <v>4.32</v>
      </c>
      <c r="S170" s="2901">
        <f t="shared" si="59"/>
        <v>1.2869999999999999</v>
      </c>
      <c r="T170" s="2901">
        <f t="shared" si="59"/>
        <v>2.3199999999999998</v>
      </c>
      <c r="U170" s="2900">
        <f t="shared" si="59"/>
        <v>1.36</v>
      </c>
      <c r="V170" s="2885">
        <f t="shared" si="49"/>
        <v>69.147000000000006</v>
      </c>
    </row>
    <row r="171" spans="1:22" ht="15.75">
      <c r="A171" s="2884"/>
      <c r="B171" s="2911"/>
      <c r="C171" s="2949" t="s">
        <v>6519</v>
      </c>
      <c r="D171" s="2948"/>
      <c r="E171" s="2922"/>
      <c r="F171" s="2905">
        <v>0.04</v>
      </c>
      <c r="G171" s="2905">
        <v>0.06</v>
      </c>
      <c r="H171" s="2908">
        <v>0.09</v>
      </c>
      <c r="I171" s="2907">
        <f t="shared" si="46"/>
        <v>9.8999999999999991E-2</v>
      </c>
      <c r="J171" s="2906">
        <v>0.08</v>
      </c>
      <c r="K171" s="2905">
        <v>0.08</v>
      </c>
      <c r="L171" s="2904">
        <v>10</v>
      </c>
      <c r="M171" s="1106"/>
      <c r="N171" s="2945"/>
      <c r="O171" s="2903" t="str">
        <f t="shared" si="47"/>
        <v>Champignons crus</v>
      </c>
      <c r="P171" s="2900">
        <f t="shared" ref="P171:U171" si="60">F171*P156</f>
        <v>10.120000000000001</v>
      </c>
      <c r="Q171" s="2900">
        <f t="shared" si="60"/>
        <v>49.739999999999995</v>
      </c>
      <c r="R171" s="2902">
        <f t="shared" si="60"/>
        <v>4.32</v>
      </c>
      <c r="S171" s="2901">
        <f t="shared" si="60"/>
        <v>1.2869999999999999</v>
      </c>
      <c r="T171" s="2901">
        <f t="shared" si="60"/>
        <v>2.3199999999999998</v>
      </c>
      <c r="U171" s="2900">
        <f t="shared" si="60"/>
        <v>1.36</v>
      </c>
      <c r="V171" s="2885">
        <f t="shared" si="49"/>
        <v>69.147000000000006</v>
      </c>
    </row>
    <row r="172" spans="1:22" ht="15.75">
      <c r="A172" s="2884"/>
      <c r="B172" s="2911"/>
      <c r="C172" s="2947" t="s">
        <v>6508</v>
      </c>
      <c r="D172" s="2946"/>
      <c r="E172" s="2921"/>
      <c r="F172" s="2905">
        <v>0.04</v>
      </c>
      <c r="G172" s="2905">
        <v>0.06</v>
      </c>
      <c r="H172" s="2908">
        <v>0.09</v>
      </c>
      <c r="I172" s="2907">
        <f t="shared" si="46"/>
        <v>9.8999999999999991E-2</v>
      </c>
      <c r="J172" s="2906">
        <v>0.08</v>
      </c>
      <c r="K172" s="2905">
        <v>0.08</v>
      </c>
      <c r="L172" s="2904">
        <v>10</v>
      </c>
      <c r="M172" s="1106"/>
      <c r="N172" s="2945"/>
      <c r="O172" s="2903" t="str">
        <f t="shared" si="47"/>
        <v>Fenouil</v>
      </c>
      <c r="P172" s="2900">
        <f t="shared" ref="P172:U172" si="61">F172*P156</f>
        <v>10.120000000000001</v>
      </c>
      <c r="Q172" s="2900">
        <f t="shared" si="61"/>
        <v>49.739999999999995</v>
      </c>
      <c r="R172" s="2902">
        <f t="shared" si="61"/>
        <v>4.32</v>
      </c>
      <c r="S172" s="2901">
        <f t="shared" si="61"/>
        <v>1.2869999999999999</v>
      </c>
      <c r="T172" s="2901">
        <f t="shared" si="61"/>
        <v>2.3199999999999998</v>
      </c>
      <c r="U172" s="2900">
        <f t="shared" si="61"/>
        <v>1.36</v>
      </c>
      <c r="V172" s="2885">
        <f t="shared" si="49"/>
        <v>69.147000000000006</v>
      </c>
    </row>
    <row r="173" spans="1:22" ht="15" customHeight="1">
      <c r="A173" s="2884"/>
      <c r="B173" s="2913"/>
      <c r="C173" s="4831" t="s">
        <v>6518</v>
      </c>
      <c r="D173" s="4831"/>
      <c r="E173" s="4831"/>
      <c r="F173" s="4831"/>
      <c r="G173" s="4831"/>
      <c r="H173" s="4831"/>
      <c r="I173" s="4831"/>
      <c r="J173" s="4831"/>
      <c r="K173" s="4831"/>
      <c r="L173" s="4832"/>
      <c r="M173" s="2912"/>
      <c r="N173" s="2912"/>
      <c r="O173" s="2882"/>
      <c r="P173" s="4835" t="str">
        <f>C173</f>
        <v>*- CUIDITES sans assaisonnement</v>
      </c>
      <c r="Q173" s="4836"/>
      <c r="R173" s="4836"/>
      <c r="S173" s="4836"/>
      <c r="T173" s="4836"/>
      <c r="U173" s="4836"/>
      <c r="V173" s="4837"/>
    </row>
    <row r="174" spans="1:22" ht="15" customHeight="1">
      <c r="A174" s="2884"/>
      <c r="B174" s="2913"/>
      <c r="C174" s="4833"/>
      <c r="D174" s="4833"/>
      <c r="E174" s="4833"/>
      <c r="F174" s="4833"/>
      <c r="G174" s="4833"/>
      <c r="H174" s="4833"/>
      <c r="I174" s="4833"/>
      <c r="J174" s="4833"/>
      <c r="K174" s="4833"/>
      <c r="L174" s="4834"/>
      <c r="M174" s="2912"/>
      <c r="N174" s="2912"/>
      <c r="O174" s="2882"/>
      <c r="P174" s="4838"/>
      <c r="Q174" s="4839"/>
      <c r="R174" s="4839"/>
      <c r="S174" s="4839"/>
      <c r="T174" s="4839"/>
      <c r="U174" s="4839"/>
      <c r="V174" s="4840"/>
    </row>
    <row r="175" spans="1:22" ht="15.75">
      <c r="A175" s="2884"/>
      <c r="B175" s="2911"/>
      <c r="C175" s="2944" t="s">
        <v>6517</v>
      </c>
      <c r="D175" s="2910"/>
      <c r="E175" s="2922"/>
      <c r="F175" s="2905">
        <v>0.125</v>
      </c>
      <c r="G175" s="2905">
        <v>0.16600000000000001</v>
      </c>
      <c r="H175" s="2908">
        <v>0.25</v>
      </c>
      <c r="I175" s="2907">
        <f t="shared" ref="I175:I189" si="62">(H175*L175%)+H175</f>
        <v>0.27500000000000002</v>
      </c>
      <c r="J175" s="2906">
        <v>0.25</v>
      </c>
      <c r="K175" s="2905">
        <v>0.25</v>
      </c>
      <c r="L175" s="2904">
        <v>10</v>
      </c>
      <c r="M175" s="2883"/>
      <c r="N175" s="2883"/>
      <c r="O175" s="2903" t="str">
        <f t="shared" ref="O175:O189" si="63">C175</f>
        <v>Potage à base de légumes (en litres/Kg)</v>
      </c>
      <c r="P175" s="2900">
        <f t="shared" ref="P175:U175" si="64">F175*P156</f>
        <v>31.625</v>
      </c>
      <c r="Q175" s="2900">
        <f t="shared" si="64"/>
        <v>137.614</v>
      </c>
      <c r="R175" s="2902">
        <f t="shared" si="64"/>
        <v>12</v>
      </c>
      <c r="S175" s="2901">
        <f t="shared" si="64"/>
        <v>3.5750000000000002</v>
      </c>
      <c r="T175" s="2901">
        <f t="shared" si="64"/>
        <v>7.25</v>
      </c>
      <c r="U175" s="2900">
        <f t="shared" si="64"/>
        <v>4.25</v>
      </c>
      <c r="V175" s="2885">
        <f t="shared" ref="V175:V189" si="65">SUM(P175:U175)</f>
        <v>196.31399999999999</v>
      </c>
    </row>
    <row r="176" spans="1:22" ht="17.25">
      <c r="A176" s="2884"/>
      <c r="B176" s="2911"/>
      <c r="C176" s="2944" t="s">
        <v>6516</v>
      </c>
      <c r="D176" s="2910"/>
      <c r="E176" s="2922"/>
      <c r="F176" s="2905">
        <v>0.5</v>
      </c>
      <c r="G176" s="2905">
        <v>0.5</v>
      </c>
      <c r="H176" s="2908">
        <v>1</v>
      </c>
      <c r="I176" s="2907">
        <f t="shared" si="62"/>
        <v>1.1000000000000001</v>
      </c>
      <c r="J176" s="2906">
        <v>1</v>
      </c>
      <c r="K176" s="2905">
        <v>1</v>
      </c>
      <c r="L176" s="2904">
        <v>10</v>
      </c>
      <c r="M176" s="2883"/>
      <c r="N176" s="2883"/>
      <c r="O176" s="2920" t="str">
        <f t="shared" si="63"/>
        <v>Artichaut entier (à l'unité)</v>
      </c>
      <c r="P176" s="2917">
        <f t="shared" ref="P176:U176" si="66">F176*P156</f>
        <v>126.5</v>
      </c>
      <c r="Q176" s="2917">
        <f t="shared" si="66"/>
        <v>414.5</v>
      </c>
      <c r="R176" s="2919">
        <f t="shared" si="66"/>
        <v>48</v>
      </c>
      <c r="S176" s="2918">
        <f t="shared" si="66"/>
        <v>14.3</v>
      </c>
      <c r="T176" s="2918">
        <f t="shared" si="66"/>
        <v>29</v>
      </c>
      <c r="U176" s="2917">
        <f t="shared" si="66"/>
        <v>17</v>
      </c>
      <c r="V176" s="2885">
        <f t="shared" si="65"/>
        <v>649.29999999999995</v>
      </c>
    </row>
    <row r="177" spans="1:22" ht="16.5">
      <c r="A177" s="2884"/>
      <c r="B177" s="2911"/>
      <c r="C177" s="2944" t="s">
        <v>6515</v>
      </c>
      <c r="D177" s="2910"/>
      <c r="E177" s="2922"/>
      <c r="F177" s="2905">
        <v>0.05</v>
      </c>
      <c r="G177" s="2905">
        <v>7.0000000000000007E-2</v>
      </c>
      <c r="H177" s="2908">
        <v>0.09</v>
      </c>
      <c r="I177" s="2907">
        <f t="shared" si="62"/>
        <v>9.8999999999999991E-2</v>
      </c>
      <c r="J177" s="2906">
        <v>0.08</v>
      </c>
      <c r="K177" s="2905">
        <v>0.08</v>
      </c>
      <c r="L177" s="2904">
        <v>10</v>
      </c>
      <c r="M177" s="2883"/>
      <c r="N177" s="2883"/>
      <c r="O177" s="2903" t="str">
        <f t="shared" si="63"/>
        <v>Fond d'artichaut</v>
      </c>
      <c r="P177" s="2900">
        <f t="shared" ref="P177:U177" si="67">F177*P156</f>
        <v>12.65</v>
      </c>
      <c r="Q177" s="2900">
        <f t="shared" si="67"/>
        <v>58.030000000000008</v>
      </c>
      <c r="R177" s="2902">
        <f t="shared" si="67"/>
        <v>4.32</v>
      </c>
      <c r="S177" s="2901">
        <f t="shared" si="67"/>
        <v>1.2869999999999999</v>
      </c>
      <c r="T177" s="2901">
        <f t="shared" si="67"/>
        <v>2.3199999999999998</v>
      </c>
      <c r="U177" s="2900">
        <f t="shared" si="67"/>
        <v>1.36</v>
      </c>
      <c r="V177" s="2885">
        <f t="shared" si="65"/>
        <v>79.966999999999999</v>
      </c>
    </row>
    <row r="178" spans="1:22" ht="15.75">
      <c r="A178" s="2884"/>
      <c r="B178" s="2911"/>
      <c r="C178" s="2944" t="s">
        <v>6514</v>
      </c>
      <c r="D178" s="2910"/>
      <c r="E178" s="2922"/>
      <c r="F178" s="2905">
        <v>0.05</v>
      </c>
      <c r="G178" s="2905">
        <v>7.0000000000000007E-2</v>
      </c>
      <c r="H178" s="2908">
        <v>0.09</v>
      </c>
      <c r="I178" s="2907">
        <f t="shared" si="62"/>
        <v>9.8999999999999991E-2</v>
      </c>
      <c r="J178" s="2906">
        <v>0.08</v>
      </c>
      <c r="K178" s="2905">
        <v>0.08</v>
      </c>
      <c r="L178" s="2904">
        <v>10</v>
      </c>
      <c r="M178" s="2883"/>
      <c r="N178" s="2883"/>
      <c r="O178" s="2903" t="str">
        <f t="shared" si="63"/>
        <v>Asperges</v>
      </c>
      <c r="P178" s="2900">
        <f t="shared" ref="P178:U178" si="68">F178*P156</f>
        <v>12.65</v>
      </c>
      <c r="Q178" s="2900">
        <f t="shared" si="68"/>
        <v>58.030000000000008</v>
      </c>
      <c r="R178" s="2902">
        <f t="shared" si="68"/>
        <v>4.32</v>
      </c>
      <c r="S178" s="2901">
        <f t="shared" si="68"/>
        <v>1.2869999999999999</v>
      </c>
      <c r="T178" s="2901">
        <f t="shared" si="68"/>
        <v>2.3199999999999998</v>
      </c>
      <c r="U178" s="2900">
        <f t="shared" si="68"/>
        <v>1.36</v>
      </c>
      <c r="V178" s="2885">
        <f t="shared" si="65"/>
        <v>79.966999999999999</v>
      </c>
    </row>
    <row r="179" spans="1:22" ht="15.75">
      <c r="A179" s="2884"/>
      <c r="B179" s="2911"/>
      <c r="C179" s="2944" t="s">
        <v>6513</v>
      </c>
      <c r="D179" s="2910"/>
      <c r="E179" s="2922"/>
      <c r="F179" s="2905">
        <v>0.05</v>
      </c>
      <c r="G179" s="2905">
        <v>7.0000000000000007E-2</v>
      </c>
      <c r="H179" s="2908">
        <v>0.1</v>
      </c>
      <c r="I179" s="2907">
        <f t="shared" si="62"/>
        <v>0.11000000000000001</v>
      </c>
      <c r="J179" s="2906">
        <v>0.08</v>
      </c>
      <c r="K179" s="2905">
        <v>0.08</v>
      </c>
      <c r="L179" s="2904">
        <v>10</v>
      </c>
      <c r="M179" s="2883"/>
      <c r="N179" s="2883"/>
      <c r="O179" s="2903" t="str">
        <f t="shared" si="63"/>
        <v>Betteraves</v>
      </c>
      <c r="P179" s="2900">
        <f t="shared" ref="P179:U179" si="69">F179*P156</f>
        <v>12.65</v>
      </c>
      <c r="Q179" s="2900">
        <f t="shared" si="69"/>
        <v>58.030000000000008</v>
      </c>
      <c r="R179" s="2902">
        <f t="shared" si="69"/>
        <v>4.8000000000000007</v>
      </c>
      <c r="S179" s="2901">
        <f t="shared" si="69"/>
        <v>1.4300000000000002</v>
      </c>
      <c r="T179" s="2901">
        <f t="shared" si="69"/>
        <v>2.3199999999999998</v>
      </c>
      <c r="U179" s="2900">
        <f t="shared" si="69"/>
        <v>1.36</v>
      </c>
      <c r="V179" s="2885">
        <f t="shared" si="65"/>
        <v>80.59</v>
      </c>
    </row>
    <row r="180" spans="1:22" ht="15.75">
      <c r="A180" s="2884"/>
      <c r="B180" s="2911"/>
      <c r="C180" s="2944" t="s">
        <v>6512</v>
      </c>
      <c r="D180" s="2910"/>
      <c r="E180" s="2922"/>
      <c r="F180" s="2905">
        <v>0.05</v>
      </c>
      <c r="G180" s="2905">
        <v>7.0000000000000007E-2</v>
      </c>
      <c r="H180" s="2908">
        <v>0.1</v>
      </c>
      <c r="I180" s="2907">
        <f t="shared" si="62"/>
        <v>0.11000000000000001</v>
      </c>
      <c r="J180" s="2906">
        <v>0.08</v>
      </c>
      <c r="K180" s="2905">
        <v>0.08</v>
      </c>
      <c r="L180" s="2904">
        <v>10</v>
      </c>
      <c r="M180" s="2883"/>
      <c r="N180" s="2883"/>
      <c r="O180" s="2903" t="str">
        <f t="shared" si="63"/>
        <v>Céleri</v>
      </c>
      <c r="P180" s="2900">
        <f t="shared" ref="P180:U180" si="70">F180*P156</f>
        <v>12.65</v>
      </c>
      <c r="Q180" s="2900">
        <f t="shared" si="70"/>
        <v>58.030000000000008</v>
      </c>
      <c r="R180" s="2902">
        <f t="shared" si="70"/>
        <v>4.8000000000000007</v>
      </c>
      <c r="S180" s="2901">
        <f t="shared" si="70"/>
        <v>1.4300000000000002</v>
      </c>
      <c r="T180" s="2901">
        <f t="shared" si="70"/>
        <v>2.3199999999999998</v>
      </c>
      <c r="U180" s="2900">
        <f t="shared" si="70"/>
        <v>1.36</v>
      </c>
      <c r="V180" s="2885">
        <f t="shared" si="65"/>
        <v>80.59</v>
      </c>
    </row>
    <row r="181" spans="1:22" ht="15.75">
      <c r="A181" s="2884"/>
      <c r="B181" s="2911"/>
      <c r="C181" s="2944" t="s">
        <v>6511</v>
      </c>
      <c r="D181" s="2910"/>
      <c r="E181" s="2922"/>
      <c r="F181" s="2905">
        <v>0.05</v>
      </c>
      <c r="G181" s="2905">
        <v>7.0000000000000007E-2</v>
      </c>
      <c r="H181" s="2908">
        <v>0.11</v>
      </c>
      <c r="I181" s="2907">
        <f t="shared" si="62"/>
        <v>0.121</v>
      </c>
      <c r="J181" s="2906">
        <v>0.08</v>
      </c>
      <c r="K181" s="2905">
        <v>0.08</v>
      </c>
      <c r="L181" s="2904">
        <v>10</v>
      </c>
      <c r="M181" s="2883"/>
      <c r="N181" s="2883"/>
      <c r="O181" s="2903" t="str">
        <f t="shared" si="63"/>
        <v>Champignons</v>
      </c>
      <c r="P181" s="2900">
        <f t="shared" ref="P181:U181" si="71">F181*P156</f>
        <v>12.65</v>
      </c>
      <c r="Q181" s="2900">
        <f t="shared" si="71"/>
        <v>58.030000000000008</v>
      </c>
      <c r="R181" s="2902">
        <f t="shared" si="71"/>
        <v>5.28</v>
      </c>
      <c r="S181" s="2901">
        <f t="shared" si="71"/>
        <v>1.573</v>
      </c>
      <c r="T181" s="2901">
        <f t="shared" si="71"/>
        <v>2.3199999999999998</v>
      </c>
      <c r="U181" s="2900">
        <f t="shared" si="71"/>
        <v>1.36</v>
      </c>
      <c r="V181" s="2885">
        <f t="shared" si="65"/>
        <v>81.212999999999994</v>
      </c>
    </row>
    <row r="182" spans="1:22" ht="15.75">
      <c r="A182" s="2884"/>
      <c r="B182" s="2911"/>
      <c r="C182" s="2944" t="s">
        <v>6510</v>
      </c>
      <c r="D182" s="2910"/>
      <c r="E182" s="2922"/>
      <c r="F182" s="2905">
        <v>0.05</v>
      </c>
      <c r="G182" s="2905">
        <v>7.0000000000000007E-2</v>
      </c>
      <c r="H182" s="2908">
        <v>0.1</v>
      </c>
      <c r="I182" s="2907">
        <f t="shared" si="62"/>
        <v>0.11000000000000001</v>
      </c>
      <c r="J182" s="2906">
        <v>0.08</v>
      </c>
      <c r="K182" s="2905">
        <v>0.08</v>
      </c>
      <c r="L182" s="2904">
        <v>10</v>
      </c>
      <c r="M182" s="2883"/>
      <c r="N182" s="2883"/>
      <c r="O182" s="2903" t="str">
        <f t="shared" si="63"/>
        <v>Choux fleurs</v>
      </c>
      <c r="P182" s="2900">
        <f t="shared" ref="P182:U182" si="72">F182*P156</f>
        <v>12.65</v>
      </c>
      <c r="Q182" s="2900">
        <f t="shared" si="72"/>
        <v>58.030000000000008</v>
      </c>
      <c r="R182" s="2902">
        <f t="shared" si="72"/>
        <v>4.8000000000000007</v>
      </c>
      <c r="S182" s="2901">
        <f t="shared" si="72"/>
        <v>1.4300000000000002</v>
      </c>
      <c r="T182" s="2901">
        <f t="shared" si="72"/>
        <v>2.3199999999999998</v>
      </c>
      <c r="U182" s="2900">
        <f t="shared" si="72"/>
        <v>1.36</v>
      </c>
      <c r="V182" s="2885">
        <f t="shared" si="65"/>
        <v>80.59</v>
      </c>
    </row>
    <row r="183" spans="1:22" ht="15.75">
      <c r="A183" s="2884"/>
      <c r="B183" s="2911"/>
      <c r="C183" s="2944" t="s">
        <v>6509</v>
      </c>
      <c r="D183" s="2910"/>
      <c r="E183" s="2922"/>
      <c r="F183" s="2905">
        <v>0.04</v>
      </c>
      <c r="G183" s="2905">
        <v>0.06</v>
      </c>
      <c r="H183" s="2908">
        <v>0.09</v>
      </c>
      <c r="I183" s="2907">
        <f t="shared" si="62"/>
        <v>9.8999999999999991E-2</v>
      </c>
      <c r="J183" s="2906">
        <v>7.0000000000000007E-2</v>
      </c>
      <c r="K183" s="2905">
        <v>7.0000000000000007E-2</v>
      </c>
      <c r="L183" s="2904">
        <v>10</v>
      </c>
      <c r="M183" s="2883"/>
      <c r="N183" s="2883"/>
      <c r="O183" s="2903" t="str">
        <f t="shared" si="63"/>
        <v>Cœurs de palmier</v>
      </c>
      <c r="P183" s="2900">
        <f t="shared" ref="P183:U183" si="73">F183*P156</f>
        <v>10.120000000000001</v>
      </c>
      <c r="Q183" s="2900">
        <f t="shared" si="73"/>
        <v>49.739999999999995</v>
      </c>
      <c r="R183" s="2902">
        <f t="shared" si="73"/>
        <v>4.32</v>
      </c>
      <c r="S183" s="2901">
        <f t="shared" si="73"/>
        <v>1.2869999999999999</v>
      </c>
      <c r="T183" s="2901">
        <f t="shared" si="73"/>
        <v>2.0300000000000002</v>
      </c>
      <c r="U183" s="2900">
        <f t="shared" si="73"/>
        <v>1.1900000000000002</v>
      </c>
      <c r="V183" s="2885">
        <f t="shared" si="65"/>
        <v>68.687000000000012</v>
      </c>
    </row>
    <row r="184" spans="1:22" ht="15.75">
      <c r="A184" s="2884"/>
      <c r="B184" s="2911"/>
      <c r="C184" s="2944" t="s">
        <v>6508</v>
      </c>
      <c r="D184" s="2910"/>
      <c r="E184" s="2922"/>
      <c r="F184" s="2905">
        <v>0.04</v>
      </c>
      <c r="G184" s="2905">
        <v>0.06</v>
      </c>
      <c r="H184" s="2908">
        <v>0.09</v>
      </c>
      <c r="I184" s="2907">
        <f t="shared" si="62"/>
        <v>9.8999999999999991E-2</v>
      </c>
      <c r="J184" s="2906">
        <v>7.0000000000000007E-2</v>
      </c>
      <c r="K184" s="2905">
        <v>7.0000000000000007E-2</v>
      </c>
      <c r="L184" s="2904">
        <v>10</v>
      </c>
      <c r="M184" s="2883"/>
      <c r="N184" s="2883"/>
      <c r="O184" s="2903" t="str">
        <f t="shared" si="63"/>
        <v>Fenouil</v>
      </c>
      <c r="P184" s="2900">
        <f t="shared" ref="P184:U184" si="74">F184*P156</f>
        <v>10.120000000000001</v>
      </c>
      <c r="Q184" s="2900">
        <f t="shared" si="74"/>
        <v>49.739999999999995</v>
      </c>
      <c r="R184" s="2902">
        <f t="shared" si="74"/>
        <v>4.32</v>
      </c>
      <c r="S184" s="2901">
        <f t="shared" si="74"/>
        <v>1.2869999999999999</v>
      </c>
      <c r="T184" s="2901">
        <f t="shared" si="74"/>
        <v>2.0300000000000002</v>
      </c>
      <c r="U184" s="2900">
        <f t="shared" si="74"/>
        <v>1.1900000000000002</v>
      </c>
      <c r="V184" s="2885">
        <f t="shared" si="65"/>
        <v>68.687000000000012</v>
      </c>
    </row>
    <row r="185" spans="1:22" ht="15.75">
      <c r="A185" s="2884"/>
      <c r="B185" s="2911"/>
      <c r="C185" s="2944" t="s">
        <v>6507</v>
      </c>
      <c r="D185" s="2910"/>
      <c r="E185" s="2922"/>
      <c r="F185" s="2905">
        <v>0.05</v>
      </c>
      <c r="G185" s="2905">
        <v>7.0000000000000007E-2</v>
      </c>
      <c r="H185" s="2908">
        <v>0.11</v>
      </c>
      <c r="I185" s="2907">
        <f t="shared" si="62"/>
        <v>0.121</v>
      </c>
      <c r="J185" s="2906">
        <v>0.08</v>
      </c>
      <c r="K185" s="2905">
        <v>0.08</v>
      </c>
      <c r="L185" s="2904">
        <v>10</v>
      </c>
      <c r="M185" s="2883"/>
      <c r="N185" s="2883"/>
      <c r="O185" s="2903" t="str">
        <f t="shared" si="63"/>
        <v>Haricots verts</v>
      </c>
      <c r="P185" s="2900">
        <f t="shared" ref="P185:U185" si="75">F185*P156</f>
        <v>12.65</v>
      </c>
      <c r="Q185" s="2900">
        <f t="shared" si="75"/>
        <v>58.030000000000008</v>
      </c>
      <c r="R185" s="2902">
        <f t="shared" si="75"/>
        <v>5.28</v>
      </c>
      <c r="S185" s="2901">
        <f t="shared" si="75"/>
        <v>1.573</v>
      </c>
      <c r="T185" s="2901">
        <f t="shared" si="75"/>
        <v>2.3199999999999998</v>
      </c>
      <c r="U185" s="2900">
        <f t="shared" si="75"/>
        <v>1.36</v>
      </c>
      <c r="V185" s="2885">
        <f t="shared" si="65"/>
        <v>81.212999999999994</v>
      </c>
    </row>
    <row r="186" spans="1:22" ht="15.75">
      <c r="A186" s="2884"/>
      <c r="B186" s="2911"/>
      <c r="C186" s="2944" t="s">
        <v>6506</v>
      </c>
      <c r="D186" s="2910"/>
      <c r="E186" s="2922"/>
      <c r="F186" s="2905">
        <v>0.05</v>
      </c>
      <c r="G186" s="2905">
        <v>7.0000000000000007E-2</v>
      </c>
      <c r="H186" s="2908">
        <v>0.11</v>
      </c>
      <c r="I186" s="2907">
        <f t="shared" si="62"/>
        <v>0.121</v>
      </c>
      <c r="J186" s="2906">
        <v>0.08</v>
      </c>
      <c r="K186" s="2905">
        <v>0.08</v>
      </c>
      <c r="L186" s="2904">
        <v>10</v>
      </c>
      <c r="M186" s="2883"/>
      <c r="N186" s="2883"/>
      <c r="O186" s="2903" t="str">
        <f t="shared" si="63"/>
        <v>Poireaux (blancs de poireaux)</v>
      </c>
      <c r="P186" s="2900">
        <f t="shared" ref="P186:U186" si="76">F186*P156</f>
        <v>12.65</v>
      </c>
      <c r="Q186" s="2900">
        <f t="shared" si="76"/>
        <v>58.030000000000008</v>
      </c>
      <c r="R186" s="2902">
        <f t="shared" si="76"/>
        <v>5.28</v>
      </c>
      <c r="S186" s="2901">
        <f t="shared" si="76"/>
        <v>1.573</v>
      </c>
      <c r="T186" s="2901">
        <f t="shared" si="76"/>
        <v>2.3199999999999998</v>
      </c>
      <c r="U186" s="2900">
        <f t="shared" si="76"/>
        <v>1.36</v>
      </c>
      <c r="V186" s="2885">
        <f t="shared" si="65"/>
        <v>81.212999999999994</v>
      </c>
    </row>
    <row r="187" spans="1:22" ht="15.75">
      <c r="A187" s="2884"/>
      <c r="B187" s="2911"/>
      <c r="C187" s="2944" t="s">
        <v>6505</v>
      </c>
      <c r="D187" s="2910"/>
      <c r="E187" s="2922"/>
      <c r="F187" s="2905">
        <v>0.05</v>
      </c>
      <c r="G187" s="2905">
        <v>7.0000000000000007E-2</v>
      </c>
      <c r="H187" s="2908">
        <v>0.11</v>
      </c>
      <c r="I187" s="2907">
        <f t="shared" si="62"/>
        <v>0.121</v>
      </c>
      <c r="J187" s="2906">
        <v>0.08</v>
      </c>
      <c r="K187" s="2905">
        <v>0.08</v>
      </c>
      <c r="L187" s="2904">
        <v>10</v>
      </c>
      <c r="M187" s="2883"/>
      <c r="N187" s="2883"/>
      <c r="O187" s="2903" t="str">
        <f t="shared" si="63"/>
        <v>Salade composée à base de légumes cuits</v>
      </c>
      <c r="P187" s="2900">
        <f t="shared" ref="P187:U187" si="77">F187*P156</f>
        <v>12.65</v>
      </c>
      <c r="Q187" s="2900">
        <f t="shared" si="77"/>
        <v>58.030000000000008</v>
      </c>
      <c r="R187" s="2902">
        <f t="shared" si="77"/>
        <v>5.28</v>
      </c>
      <c r="S187" s="2901">
        <f t="shared" si="77"/>
        <v>1.573</v>
      </c>
      <c r="T187" s="2901">
        <f t="shared" si="77"/>
        <v>2.3199999999999998</v>
      </c>
      <c r="U187" s="2900">
        <f t="shared" si="77"/>
        <v>1.36</v>
      </c>
      <c r="V187" s="2885">
        <f t="shared" si="65"/>
        <v>81.212999999999994</v>
      </c>
    </row>
    <row r="188" spans="1:22" ht="15.75">
      <c r="A188" s="2884"/>
      <c r="B188" s="2911"/>
      <c r="C188" s="2944" t="s">
        <v>6504</v>
      </c>
      <c r="D188" s="2910"/>
      <c r="E188" s="2922"/>
      <c r="F188" s="2905">
        <v>0.05</v>
      </c>
      <c r="G188" s="2905">
        <v>7.0000000000000007E-2</v>
      </c>
      <c r="H188" s="2908">
        <v>0.11</v>
      </c>
      <c r="I188" s="2907">
        <f t="shared" si="62"/>
        <v>0.121</v>
      </c>
      <c r="J188" s="2906">
        <v>7.0000000000000007E-2</v>
      </c>
      <c r="K188" s="2905">
        <v>7.0000000000000007E-2</v>
      </c>
      <c r="L188" s="2904">
        <v>10</v>
      </c>
      <c r="M188" s="2883"/>
      <c r="N188" s="2883"/>
      <c r="O188" s="2903" t="str">
        <f t="shared" si="63"/>
        <v>Soja (germes de haricots mungo)</v>
      </c>
      <c r="P188" s="2900">
        <f t="shared" ref="P188:U188" si="78">F188*P156</f>
        <v>12.65</v>
      </c>
      <c r="Q188" s="2900">
        <f t="shared" si="78"/>
        <v>58.030000000000008</v>
      </c>
      <c r="R188" s="2902">
        <f t="shared" si="78"/>
        <v>5.28</v>
      </c>
      <c r="S188" s="2901">
        <f t="shared" si="78"/>
        <v>1.573</v>
      </c>
      <c r="T188" s="2901">
        <f t="shared" si="78"/>
        <v>2.0300000000000002</v>
      </c>
      <c r="U188" s="2900">
        <f t="shared" si="78"/>
        <v>1.1900000000000002</v>
      </c>
      <c r="V188" s="2885">
        <f t="shared" si="65"/>
        <v>80.753</v>
      </c>
    </row>
    <row r="189" spans="1:22" ht="15.75">
      <c r="A189" s="2884"/>
      <c r="B189" s="2911"/>
      <c r="C189" s="2943" t="s">
        <v>6503</v>
      </c>
      <c r="D189" s="2915"/>
      <c r="E189" s="2921"/>
      <c r="F189" s="2905">
        <v>0.03</v>
      </c>
      <c r="G189" s="2905">
        <v>0.03</v>
      </c>
      <c r="H189" s="2908">
        <v>0.04</v>
      </c>
      <c r="I189" s="2907">
        <f t="shared" si="62"/>
        <v>4.3999999999999997E-2</v>
      </c>
      <c r="J189" s="2906">
        <v>0.03</v>
      </c>
      <c r="K189" s="2905">
        <v>0.03</v>
      </c>
      <c r="L189" s="2904">
        <v>10</v>
      </c>
      <c r="M189" s="2883"/>
      <c r="N189" s="2883"/>
      <c r="O189" s="2903" t="str">
        <f t="shared" si="63"/>
        <v>Terrine de légumes</v>
      </c>
      <c r="P189" s="2900">
        <f t="shared" ref="P189:U189" si="79">F189*P156</f>
        <v>7.59</v>
      </c>
      <c r="Q189" s="2900">
        <f t="shared" si="79"/>
        <v>24.869999999999997</v>
      </c>
      <c r="R189" s="2902">
        <f t="shared" si="79"/>
        <v>1.92</v>
      </c>
      <c r="S189" s="2901">
        <f t="shared" si="79"/>
        <v>0.57199999999999995</v>
      </c>
      <c r="T189" s="2901">
        <f t="shared" si="79"/>
        <v>0.87</v>
      </c>
      <c r="U189" s="2900">
        <f t="shared" si="79"/>
        <v>0.51</v>
      </c>
      <c r="V189" s="2885">
        <f t="shared" si="65"/>
        <v>36.331999999999994</v>
      </c>
    </row>
    <row r="190" spans="1:22" ht="15" customHeight="1">
      <c r="A190" s="2884"/>
      <c r="B190" s="2913"/>
      <c r="C190" s="4831" t="s">
        <v>6502</v>
      </c>
      <c r="D190" s="4831"/>
      <c r="E190" s="4831"/>
      <c r="F190" s="4831"/>
      <c r="G190" s="4831"/>
      <c r="H190" s="4831"/>
      <c r="I190" s="4831"/>
      <c r="J190" s="4831"/>
      <c r="K190" s="4831"/>
      <c r="L190" s="4832"/>
      <c r="M190" s="2912"/>
      <c r="N190" s="2912"/>
      <c r="O190" s="2882"/>
      <c r="P190" s="4835" t="str">
        <f>C190</f>
        <v xml:space="preserve">*- ENTRÉES DE FÉCULENT </v>
      </c>
      <c r="Q190" s="4836"/>
      <c r="R190" s="4836"/>
      <c r="S190" s="4836"/>
      <c r="T190" s="4836"/>
      <c r="U190" s="4836"/>
      <c r="V190" s="4837"/>
    </row>
    <row r="191" spans="1:22" ht="15" customHeight="1">
      <c r="A191" s="2884"/>
      <c r="B191" s="2913"/>
      <c r="C191" s="4833"/>
      <c r="D191" s="4833"/>
      <c r="E191" s="4833"/>
      <c r="F191" s="4833"/>
      <c r="G191" s="4833"/>
      <c r="H191" s="4833"/>
      <c r="I191" s="4833"/>
      <c r="J191" s="4833"/>
      <c r="K191" s="4833"/>
      <c r="L191" s="4834"/>
      <c r="M191" s="2912"/>
      <c r="N191" s="2912"/>
      <c r="O191" s="2882"/>
      <c r="P191" s="4838"/>
      <c r="Q191" s="4839"/>
      <c r="R191" s="4839"/>
      <c r="S191" s="4839"/>
      <c r="T191" s="4839"/>
      <c r="U191" s="4839"/>
      <c r="V191" s="4840"/>
    </row>
    <row r="192" spans="1:22" ht="15.75">
      <c r="A192" s="2884"/>
      <c r="B192" s="2913"/>
      <c r="C192" s="2942" t="s">
        <v>6501</v>
      </c>
      <c r="D192" s="2942"/>
      <c r="E192" s="2941"/>
      <c r="F192" s="2938">
        <v>0.06</v>
      </c>
      <c r="G192" s="2938">
        <v>0.08</v>
      </c>
      <c r="H192" s="2940">
        <v>0.13</v>
      </c>
      <c r="I192" s="2907">
        <f>(H192*L192%)+H192</f>
        <v>0.14300000000000002</v>
      </c>
      <c r="J192" s="2939">
        <v>0.1</v>
      </c>
      <c r="K192" s="2938">
        <v>0.1</v>
      </c>
      <c r="L192" s="2937">
        <v>10</v>
      </c>
      <c r="M192" s="2883"/>
      <c r="N192" s="2883"/>
      <c r="O192" s="2882"/>
      <c r="P192" s="2900">
        <f t="shared" ref="P192:U192" si="80">F192*P156</f>
        <v>15.18</v>
      </c>
      <c r="Q192" s="2900">
        <f t="shared" si="80"/>
        <v>66.320000000000007</v>
      </c>
      <c r="R192" s="2902">
        <f t="shared" si="80"/>
        <v>6.24</v>
      </c>
      <c r="S192" s="2901">
        <f t="shared" si="80"/>
        <v>1.8590000000000002</v>
      </c>
      <c r="T192" s="2901">
        <f t="shared" si="80"/>
        <v>2.9000000000000004</v>
      </c>
      <c r="U192" s="2900">
        <f t="shared" si="80"/>
        <v>1.7000000000000002</v>
      </c>
      <c r="V192" s="2885">
        <f>SUM(P192:U192)</f>
        <v>94.198999999999998</v>
      </c>
    </row>
    <row r="193" spans="1:22" ht="15" customHeight="1">
      <c r="A193" s="2884"/>
      <c r="B193" s="2913"/>
      <c r="C193" s="4831" t="s">
        <v>6500</v>
      </c>
      <c r="D193" s="4831"/>
      <c r="E193" s="4831"/>
      <c r="F193" s="4831"/>
      <c r="G193" s="4831"/>
      <c r="H193" s="4831"/>
      <c r="I193" s="4831"/>
      <c r="J193" s="4831"/>
      <c r="K193" s="4831"/>
      <c r="L193" s="4832"/>
      <c r="M193" s="2912"/>
      <c r="N193" s="2912"/>
      <c r="O193" s="2882"/>
      <c r="P193" s="4835" t="str">
        <f>C193</f>
        <v>*- ENTREES PROTIDIQUES DIVERSES</v>
      </c>
      <c r="Q193" s="4836"/>
      <c r="R193" s="4836"/>
      <c r="S193" s="4836"/>
      <c r="T193" s="4836"/>
      <c r="U193" s="4836"/>
      <c r="V193" s="4837"/>
    </row>
    <row r="194" spans="1:22" ht="15" customHeight="1">
      <c r="A194" s="2884"/>
      <c r="B194" s="2913"/>
      <c r="C194" s="4833"/>
      <c r="D194" s="4833"/>
      <c r="E194" s="4833"/>
      <c r="F194" s="4833"/>
      <c r="G194" s="4833"/>
      <c r="H194" s="4833"/>
      <c r="I194" s="4833"/>
      <c r="J194" s="4833"/>
      <c r="K194" s="4833"/>
      <c r="L194" s="4834"/>
      <c r="M194" s="2912"/>
      <c r="N194" s="2912"/>
      <c r="O194" s="2882"/>
      <c r="P194" s="4838"/>
      <c r="Q194" s="4839"/>
      <c r="R194" s="4839"/>
      <c r="S194" s="4839"/>
      <c r="T194" s="4839"/>
      <c r="U194" s="4839"/>
      <c r="V194" s="4840"/>
    </row>
    <row r="195" spans="1:22">
      <c r="A195" s="2936"/>
      <c r="B195" s="2935"/>
      <c r="C195" s="2934" t="s">
        <v>6499</v>
      </c>
      <c r="D195" s="2934"/>
      <c r="E195" s="2933"/>
      <c r="F195" s="2930">
        <v>0.5</v>
      </c>
      <c r="G195" s="2930">
        <v>1</v>
      </c>
      <c r="H195" s="2931">
        <v>1.25</v>
      </c>
      <c r="I195" s="2932">
        <f t="shared" ref="I195:I205" si="81">(H195*L195%)+H195</f>
        <v>1.375</v>
      </c>
      <c r="J195" s="2931">
        <v>1</v>
      </c>
      <c r="K195" s="2930">
        <v>1</v>
      </c>
      <c r="L195" s="2929">
        <v>10</v>
      </c>
      <c r="M195" s="2928"/>
      <c r="N195" s="2928"/>
      <c r="O195" s="2920" t="str">
        <f t="shared" ref="O195:O206" si="82">C195</f>
        <v>Œuf dur (à l'unité)</v>
      </c>
      <c r="P195" s="2917">
        <f t="shared" ref="P195:U195" si="83">F195*P156</f>
        <v>126.5</v>
      </c>
      <c r="Q195" s="2917">
        <f t="shared" si="83"/>
        <v>829</v>
      </c>
      <c r="R195" s="2919">
        <f t="shared" si="83"/>
        <v>60</v>
      </c>
      <c r="S195" s="2918">
        <f t="shared" si="83"/>
        <v>17.875</v>
      </c>
      <c r="T195" s="2918">
        <f t="shared" si="83"/>
        <v>29</v>
      </c>
      <c r="U195" s="2917">
        <f t="shared" si="83"/>
        <v>17</v>
      </c>
      <c r="V195" s="2885">
        <f t="shared" ref="V195:V206" si="84">SUM(P195:U195)</f>
        <v>1079.375</v>
      </c>
    </row>
    <row r="196" spans="1:22" ht="15.75">
      <c r="A196" s="2884"/>
      <c r="B196" s="2911"/>
      <c r="C196" s="2910" t="s">
        <v>6498</v>
      </c>
      <c r="D196" s="2910"/>
      <c r="E196" s="2922"/>
      <c r="F196" s="2905">
        <v>0</v>
      </c>
      <c r="G196" s="2905">
        <v>0.04</v>
      </c>
      <c r="H196" s="2908">
        <v>0.05</v>
      </c>
      <c r="I196" s="2907">
        <f t="shared" si="81"/>
        <v>5.5000000000000007E-2</v>
      </c>
      <c r="J196" s="2906">
        <v>0.06</v>
      </c>
      <c r="K196" s="2905">
        <v>0.06</v>
      </c>
      <c r="L196" s="2904">
        <v>10</v>
      </c>
      <c r="M196" s="2883"/>
      <c r="N196" s="2883"/>
      <c r="O196" s="2903" t="str">
        <f t="shared" si="82"/>
        <v>Hareng/garniture</v>
      </c>
      <c r="P196" s="2900">
        <f t="shared" ref="P196:U196" si="85">F196*P156</f>
        <v>0</v>
      </c>
      <c r="Q196" s="2900">
        <f t="shared" si="85"/>
        <v>33.160000000000004</v>
      </c>
      <c r="R196" s="2902">
        <f t="shared" si="85"/>
        <v>2.4000000000000004</v>
      </c>
      <c r="S196" s="2901">
        <f t="shared" si="85"/>
        <v>0.71500000000000008</v>
      </c>
      <c r="T196" s="2901">
        <f t="shared" si="85"/>
        <v>1.74</v>
      </c>
      <c r="U196" s="2900">
        <f t="shared" si="85"/>
        <v>1.02</v>
      </c>
      <c r="V196" s="2885">
        <f t="shared" si="84"/>
        <v>39.035000000000011</v>
      </c>
    </row>
    <row r="197" spans="1:22" ht="15.75">
      <c r="A197" s="2884"/>
      <c r="B197" s="2911"/>
      <c r="C197" s="2910" t="s">
        <v>6497</v>
      </c>
      <c r="D197" s="2910"/>
      <c r="E197" s="2922"/>
      <c r="F197" s="2905">
        <v>0.03</v>
      </c>
      <c r="G197" s="2905">
        <v>0.03</v>
      </c>
      <c r="H197" s="2908">
        <v>4.4999999999999998E-2</v>
      </c>
      <c r="I197" s="2907">
        <f t="shared" si="81"/>
        <v>4.9499999999999995E-2</v>
      </c>
      <c r="J197" s="2906">
        <v>0.05</v>
      </c>
      <c r="K197" s="2905">
        <v>0.05</v>
      </c>
      <c r="L197" s="2904">
        <v>10</v>
      </c>
      <c r="M197" s="2883"/>
      <c r="N197" s="2883"/>
      <c r="O197" s="2903" t="str">
        <f t="shared" si="82"/>
        <v>Maquereau</v>
      </c>
      <c r="P197" s="2900">
        <f t="shared" ref="P197:U197" si="86">F197*P156</f>
        <v>7.59</v>
      </c>
      <c r="Q197" s="2900">
        <f t="shared" si="86"/>
        <v>24.869999999999997</v>
      </c>
      <c r="R197" s="2902">
        <f t="shared" si="86"/>
        <v>2.16</v>
      </c>
      <c r="S197" s="2901">
        <f t="shared" si="86"/>
        <v>0.64349999999999996</v>
      </c>
      <c r="T197" s="2901">
        <f t="shared" si="86"/>
        <v>1.4500000000000002</v>
      </c>
      <c r="U197" s="2900">
        <f t="shared" si="86"/>
        <v>0.85000000000000009</v>
      </c>
      <c r="V197" s="2885">
        <f t="shared" si="84"/>
        <v>37.563499999999998</v>
      </c>
    </row>
    <row r="198" spans="1:22" ht="15.75">
      <c r="A198" s="2884"/>
      <c r="B198" s="2911"/>
      <c r="C198" s="2910" t="s">
        <v>6496</v>
      </c>
      <c r="D198" s="2910"/>
      <c r="E198" s="2922"/>
      <c r="F198" s="2905">
        <v>1</v>
      </c>
      <c r="G198" s="2905">
        <v>1</v>
      </c>
      <c r="H198" s="2908">
        <v>2</v>
      </c>
      <c r="I198" s="2907">
        <f t="shared" si="81"/>
        <v>2.2000000000000002</v>
      </c>
      <c r="J198" s="2906">
        <v>2</v>
      </c>
      <c r="K198" s="2905">
        <v>2</v>
      </c>
      <c r="L198" s="2904">
        <v>10</v>
      </c>
      <c r="M198" s="2883"/>
      <c r="N198" s="2883"/>
      <c r="O198" s="2920" t="str">
        <f t="shared" si="82"/>
        <v>Sardines (à l'unité) sauf exception mentionnée</v>
      </c>
      <c r="P198" s="2917">
        <f t="shared" ref="P198:U198" si="87">F198*P156</f>
        <v>253</v>
      </c>
      <c r="Q198" s="2917">
        <f t="shared" si="87"/>
        <v>829</v>
      </c>
      <c r="R198" s="2919">
        <f t="shared" si="87"/>
        <v>96</v>
      </c>
      <c r="S198" s="2918">
        <f t="shared" si="87"/>
        <v>28.6</v>
      </c>
      <c r="T198" s="2918">
        <f t="shared" si="87"/>
        <v>58</v>
      </c>
      <c r="U198" s="2917">
        <f t="shared" si="87"/>
        <v>34</v>
      </c>
      <c r="V198" s="2885">
        <f t="shared" si="84"/>
        <v>1298.5999999999999</v>
      </c>
    </row>
    <row r="199" spans="1:22" ht="15.75">
      <c r="A199" s="2884"/>
      <c r="B199" s="2911"/>
      <c r="C199" s="2910" t="s">
        <v>6495</v>
      </c>
      <c r="D199" s="2910"/>
      <c r="E199" s="2922"/>
      <c r="F199" s="2905">
        <v>0.03</v>
      </c>
      <c r="G199" s="2905">
        <v>0.03</v>
      </c>
      <c r="H199" s="2908">
        <v>4.4999999999999998E-2</v>
      </c>
      <c r="I199" s="2907">
        <f t="shared" si="81"/>
        <v>4.9499999999999995E-2</v>
      </c>
      <c r="J199" s="2906">
        <v>0.05</v>
      </c>
      <c r="K199" s="2905">
        <v>0.05</v>
      </c>
      <c r="L199" s="2904">
        <v>10</v>
      </c>
      <c r="M199" s="2883"/>
      <c r="N199" s="2883"/>
      <c r="O199" s="2903" t="str">
        <f t="shared" si="82"/>
        <v>Thon au naturel</v>
      </c>
      <c r="P199" s="2900">
        <f t="shared" ref="P199:U199" si="88">F199*P156</f>
        <v>7.59</v>
      </c>
      <c r="Q199" s="2900">
        <f t="shared" si="88"/>
        <v>24.869999999999997</v>
      </c>
      <c r="R199" s="2902">
        <f t="shared" si="88"/>
        <v>2.16</v>
      </c>
      <c r="S199" s="2901">
        <f t="shared" si="88"/>
        <v>0.64349999999999996</v>
      </c>
      <c r="T199" s="2901">
        <f t="shared" si="88"/>
        <v>1.4500000000000002</v>
      </c>
      <c r="U199" s="2900">
        <f t="shared" si="88"/>
        <v>0.85000000000000009</v>
      </c>
      <c r="V199" s="2885">
        <f t="shared" si="84"/>
        <v>37.563499999999998</v>
      </c>
    </row>
    <row r="200" spans="1:22" ht="15.75">
      <c r="A200" s="2884"/>
      <c r="B200" s="2911"/>
      <c r="C200" s="2910" t="s">
        <v>6494</v>
      </c>
      <c r="D200" s="2910"/>
      <c r="E200" s="2922"/>
      <c r="F200" s="2905">
        <v>0.02</v>
      </c>
      <c r="G200" s="2905">
        <v>0.03</v>
      </c>
      <c r="H200" s="2908">
        <v>4.4999999999999998E-2</v>
      </c>
      <c r="I200" s="2907">
        <f t="shared" si="81"/>
        <v>4.9499999999999995E-2</v>
      </c>
      <c r="J200" s="2906">
        <v>0.05</v>
      </c>
      <c r="K200" s="2905">
        <v>0.05</v>
      </c>
      <c r="L200" s="2904">
        <v>10</v>
      </c>
      <c r="M200" s="2883"/>
      <c r="N200" s="2883"/>
      <c r="O200" s="2903" t="str">
        <f t="shared" si="82"/>
        <v>Jambon cru de pays</v>
      </c>
      <c r="P200" s="2900">
        <f t="shared" ref="P200:U200" si="89">F200*P156</f>
        <v>5.0600000000000005</v>
      </c>
      <c r="Q200" s="2900">
        <f t="shared" si="89"/>
        <v>24.869999999999997</v>
      </c>
      <c r="R200" s="2902">
        <f t="shared" si="89"/>
        <v>2.16</v>
      </c>
      <c r="S200" s="2901">
        <f t="shared" si="89"/>
        <v>0.64349999999999996</v>
      </c>
      <c r="T200" s="2901">
        <f t="shared" si="89"/>
        <v>1.4500000000000002</v>
      </c>
      <c r="U200" s="2900">
        <f t="shared" si="89"/>
        <v>0.85000000000000009</v>
      </c>
      <c r="V200" s="2885">
        <f t="shared" si="84"/>
        <v>35.033500000000011</v>
      </c>
    </row>
    <row r="201" spans="1:22" ht="15.75">
      <c r="A201" s="2884"/>
      <c r="B201" s="2911"/>
      <c r="C201" s="2910" t="s">
        <v>6493</v>
      </c>
      <c r="D201" s="2910"/>
      <c r="E201" s="2922"/>
      <c r="F201" s="2905">
        <v>0.03</v>
      </c>
      <c r="G201" s="2905">
        <v>0.4</v>
      </c>
      <c r="H201" s="2908">
        <v>0.05</v>
      </c>
      <c r="I201" s="2907">
        <f t="shared" si="81"/>
        <v>5.5000000000000007E-2</v>
      </c>
      <c r="J201" s="2906">
        <v>0.05</v>
      </c>
      <c r="K201" s="2905">
        <v>0.05</v>
      </c>
      <c r="L201" s="2904">
        <v>10</v>
      </c>
      <c r="M201" s="2883"/>
      <c r="N201" s="2883"/>
      <c r="O201" s="2903" t="str">
        <f t="shared" si="82"/>
        <v>Jambon blanc</v>
      </c>
      <c r="P201" s="2900">
        <f t="shared" ref="P201:U201" si="90">F201*P156</f>
        <v>7.59</v>
      </c>
      <c r="Q201" s="2900">
        <f t="shared" si="90"/>
        <v>331.6</v>
      </c>
      <c r="R201" s="2902">
        <f t="shared" si="90"/>
        <v>2.4000000000000004</v>
      </c>
      <c r="S201" s="2901">
        <f t="shared" si="90"/>
        <v>0.71500000000000008</v>
      </c>
      <c r="T201" s="2901">
        <f t="shared" si="90"/>
        <v>1.4500000000000002</v>
      </c>
      <c r="U201" s="2900">
        <f t="shared" si="90"/>
        <v>0.85000000000000009</v>
      </c>
      <c r="V201" s="2885">
        <f t="shared" si="84"/>
        <v>344.60499999999996</v>
      </c>
    </row>
    <row r="202" spans="1:22" ht="15.75">
      <c r="A202" s="2884"/>
      <c r="B202" s="2911"/>
      <c r="C202" s="2910" t="s">
        <v>6492</v>
      </c>
      <c r="D202" s="2910"/>
      <c r="E202" s="2922"/>
      <c r="F202" s="2905">
        <v>0.03</v>
      </c>
      <c r="G202" s="2905">
        <v>0.03</v>
      </c>
      <c r="H202" s="2908">
        <v>4.4999999999999998E-2</v>
      </c>
      <c r="I202" s="2907">
        <f t="shared" si="81"/>
        <v>4.9499999999999995E-2</v>
      </c>
      <c r="J202" s="2906">
        <v>0.05</v>
      </c>
      <c r="K202" s="2905">
        <v>0.05</v>
      </c>
      <c r="L202" s="2904">
        <v>10</v>
      </c>
      <c r="M202" s="2883"/>
      <c r="N202" s="2883"/>
      <c r="O202" s="2903" t="str">
        <f t="shared" si="82"/>
        <v>Pâté, terrine , mousse</v>
      </c>
      <c r="P202" s="2900">
        <f t="shared" ref="P202:U202" si="91">F202*P156</f>
        <v>7.59</v>
      </c>
      <c r="Q202" s="2900">
        <f t="shared" si="91"/>
        <v>24.869999999999997</v>
      </c>
      <c r="R202" s="2902">
        <f t="shared" si="91"/>
        <v>2.16</v>
      </c>
      <c r="S202" s="2901">
        <f t="shared" si="91"/>
        <v>0.64349999999999996</v>
      </c>
      <c r="T202" s="2901">
        <f t="shared" si="91"/>
        <v>1.4500000000000002</v>
      </c>
      <c r="U202" s="2900">
        <f t="shared" si="91"/>
        <v>0.85000000000000009</v>
      </c>
      <c r="V202" s="2885">
        <f t="shared" si="84"/>
        <v>37.563499999999998</v>
      </c>
    </row>
    <row r="203" spans="1:22" ht="15.75">
      <c r="A203" s="2884"/>
      <c r="B203" s="2911"/>
      <c r="C203" s="2910" t="s">
        <v>6491</v>
      </c>
      <c r="D203" s="2910"/>
      <c r="E203" s="2922"/>
      <c r="F203" s="2905">
        <v>4.4999999999999998E-2</v>
      </c>
      <c r="G203" s="2905">
        <v>4.4999999999999998E-2</v>
      </c>
      <c r="H203" s="2908">
        <v>6.5000000000000002E-2</v>
      </c>
      <c r="I203" s="2907">
        <f t="shared" si="81"/>
        <v>7.1500000000000008E-2</v>
      </c>
      <c r="J203" s="2906">
        <v>0.05</v>
      </c>
      <c r="K203" s="2905">
        <v>0.05</v>
      </c>
      <c r="L203" s="2904">
        <v>10</v>
      </c>
      <c r="M203" s="2883"/>
      <c r="N203" s="2883"/>
      <c r="O203" s="2903" t="str">
        <f t="shared" si="82"/>
        <v>Pâté en croûte</v>
      </c>
      <c r="P203" s="2900">
        <f t="shared" ref="P203:U203" si="92">F203*P156</f>
        <v>11.385</v>
      </c>
      <c r="Q203" s="2900">
        <f t="shared" si="92"/>
        <v>37.305</v>
      </c>
      <c r="R203" s="2902">
        <f t="shared" si="92"/>
        <v>3.12</v>
      </c>
      <c r="S203" s="2901">
        <f t="shared" si="92"/>
        <v>0.9295000000000001</v>
      </c>
      <c r="T203" s="2901">
        <f t="shared" si="92"/>
        <v>1.4500000000000002</v>
      </c>
      <c r="U203" s="2900">
        <f t="shared" si="92"/>
        <v>0.85000000000000009</v>
      </c>
      <c r="V203" s="2885">
        <f t="shared" si="84"/>
        <v>55.039499999999997</v>
      </c>
    </row>
    <row r="204" spans="1:22" ht="15.75">
      <c r="A204" s="2884"/>
      <c r="B204" s="2911"/>
      <c r="C204" s="2910" t="s">
        <v>6490</v>
      </c>
      <c r="D204" s="2910"/>
      <c r="E204" s="2922"/>
      <c r="F204" s="2905">
        <v>0.03</v>
      </c>
      <c r="G204" s="2905">
        <v>0.03</v>
      </c>
      <c r="H204" s="2908">
        <v>4.4999999999999998E-2</v>
      </c>
      <c r="I204" s="2907">
        <f t="shared" si="81"/>
        <v>4.9499999999999995E-2</v>
      </c>
      <c r="J204" s="2906">
        <v>0.05</v>
      </c>
      <c r="K204" s="2905">
        <v>0.05</v>
      </c>
      <c r="L204" s="2904">
        <v>10</v>
      </c>
      <c r="M204" s="2883"/>
      <c r="N204" s="2883"/>
      <c r="O204" s="2903" t="str">
        <f t="shared" si="82"/>
        <v>Rillettes</v>
      </c>
      <c r="P204" s="2900">
        <f t="shared" ref="P204:U204" si="93">F204*P156</f>
        <v>7.59</v>
      </c>
      <c r="Q204" s="2900">
        <f t="shared" si="93"/>
        <v>24.869999999999997</v>
      </c>
      <c r="R204" s="2902">
        <f t="shared" si="93"/>
        <v>2.16</v>
      </c>
      <c r="S204" s="2901">
        <f t="shared" si="93"/>
        <v>0.64349999999999996</v>
      </c>
      <c r="T204" s="2901">
        <f t="shared" si="93"/>
        <v>1.4500000000000002</v>
      </c>
      <c r="U204" s="2900">
        <f t="shared" si="93"/>
        <v>0.85000000000000009</v>
      </c>
      <c r="V204" s="2885">
        <f t="shared" si="84"/>
        <v>37.563499999999998</v>
      </c>
    </row>
    <row r="205" spans="1:22" ht="15.75">
      <c r="A205" s="2884"/>
      <c r="B205" s="2911"/>
      <c r="C205" s="2910" t="s">
        <v>6489</v>
      </c>
      <c r="D205" s="2910"/>
      <c r="E205" s="2922"/>
      <c r="F205" s="2905">
        <v>0.03</v>
      </c>
      <c r="G205" s="2905">
        <v>0.03</v>
      </c>
      <c r="H205" s="2908">
        <v>4.4999999999999998E-2</v>
      </c>
      <c r="I205" s="2907">
        <f t="shared" si="81"/>
        <v>4.9499999999999995E-2</v>
      </c>
      <c r="J205" s="2906">
        <v>0.05</v>
      </c>
      <c r="K205" s="2905">
        <v>0.05</v>
      </c>
      <c r="L205" s="2904">
        <v>10</v>
      </c>
      <c r="M205" s="2883"/>
      <c r="N205" s="2883"/>
      <c r="O205" s="2903" t="str">
        <f t="shared" si="82"/>
        <v>Salami – Saucisson – Mortadelle</v>
      </c>
      <c r="P205" s="2900">
        <f t="shared" ref="P205:U205" si="94">F205*P156</f>
        <v>7.59</v>
      </c>
      <c r="Q205" s="2900">
        <f t="shared" si="94"/>
        <v>24.869999999999997</v>
      </c>
      <c r="R205" s="2902">
        <f t="shared" si="94"/>
        <v>2.16</v>
      </c>
      <c r="S205" s="2901">
        <f t="shared" si="94"/>
        <v>0.64349999999999996</v>
      </c>
      <c r="T205" s="2901">
        <f t="shared" si="94"/>
        <v>1.4500000000000002</v>
      </c>
      <c r="U205" s="2900">
        <f t="shared" si="94"/>
        <v>0.85000000000000009</v>
      </c>
      <c r="V205" s="2885">
        <f t="shared" si="84"/>
        <v>37.563499999999998</v>
      </c>
    </row>
    <row r="206" spans="1:22">
      <c r="A206" s="2884"/>
      <c r="B206" s="2913"/>
      <c r="C206" s="2927"/>
      <c r="D206" s="2926"/>
      <c r="E206" s="2925"/>
      <c r="F206" s="2924">
        <v>0</v>
      </c>
      <c r="G206" s="2924">
        <v>0</v>
      </c>
      <c r="H206" s="2924">
        <v>0</v>
      </c>
      <c r="I206" s="2924">
        <v>0</v>
      </c>
      <c r="J206" s="2924">
        <v>0</v>
      </c>
      <c r="K206" s="2924">
        <v>0</v>
      </c>
      <c r="L206" s="2923">
        <v>0</v>
      </c>
      <c r="M206" s="2912"/>
      <c r="N206" s="2912"/>
      <c r="O206" s="2903">
        <f t="shared" si="82"/>
        <v>0</v>
      </c>
      <c r="P206" s="2900">
        <f t="shared" ref="P206:U206" si="95">F206*P156</f>
        <v>0</v>
      </c>
      <c r="Q206" s="2900">
        <f t="shared" si="95"/>
        <v>0</v>
      </c>
      <c r="R206" s="2902">
        <f t="shared" si="95"/>
        <v>0</v>
      </c>
      <c r="S206" s="2901">
        <f t="shared" si="95"/>
        <v>0</v>
      </c>
      <c r="T206" s="2901">
        <f t="shared" si="95"/>
        <v>0</v>
      </c>
      <c r="U206" s="2900">
        <f t="shared" si="95"/>
        <v>0</v>
      </c>
      <c r="V206" s="2885">
        <f t="shared" si="84"/>
        <v>0</v>
      </c>
    </row>
    <row r="207" spans="1:22" ht="15" customHeight="1">
      <c r="A207" s="2884"/>
      <c r="B207" s="2913"/>
      <c r="C207" s="4831" t="s">
        <v>6488</v>
      </c>
      <c r="D207" s="4831"/>
      <c r="E207" s="4831"/>
      <c r="F207" s="4831"/>
      <c r="G207" s="4831"/>
      <c r="H207" s="4831"/>
      <c r="I207" s="4831"/>
      <c r="J207" s="4831"/>
      <c r="K207" s="4831"/>
      <c r="L207" s="4832"/>
      <c r="M207" s="2912"/>
      <c r="N207" s="2912"/>
      <c r="O207" s="2882"/>
      <c r="P207" s="4835" t="str">
        <f>C207</f>
        <v>*- PREPARATIONS PATISSIERES SALEES</v>
      </c>
      <c r="Q207" s="4836"/>
      <c r="R207" s="4836"/>
      <c r="S207" s="4836"/>
      <c r="T207" s="4836"/>
      <c r="U207" s="4836"/>
      <c r="V207" s="4837"/>
    </row>
    <row r="208" spans="1:22" ht="15" customHeight="1">
      <c r="A208" s="2884"/>
      <c r="B208" s="2913"/>
      <c r="C208" s="4833"/>
      <c r="D208" s="4833"/>
      <c r="E208" s="4833"/>
      <c r="F208" s="4833"/>
      <c r="G208" s="4833"/>
      <c r="H208" s="4833"/>
      <c r="I208" s="4833"/>
      <c r="J208" s="4833"/>
      <c r="K208" s="4833"/>
      <c r="L208" s="4834"/>
      <c r="M208" s="2912"/>
      <c r="N208" s="2912"/>
      <c r="O208" s="2882"/>
      <c r="P208" s="4838"/>
      <c r="Q208" s="4839"/>
      <c r="R208" s="4839"/>
      <c r="S208" s="4839"/>
      <c r="T208" s="4839"/>
      <c r="U208" s="4839"/>
      <c r="V208" s="4840"/>
    </row>
    <row r="209" spans="1:22" ht="15.75">
      <c r="A209" s="2884"/>
      <c r="B209" s="2911"/>
      <c r="C209" s="2910" t="s">
        <v>6487</v>
      </c>
      <c r="D209" s="2910"/>
      <c r="E209" s="2922"/>
      <c r="F209" s="2905">
        <v>0.05</v>
      </c>
      <c r="G209" s="2905">
        <v>0.05</v>
      </c>
      <c r="H209" s="2908">
        <v>0.1</v>
      </c>
      <c r="I209" s="2907">
        <f t="shared" ref="I209:I214" si="96">(H209*L209%)+H209</f>
        <v>0.11000000000000001</v>
      </c>
      <c r="J209" s="2906">
        <v>0.05</v>
      </c>
      <c r="K209" s="2905">
        <v>0.05</v>
      </c>
      <c r="L209" s="2904">
        <v>10</v>
      </c>
      <c r="M209" s="2883"/>
      <c r="N209" s="2883"/>
      <c r="O209" s="2903" t="str">
        <f t="shared" ref="O209:O214" si="97">C209</f>
        <v>Nems</v>
      </c>
      <c r="P209" s="2900">
        <f t="shared" ref="P209:U209" si="98">F209*P156</f>
        <v>12.65</v>
      </c>
      <c r="Q209" s="2900">
        <f t="shared" si="98"/>
        <v>41.45</v>
      </c>
      <c r="R209" s="2902">
        <f t="shared" si="98"/>
        <v>4.8000000000000007</v>
      </c>
      <c r="S209" s="2901">
        <f t="shared" si="98"/>
        <v>1.4300000000000002</v>
      </c>
      <c r="T209" s="2901">
        <f t="shared" si="98"/>
        <v>1.4500000000000002</v>
      </c>
      <c r="U209" s="2900">
        <f t="shared" si="98"/>
        <v>0.85000000000000009</v>
      </c>
      <c r="V209" s="2885">
        <f t="shared" ref="V209:V214" si="99">SUM(P209:U209)</f>
        <v>62.63000000000001</v>
      </c>
    </row>
    <row r="210" spans="1:22" ht="15.75">
      <c r="A210" s="2884"/>
      <c r="B210" s="2911"/>
      <c r="C210" s="2910" t="s">
        <v>4354</v>
      </c>
      <c r="D210" s="2910"/>
      <c r="E210" s="2922"/>
      <c r="F210" s="2905">
        <v>0.05</v>
      </c>
      <c r="G210" s="2905">
        <v>0.05</v>
      </c>
      <c r="H210" s="2908">
        <v>0.1</v>
      </c>
      <c r="I210" s="2907">
        <f t="shared" si="96"/>
        <v>0.11000000000000001</v>
      </c>
      <c r="J210" s="2906">
        <v>0.05</v>
      </c>
      <c r="K210" s="2905">
        <v>0.05</v>
      </c>
      <c r="L210" s="2904">
        <v>10</v>
      </c>
      <c r="M210" s="2883"/>
      <c r="N210" s="2883"/>
      <c r="O210" s="2903" t="str">
        <f t="shared" si="97"/>
        <v>Crêpes</v>
      </c>
      <c r="P210" s="2900">
        <f t="shared" ref="P210:U210" si="100">F210*P156</f>
        <v>12.65</v>
      </c>
      <c r="Q210" s="2900">
        <f t="shared" si="100"/>
        <v>41.45</v>
      </c>
      <c r="R210" s="2902">
        <f t="shared" si="100"/>
        <v>4.8000000000000007</v>
      </c>
      <c r="S210" s="2901">
        <f t="shared" si="100"/>
        <v>1.4300000000000002</v>
      </c>
      <c r="T210" s="2901">
        <f t="shared" si="100"/>
        <v>1.4500000000000002</v>
      </c>
      <c r="U210" s="2900">
        <f t="shared" si="100"/>
        <v>0.85000000000000009</v>
      </c>
      <c r="V210" s="2885">
        <f t="shared" si="99"/>
        <v>62.63000000000001</v>
      </c>
    </row>
    <row r="211" spans="1:22" ht="15.75">
      <c r="A211" s="2884"/>
      <c r="B211" s="2911"/>
      <c r="C211" s="2910" t="s">
        <v>6486</v>
      </c>
      <c r="D211" s="2910"/>
      <c r="E211" s="2922"/>
      <c r="F211" s="2905">
        <v>6.5000000000000002E-2</v>
      </c>
      <c r="G211" s="2905">
        <v>6.5000000000000002E-2</v>
      </c>
      <c r="H211" s="2908">
        <v>0.1</v>
      </c>
      <c r="I211" s="2907">
        <f t="shared" si="96"/>
        <v>0.11000000000000001</v>
      </c>
      <c r="J211" s="2906">
        <v>7.0000000000000007E-2</v>
      </c>
      <c r="K211" s="2905">
        <v>7.0000000000000007E-2</v>
      </c>
      <c r="L211" s="2904">
        <v>10</v>
      </c>
      <c r="M211" s="2883"/>
      <c r="N211" s="2883"/>
      <c r="O211" s="2903" t="str">
        <f t="shared" si="97"/>
        <v>Friand, feuilleté</v>
      </c>
      <c r="P211" s="2900">
        <f t="shared" ref="P211:U211" si="101">F211*P156</f>
        <v>16.445</v>
      </c>
      <c r="Q211" s="2900">
        <f t="shared" si="101"/>
        <v>53.885000000000005</v>
      </c>
      <c r="R211" s="2902">
        <f t="shared" si="101"/>
        <v>4.8000000000000007</v>
      </c>
      <c r="S211" s="2901">
        <f t="shared" si="101"/>
        <v>1.4300000000000002</v>
      </c>
      <c r="T211" s="2901">
        <f t="shared" si="101"/>
        <v>2.0300000000000002</v>
      </c>
      <c r="U211" s="2900">
        <f t="shared" si="101"/>
        <v>1.1900000000000002</v>
      </c>
      <c r="V211" s="2885">
        <f t="shared" si="99"/>
        <v>79.780000000000015</v>
      </c>
    </row>
    <row r="212" spans="1:22" ht="15.75">
      <c r="A212" s="2884"/>
      <c r="B212" s="2911"/>
      <c r="C212" s="2910" t="s">
        <v>6485</v>
      </c>
      <c r="D212" s="2910"/>
      <c r="E212" s="2922"/>
      <c r="F212" s="2905">
        <v>7.0000000000000007E-2</v>
      </c>
      <c r="G212" s="2905">
        <v>7.0000000000000007E-2</v>
      </c>
      <c r="H212" s="2908">
        <v>0.09</v>
      </c>
      <c r="I212" s="2907">
        <f t="shared" si="96"/>
        <v>9.8999999999999991E-2</v>
      </c>
      <c r="J212" s="2906">
        <v>7.0000000000000007E-2</v>
      </c>
      <c r="K212" s="2905">
        <v>7.0000000000000007E-2</v>
      </c>
      <c r="L212" s="2904">
        <v>10</v>
      </c>
      <c r="M212" s="2883"/>
      <c r="N212" s="2883"/>
      <c r="O212" s="2903" t="str">
        <f t="shared" si="97"/>
        <v>Pizza</v>
      </c>
      <c r="P212" s="2900">
        <f t="shared" ref="P212:U212" si="102">F212*P156</f>
        <v>17.71</v>
      </c>
      <c r="Q212" s="2900">
        <f t="shared" si="102"/>
        <v>58.030000000000008</v>
      </c>
      <c r="R212" s="2902">
        <f t="shared" si="102"/>
        <v>4.32</v>
      </c>
      <c r="S212" s="2901">
        <f t="shared" si="102"/>
        <v>1.2869999999999999</v>
      </c>
      <c r="T212" s="2901">
        <f t="shared" si="102"/>
        <v>2.0300000000000002</v>
      </c>
      <c r="U212" s="2900">
        <f t="shared" si="102"/>
        <v>1.1900000000000002</v>
      </c>
      <c r="V212" s="2885">
        <f t="shared" si="99"/>
        <v>84.567000000000007</v>
      </c>
    </row>
    <row r="213" spans="1:22" ht="15.75">
      <c r="A213" s="2884"/>
      <c r="B213" s="2911"/>
      <c r="C213" s="2910" t="s">
        <v>6484</v>
      </c>
      <c r="D213" s="2910"/>
      <c r="E213" s="2922"/>
      <c r="F213" s="2905">
        <v>7.0000000000000007E-2</v>
      </c>
      <c r="G213" s="2905">
        <v>7.0000000000000007E-2</v>
      </c>
      <c r="H213" s="2908">
        <v>0.09</v>
      </c>
      <c r="I213" s="2907">
        <f t="shared" si="96"/>
        <v>9.8999999999999991E-2</v>
      </c>
      <c r="J213" s="2906">
        <v>7.0000000000000007E-2</v>
      </c>
      <c r="K213" s="2905">
        <v>7.0000000000000007E-2</v>
      </c>
      <c r="L213" s="2904">
        <v>10</v>
      </c>
      <c r="M213" s="2883"/>
      <c r="N213" s="2883"/>
      <c r="O213" s="2903" t="str">
        <f t="shared" si="97"/>
        <v>Tarte salée</v>
      </c>
      <c r="P213" s="2900">
        <f t="shared" ref="P213:U213" si="103">F213*P156</f>
        <v>17.71</v>
      </c>
      <c r="Q213" s="2900">
        <f t="shared" si="103"/>
        <v>58.030000000000008</v>
      </c>
      <c r="R213" s="2902">
        <f t="shared" si="103"/>
        <v>4.32</v>
      </c>
      <c r="S213" s="2901">
        <f t="shared" si="103"/>
        <v>1.2869999999999999</v>
      </c>
      <c r="T213" s="2901">
        <f t="shared" si="103"/>
        <v>2.0300000000000002</v>
      </c>
      <c r="U213" s="2900">
        <f t="shared" si="103"/>
        <v>1.1900000000000002</v>
      </c>
      <c r="V213" s="2885">
        <f t="shared" si="99"/>
        <v>84.567000000000007</v>
      </c>
    </row>
    <row r="214" spans="1:22" ht="15.75">
      <c r="A214" s="2884"/>
      <c r="B214" s="2913"/>
      <c r="C214" s="2910" t="s">
        <v>6483</v>
      </c>
      <c r="D214" s="2910"/>
      <c r="E214" s="2922"/>
      <c r="F214" s="2905">
        <v>5.0000000000000001E-3</v>
      </c>
      <c r="G214" s="2905">
        <v>7.0000000000000001E-3</v>
      </c>
      <c r="H214" s="2908">
        <v>8.0000000000000002E-3</v>
      </c>
      <c r="I214" s="2907">
        <f t="shared" si="96"/>
        <v>8.8000000000000005E-3</v>
      </c>
      <c r="J214" s="2906">
        <v>8.0000000000000002E-3</v>
      </c>
      <c r="K214" s="2905">
        <v>8.0000000000000002E-3</v>
      </c>
      <c r="L214" s="2904">
        <v>10</v>
      </c>
      <c r="M214" s="2883"/>
      <c r="N214" s="2883"/>
      <c r="O214" s="2903" t="str">
        <f t="shared" si="97"/>
        <v>ASSAISONNEMENT HORS D'OEUVRE(poids de la matière grasse)</v>
      </c>
      <c r="P214" s="2900">
        <f t="shared" ref="P214:U214" si="104">F214*P156</f>
        <v>1.2650000000000001</v>
      </c>
      <c r="Q214" s="2900">
        <f t="shared" si="104"/>
        <v>5.8029999999999999</v>
      </c>
      <c r="R214" s="2902">
        <f t="shared" si="104"/>
        <v>0.38400000000000001</v>
      </c>
      <c r="S214" s="2901">
        <f t="shared" si="104"/>
        <v>0.1144</v>
      </c>
      <c r="T214" s="2901">
        <f t="shared" si="104"/>
        <v>0.23200000000000001</v>
      </c>
      <c r="U214" s="2900">
        <f t="shared" si="104"/>
        <v>0.13600000000000001</v>
      </c>
      <c r="V214" s="2885">
        <f t="shared" si="99"/>
        <v>7.9344000000000001</v>
      </c>
    </row>
    <row r="215" spans="1:22" ht="15" customHeight="1">
      <c r="A215" s="2884"/>
      <c r="B215" s="2913"/>
      <c r="C215" s="4831" t="s">
        <v>6482</v>
      </c>
      <c r="D215" s="4831"/>
      <c r="E215" s="4831"/>
      <c r="F215" s="4831"/>
      <c r="G215" s="4831"/>
      <c r="H215" s="4831"/>
      <c r="I215" s="4831"/>
      <c r="J215" s="4831"/>
      <c r="K215" s="4831"/>
      <c r="L215" s="4832"/>
      <c r="M215" s="2912"/>
      <c r="N215" s="2912"/>
      <c r="O215" s="2882"/>
      <c r="P215" s="4835" t="str">
        <f>C215</f>
        <v>*- VIANDES SANS SAUCE</v>
      </c>
      <c r="Q215" s="4836"/>
      <c r="R215" s="4836"/>
      <c r="S215" s="4836"/>
      <c r="T215" s="4836"/>
      <c r="U215" s="4836"/>
      <c r="V215" s="4837"/>
    </row>
    <row r="216" spans="1:22" ht="15" customHeight="1">
      <c r="A216" s="2884"/>
      <c r="B216" s="2913"/>
      <c r="C216" s="4833"/>
      <c r="D216" s="4833"/>
      <c r="E216" s="4833"/>
      <c r="F216" s="4833"/>
      <c r="G216" s="4833"/>
      <c r="H216" s="4833"/>
      <c r="I216" s="4833"/>
      <c r="J216" s="4833"/>
      <c r="K216" s="4833"/>
      <c r="L216" s="4834"/>
      <c r="M216" s="2912"/>
      <c r="N216" s="2912"/>
      <c r="O216" s="2882"/>
      <c r="P216" s="4838"/>
      <c r="Q216" s="4839"/>
      <c r="R216" s="4839"/>
      <c r="S216" s="4839"/>
      <c r="T216" s="4839"/>
      <c r="U216" s="4839"/>
      <c r="V216" s="4840"/>
    </row>
    <row r="217" spans="1:22" ht="15" customHeight="1">
      <c r="A217" s="2884"/>
      <c r="B217" s="2913"/>
      <c r="C217" s="4833" t="s">
        <v>6481</v>
      </c>
      <c r="D217" s="4833"/>
      <c r="E217" s="4833"/>
      <c r="F217" s="4833"/>
      <c r="G217" s="4833"/>
      <c r="H217" s="4833"/>
      <c r="I217" s="4833"/>
      <c r="J217" s="4833"/>
      <c r="K217" s="4833"/>
      <c r="L217" s="4834"/>
      <c r="M217" s="2912"/>
      <c r="N217" s="2912"/>
      <c r="O217" s="2882"/>
      <c r="P217" s="4835" t="str">
        <f>C217</f>
        <v>BŒUF</v>
      </c>
      <c r="Q217" s="4836"/>
      <c r="R217" s="4836"/>
      <c r="S217" s="4836"/>
      <c r="T217" s="4836"/>
      <c r="U217" s="4836"/>
      <c r="V217" s="4837"/>
    </row>
    <row r="218" spans="1:22" ht="15" customHeight="1">
      <c r="A218" s="2884"/>
      <c r="B218" s="2913"/>
      <c r="C218" s="4833"/>
      <c r="D218" s="4833"/>
      <c r="E218" s="4833"/>
      <c r="F218" s="4833"/>
      <c r="G218" s="4833"/>
      <c r="H218" s="4833"/>
      <c r="I218" s="4833"/>
      <c r="J218" s="4833"/>
      <c r="K218" s="4833"/>
      <c r="L218" s="4834"/>
      <c r="M218" s="2912"/>
      <c r="N218" s="2912"/>
      <c r="O218" s="2882"/>
      <c r="P218" s="4838"/>
      <c r="Q218" s="4839"/>
      <c r="R218" s="4839"/>
      <c r="S218" s="4839"/>
      <c r="T218" s="4839"/>
      <c r="U218" s="4839"/>
      <c r="V218" s="4840"/>
    </row>
    <row r="219" spans="1:22" ht="15.75">
      <c r="A219" s="2884"/>
      <c r="B219" s="2911"/>
      <c r="C219" s="2910" t="s">
        <v>6480</v>
      </c>
      <c r="D219" s="2910"/>
      <c r="E219" s="2922"/>
      <c r="F219" s="2905">
        <v>0.05</v>
      </c>
      <c r="G219" s="2905">
        <v>7.0000000000000007E-2</v>
      </c>
      <c r="H219" s="2908">
        <v>0.11</v>
      </c>
      <c r="I219" s="2907">
        <f t="shared" ref="I219:I225" si="105">(H219*L219%)+H219</f>
        <v>0.121</v>
      </c>
      <c r="J219" s="2906">
        <v>0.1</v>
      </c>
      <c r="K219" s="2905">
        <v>7.0000000000000007E-2</v>
      </c>
      <c r="L219" s="2904">
        <v>10</v>
      </c>
      <c r="M219" s="2883"/>
      <c r="N219" s="2883"/>
      <c r="O219" s="2903" t="str">
        <f t="shared" ref="O219:O225" si="106">C219</f>
        <v>Bœuf braisé, bœuf sauté, bouilli de bœuf</v>
      </c>
      <c r="P219" s="2900">
        <f t="shared" ref="P219:U219" si="107">F219*P156</f>
        <v>12.65</v>
      </c>
      <c r="Q219" s="2900">
        <f t="shared" si="107"/>
        <v>58.030000000000008</v>
      </c>
      <c r="R219" s="2902">
        <f t="shared" si="107"/>
        <v>5.28</v>
      </c>
      <c r="S219" s="2901">
        <f t="shared" si="107"/>
        <v>1.573</v>
      </c>
      <c r="T219" s="2901">
        <f t="shared" si="107"/>
        <v>2.9000000000000004</v>
      </c>
      <c r="U219" s="2900">
        <f t="shared" si="107"/>
        <v>1.1900000000000002</v>
      </c>
      <c r="V219" s="2885">
        <f t="shared" ref="V219:V225" si="108">SUM(P219:U219)</f>
        <v>81.623000000000005</v>
      </c>
    </row>
    <row r="220" spans="1:22" ht="15.75">
      <c r="A220" s="2884"/>
      <c r="B220" s="2911"/>
      <c r="C220" s="2910" t="s">
        <v>6479</v>
      </c>
      <c r="D220" s="2910"/>
      <c r="E220" s="2922"/>
      <c r="F220" s="2905">
        <v>0.04</v>
      </c>
      <c r="G220" s="2905">
        <v>0.06</v>
      </c>
      <c r="H220" s="2908">
        <v>0.09</v>
      </c>
      <c r="I220" s="2907">
        <f t="shared" si="105"/>
        <v>9.8999999999999991E-2</v>
      </c>
      <c r="J220" s="2906">
        <v>0.08</v>
      </c>
      <c r="K220" s="2905">
        <v>0.06</v>
      </c>
      <c r="L220" s="2904">
        <v>10</v>
      </c>
      <c r="M220" s="2883"/>
      <c r="N220" s="2883"/>
      <c r="O220" s="2903" t="str">
        <f t="shared" si="106"/>
        <v>Rôti de bœuf, steak</v>
      </c>
      <c r="P220" s="2900">
        <f t="shared" ref="P220:U220" si="109">F220*P156</f>
        <v>10.120000000000001</v>
      </c>
      <c r="Q220" s="2900">
        <f t="shared" si="109"/>
        <v>49.739999999999995</v>
      </c>
      <c r="R220" s="2902">
        <f t="shared" si="109"/>
        <v>4.32</v>
      </c>
      <c r="S220" s="2901">
        <f t="shared" si="109"/>
        <v>1.2869999999999999</v>
      </c>
      <c r="T220" s="2901">
        <f t="shared" si="109"/>
        <v>2.3199999999999998</v>
      </c>
      <c r="U220" s="2900">
        <f t="shared" si="109"/>
        <v>1.02</v>
      </c>
      <c r="V220" s="2885">
        <f t="shared" si="108"/>
        <v>68.807000000000002</v>
      </c>
    </row>
    <row r="221" spans="1:22" ht="15.75">
      <c r="A221" s="2884"/>
      <c r="B221" s="2911"/>
      <c r="C221" s="2910" t="s">
        <v>6478</v>
      </c>
      <c r="D221" s="2910"/>
      <c r="E221" s="2922"/>
      <c r="F221" s="2905">
        <v>0.05</v>
      </c>
      <c r="G221" s="2905">
        <v>7.0000000000000007E-2</v>
      </c>
      <c r="H221" s="2908">
        <v>0.1</v>
      </c>
      <c r="I221" s="2907">
        <f t="shared" si="105"/>
        <v>0.11000000000000001</v>
      </c>
      <c r="J221" s="2906">
        <v>0.1</v>
      </c>
      <c r="K221" s="2905">
        <v>7.0000000000000007E-2</v>
      </c>
      <c r="L221" s="2904">
        <v>10</v>
      </c>
      <c r="M221" s="2883"/>
      <c r="N221" s="2883"/>
      <c r="O221" s="2903" t="str">
        <f t="shared" si="106"/>
        <v>Steak haché</v>
      </c>
      <c r="P221" s="2900">
        <f t="shared" ref="P221:U221" si="110">F221*P156</f>
        <v>12.65</v>
      </c>
      <c r="Q221" s="2900">
        <f t="shared" si="110"/>
        <v>58.030000000000008</v>
      </c>
      <c r="R221" s="2902">
        <f t="shared" si="110"/>
        <v>4.8000000000000007</v>
      </c>
      <c r="S221" s="2901">
        <f t="shared" si="110"/>
        <v>1.4300000000000002</v>
      </c>
      <c r="T221" s="2901">
        <f t="shared" si="110"/>
        <v>2.9000000000000004</v>
      </c>
      <c r="U221" s="2900">
        <f t="shared" si="110"/>
        <v>1.1900000000000002</v>
      </c>
      <c r="V221" s="2885">
        <f t="shared" si="108"/>
        <v>81.000000000000014</v>
      </c>
    </row>
    <row r="222" spans="1:22" ht="15.75">
      <c r="A222" s="2884"/>
      <c r="B222" s="2911"/>
      <c r="C222" s="2910" t="s">
        <v>6477</v>
      </c>
      <c r="D222" s="2910"/>
      <c r="E222" s="2922"/>
      <c r="F222" s="2905">
        <v>0.05</v>
      </c>
      <c r="G222" s="2905">
        <v>7.0000000000000007E-2</v>
      </c>
      <c r="H222" s="2908">
        <v>0.1</v>
      </c>
      <c r="I222" s="2907">
        <f t="shared" si="105"/>
        <v>0.11000000000000001</v>
      </c>
      <c r="J222" s="2906">
        <v>0.1</v>
      </c>
      <c r="K222" s="2905">
        <v>7.0000000000000007E-2</v>
      </c>
      <c r="L222" s="2904">
        <v>10</v>
      </c>
      <c r="M222" s="2883"/>
      <c r="N222" s="2883"/>
      <c r="O222" s="2903" t="str">
        <f t="shared" si="106"/>
        <v>Hamburger</v>
      </c>
      <c r="P222" s="2900">
        <f t="shared" ref="P222:U222" si="111">F222*P156</f>
        <v>12.65</v>
      </c>
      <c r="Q222" s="2900">
        <f t="shared" si="111"/>
        <v>58.030000000000008</v>
      </c>
      <c r="R222" s="2902">
        <f t="shared" si="111"/>
        <v>4.8000000000000007</v>
      </c>
      <c r="S222" s="2901">
        <f t="shared" si="111"/>
        <v>1.4300000000000002</v>
      </c>
      <c r="T222" s="2901">
        <f t="shared" si="111"/>
        <v>2.9000000000000004</v>
      </c>
      <c r="U222" s="2900">
        <f t="shared" si="111"/>
        <v>1.1900000000000002</v>
      </c>
      <c r="V222" s="2885">
        <f t="shared" si="108"/>
        <v>81.000000000000014</v>
      </c>
    </row>
    <row r="223" spans="1:22" ht="15.75">
      <c r="A223" s="2884"/>
      <c r="B223" s="2911"/>
      <c r="C223" s="2910" t="s">
        <v>6476</v>
      </c>
      <c r="D223" s="2910"/>
      <c r="E223" s="2922"/>
      <c r="F223" s="2905">
        <v>2</v>
      </c>
      <c r="G223" s="2905">
        <v>3</v>
      </c>
      <c r="H223" s="2908">
        <v>4.5</v>
      </c>
      <c r="I223" s="2907">
        <f t="shared" si="105"/>
        <v>4.95</v>
      </c>
      <c r="J223" s="2906">
        <v>4</v>
      </c>
      <c r="K223" s="2905">
        <v>3</v>
      </c>
      <c r="L223" s="2904">
        <v>10</v>
      </c>
      <c r="M223" s="2883"/>
      <c r="N223" s="2883"/>
      <c r="O223" s="2920" t="str">
        <f t="shared" si="106"/>
        <v>Boulettes de bœuf de 30g pièce crues (à l'unité)</v>
      </c>
      <c r="P223" s="2917">
        <f t="shared" ref="P223:U223" si="112">F223*P156</f>
        <v>506</v>
      </c>
      <c r="Q223" s="2917">
        <f t="shared" si="112"/>
        <v>2487</v>
      </c>
      <c r="R223" s="2919">
        <f t="shared" si="112"/>
        <v>216</v>
      </c>
      <c r="S223" s="2918">
        <f t="shared" si="112"/>
        <v>64.350000000000009</v>
      </c>
      <c r="T223" s="2918">
        <f t="shared" si="112"/>
        <v>116</v>
      </c>
      <c r="U223" s="2917">
        <f t="shared" si="112"/>
        <v>51</v>
      </c>
      <c r="V223" s="2885">
        <f t="shared" si="108"/>
        <v>3440.35</v>
      </c>
    </row>
    <row r="224" spans="1:22" ht="15.75">
      <c r="A224" s="2884"/>
      <c r="B224" s="2911"/>
      <c r="C224" s="2910" t="s">
        <v>6475</v>
      </c>
      <c r="D224" s="2910"/>
      <c r="E224" s="2922"/>
      <c r="F224" s="2905">
        <v>0.06</v>
      </c>
      <c r="G224" s="2905">
        <v>0.09</v>
      </c>
      <c r="H224" s="2908">
        <v>0.13500000000000001</v>
      </c>
      <c r="I224" s="2907">
        <f t="shared" si="105"/>
        <v>0.14850000000000002</v>
      </c>
      <c r="J224" s="2906">
        <v>0.12</v>
      </c>
      <c r="K224" s="2905">
        <v>0.09</v>
      </c>
      <c r="L224" s="2904">
        <v>10</v>
      </c>
      <c r="M224" s="2883"/>
      <c r="N224" s="2883"/>
      <c r="O224" s="2903" t="str">
        <f t="shared" si="106"/>
        <v>Boulettes de bœuf de 30g pièce crues (au poids)</v>
      </c>
      <c r="P224" s="2900">
        <f t="shared" ref="P224:U224" si="113">F224*P156</f>
        <v>15.18</v>
      </c>
      <c r="Q224" s="2900">
        <f t="shared" si="113"/>
        <v>74.61</v>
      </c>
      <c r="R224" s="2902">
        <f t="shared" si="113"/>
        <v>6.48</v>
      </c>
      <c r="S224" s="2901">
        <f t="shared" si="113"/>
        <v>1.9305000000000003</v>
      </c>
      <c r="T224" s="2901">
        <f t="shared" si="113"/>
        <v>3.48</v>
      </c>
      <c r="U224" s="2900">
        <f t="shared" si="113"/>
        <v>1.53</v>
      </c>
      <c r="V224" s="2885">
        <f t="shared" si="108"/>
        <v>103.2105</v>
      </c>
    </row>
    <row r="225" spans="1:22" ht="15.75">
      <c r="A225" s="2884"/>
      <c r="B225" s="2911"/>
      <c r="C225" s="2915" t="s">
        <v>6474</v>
      </c>
      <c r="D225" s="2915"/>
      <c r="E225" s="2921"/>
      <c r="F225" s="2905">
        <v>0.05</v>
      </c>
      <c r="G225" s="2905">
        <v>7.0000000000000007E-2</v>
      </c>
      <c r="H225" s="2908">
        <v>0.09</v>
      </c>
      <c r="I225" s="2907">
        <f t="shared" si="105"/>
        <v>9.8999999999999991E-2</v>
      </c>
      <c r="J225" s="2906">
        <v>0.1</v>
      </c>
      <c r="K225" s="2905">
        <v>7.0000000000000007E-2</v>
      </c>
      <c r="L225" s="2904">
        <v>10</v>
      </c>
      <c r="M225" s="2883"/>
      <c r="N225" s="2883"/>
      <c r="O225" s="2903" t="str">
        <f t="shared" si="106"/>
        <v>Bolognaise viande</v>
      </c>
      <c r="P225" s="2900">
        <f t="shared" ref="P225:U225" si="114">F225*P156</f>
        <v>12.65</v>
      </c>
      <c r="Q225" s="2900">
        <f t="shared" si="114"/>
        <v>58.030000000000008</v>
      </c>
      <c r="R225" s="2902">
        <f t="shared" si="114"/>
        <v>4.32</v>
      </c>
      <c r="S225" s="2901">
        <f t="shared" si="114"/>
        <v>1.2869999999999999</v>
      </c>
      <c r="T225" s="2901">
        <f t="shared" si="114"/>
        <v>2.9000000000000004</v>
      </c>
      <c r="U225" s="2900">
        <f t="shared" si="114"/>
        <v>1.1900000000000002</v>
      </c>
      <c r="V225" s="2885">
        <f t="shared" si="108"/>
        <v>80.37700000000001</v>
      </c>
    </row>
    <row r="226" spans="1:22" ht="15" customHeight="1">
      <c r="A226" s="2884"/>
      <c r="B226" s="2913"/>
      <c r="C226" s="4831" t="s">
        <v>6473</v>
      </c>
      <c r="D226" s="4831"/>
      <c r="E226" s="4831"/>
      <c r="F226" s="4831"/>
      <c r="G226" s="4831"/>
      <c r="H226" s="4831"/>
      <c r="I226" s="4831"/>
      <c r="J226" s="4831"/>
      <c r="K226" s="4831"/>
      <c r="L226" s="4832"/>
      <c r="M226" s="2912"/>
      <c r="N226" s="2912"/>
      <c r="O226" s="2882"/>
      <c r="P226" s="4835" t="str">
        <f>C226</f>
        <v>VEAU</v>
      </c>
      <c r="Q226" s="4836"/>
      <c r="R226" s="4836"/>
      <c r="S226" s="4836"/>
      <c r="T226" s="4836"/>
      <c r="U226" s="4836"/>
      <c r="V226" s="4837"/>
    </row>
    <row r="227" spans="1:22" ht="15" customHeight="1">
      <c r="A227" s="2884"/>
      <c r="B227" s="2913"/>
      <c r="C227" s="4833"/>
      <c r="D227" s="4833"/>
      <c r="E227" s="4833"/>
      <c r="F227" s="4833"/>
      <c r="G227" s="4833"/>
      <c r="H227" s="4833"/>
      <c r="I227" s="4833"/>
      <c r="J227" s="4833"/>
      <c r="K227" s="4833"/>
      <c r="L227" s="4834"/>
      <c r="M227" s="2912"/>
      <c r="N227" s="2912"/>
      <c r="O227" s="2882"/>
      <c r="P227" s="4838"/>
      <c r="Q227" s="4839"/>
      <c r="R227" s="4839"/>
      <c r="S227" s="4839"/>
      <c r="T227" s="4839"/>
      <c r="U227" s="4839"/>
      <c r="V227" s="4840"/>
    </row>
    <row r="228" spans="1:22" ht="15.75">
      <c r="A228" s="2884"/>
      <c r="B228" s="2911"/>
      <c r="C228" s="2910" t="s">
        <v>6472</v>
      </c>
      <c r="D228" s="2910"/>
      <c r="E228" s="2922"/>
      <c r="F228" s="2905">
        <v>0.05</v>
      </c>
      <c r="G228" s="2905">
        <v>7.0000000000000007E-2</v>
      </c>
      <c r="H228" s="2908">
        <v>0.11</v>
      </c>
      <c r="I228" s="2907">
        <f>(H228*L228%)+H228</f>
        <v>0.121</v>
      </c>
      <c r="J228" s="2906">
        <v>0.1</v>
      </c>
      <c r="K228" s="2905">
        <v>7.0000000000000007E-2</v>
      </c>
      <c r="L228" s="2904">
        <v>10</v>
      </c>
      <c r="M228" s="2883"/>
      <c r="N228" s="2883"/>
      <c r="O228" s="2903" t="str">
        <f>C228</f>
        <v>Sauté de veau ou blanquette (sans os)</v>
      </c>
      <c r="P228" s="2900">
        <f t="shared" ref="P228:U228" si="115">F228*P156</f>
        <v>12.65</v>
      </c>
      <c r="Q228" s="2900">
        <f t="shared" si="115"/>
        <v>58.030000000000008</v>
      </c>
      <c r="R228" s="2902">
        <f t="shared" si="115"/>
        <v>5.28</v>
      </c>
      <c r="S228" s="2901">
        <f t="shared" si="115"/>
        <v>1.573</v>
      </c>
      <c r="T228" s="2901">
        <f t="shared" si="115"/>
        <v>2.9000000000000004</v>
      </c>
      <c r="U228" s="2900">
        <f t="shared" si="115"/>
        <v>1.1900000000000002</v>
      </c>
      <c r="V228" s="2885">
        <f>SUM(P228:U228)</f>
        <v>81.623000000000005</v>
      </c>
    </row>
    <row r="229" spans="1:22" ht="15.75">
      <c r="A229" s="2884"/>
      <c r="B229" s="2911"/>
      <c r="C229" s="2910" t="s">
        <v>6471</v>
      </c>
      <c r="D229" s="2910"/>
      <c r="E229" s="2922"/>
      <c r="F229" s="2905">
        <v>0.04</v>
      </c>
      <c r="G229" s="2905">
        <v>0.06</v>
      </c>
      <c r="H229" s="2908">
        <v>0.09</v>
      </c>
      <c r="I229" s="2907">
        <f>(H229*L229%)+H229</f>
        <v>9.8999999999999991E-2</v>
      </c>
      <c r="J229" s="2906">
        <v>0.1</v>
      </c>
      <c r="K229" s="2905">
        <v>7.0000000000000007E-2</v>
      </c>
      <c r="L229" s="2904">
        <v>10</v>
      </c>
      <c r="M229" s="2883"/>
      <c r="N229" s="2883"/>
      <c r="O229" s="2903" t="str">
        <f>C229</f>
        <v>Escalope de veau, rôti de veau</v>
      </c>
      <c r="P229" s="2900">
        <f t="shared" ref="P229:U229" si="116">F229*P156</f>
        <v>10.120000000000001</v>
      </c>
      <c r="Q229" s="2900">
        <f t="shared" si="116"/>
        <v>49.739999999999995</v>
      </c>
      <c r="R229" s="2902">
        <f t="shared" si="116"/>
        <v>4.32</v>
      </c>
      <c r="S229" s="2901">
        <f t="shared" si="116"/>
        <v>1.2869999999999999</v>
      </c>
      <c r="T229" s="2901">
        <f t="shared" si="116"/>
        <v>2.9000000000000004</v>
      </c>
      <c r="U229" s="2900">
        <f t="shared" si="116"/>
        <v>1.1900000000000002</v>
      </c>
      <c r="V229" s="2885">
        <f>SUM(P229:U229)</f>
        <v>69.557000000000016</v>
      </c>
    </row>
    <row r="230" spans="1:22" ht="15.75">
      <c r="A230" s="2884"/>
      <c r="B230" s="2911"/>
      <c r="C230" s="2910" t="s">
        <v>6470</v>
      </c>
      <c r="D230" s="2910"/>
      <c r="E230" s="2922"/>
      <c r="F230" s="2905">
        <v>0.05</v>
      </c>
      <c r="G230" s="2905">
        <v>7.0000000000000007E-2</v>
      </c>
      <c r="H230" s="2908">
        <v>0.09</v>
      </c>
      <c r="I230" s="2907">
        <f>(H230*L230%)+H230</f>
        <v>9.8999999999999991E-2</v>
      </c>
      <c r="J230" s="2906">
        <v>0.1</v>
      </c>
      <c r="K230" s="2905">
        <v>7.0000000000000007E-2</v>
      </c>
      <c r="L230" s="2904">
        <v>10</v>
      </c>
      <c r="M230" s="2883"/>
      <c r="N230" s="2883"/>
      <c r="O230" s="2903" t="str">
        <f>C230</f>
        <v>Steak haché de veau</v>
      </c>
      <c r="P230" s="2900">
        <f t="shared" ref="P230:U230" si="117">F230*P156</f>
        <v>12.65</v>
      </c>
      <c r="Q230" s="2900">
        <f t="shared" si="117"/>
        <v>58.030000000000008</v>
      </c>
      <c r="R230" s="2902">
        <f t="shared" si="117"/>
        <v>4.32</v>
      </c>
      <c r="S230" s="2901">
        <f t="shared" si="117"/>
        <v>1.2869999999999999</v>
      </c>
      <c r="T230" s="2901">
        <f t="shared" si="117"/>
        <v>2.9000000000000004</v>
      </c>
      <c r="U230" s="2900">
        <f t="shared" si="117"/>
        <v>1.1900000000000002</v>
      </c>
      <c r="V230" s="2885">
        <f>SUM(P230:U230)</f>
        <v>80.37700000000001</v>
      </c>
    </row>
    <row r="231" spans="1:22" ht="15.75">
      <c r="A231" s="2884"/>
      <c r="B231" s="2911"/>
      <c r="C231" s="2910" t="s">
        <v>6469</v>
      </c>
      <c r="D231" s="2910"/>
      <c r="E231" s="2922"/>
      <c r="F231" s="2905">
        <v>0.05</v>
      </c>
      <c r="G231" s="2905">
        <v>7.0000000000000007E-2</v>
      </c>
      <c r="H231" s="2908">
        <v>0.09</v>
      </c>
      <c r="I231" s="2907">
        <f>(H231*L231%)+H231</f>
        <v>9.8999999999999991E-2</v>
      </c>
      <c r="J231" s="2906">
        <v>0.08</v>
      </c>
      <c r="K231" s="2905">
        <v>0.06</v>
      </c>
      <c r="L231" s="2904">
        <v>10</v>
      </c>
      <c r="M231" s="2883"/>
      <c r="N231" s="2883"/>
      <c r="O231" s="2903" t="str">
        <f>C231</f>
        <v>Hamburger veau, Rissolette veau</v>
      </c>
      <c r="P231" s="2900">
        <f t="shared" ref="P231:U231" si="118">F231*P156</f>
        <v>12.65</v>
      </c>
      <c r="Q231" s="2900">
        <f t="shared" si="118"/>
        <v>58.030000000000008</v>
      </c>
      <c r="R231" s="2902">
        <f t="shared" si="118"/>
        <v>4.32</v>
      </c>
      <c r="S231" s="2901">
        <f t="shared" si="118"/>
        <v>1.2869999999999999</v>
      </c>
      <c r="T231" s="2901">
        <f t="shared" si="118"/>
        <v>2.3199999999999998</v>
      </c>
      <c r="U231" s="2900">
        <f t="shared" si="118"/>
        <v>1.02</v>
      </c>
      <c r="V231" s="2885">
        <f>SUM(P231:U231)</f>
        <v>79.626999999999995</v>
      </c>
    </row>
    <row r="232" spans="1:22" ht="15.75">
      <c r="A232" s="2884"/>
      <c r="B232" s="2911"/>
      <c r="C232" s="2915" t="s">
        <v>6468</v>
      </c>
      <c r="D232" s="2915"/>
      <c r="E232" s="2921"/>
      <c r="F232" s="2905">
        <v>0.05</v>
      </c>
      <c r="G232" s="2905">
        <v>7.0000000000000007E-2</v>
      </c>
      <c r="H232" s="2908">
        <v>0.11</v>
      </c>
      <c r="I232" s="2907">
        <f>(H232*L232%)+H232</f>
        <v>0.121</v>
      </c>
      <c r="J232" s="2906">
        <v>0.1</v>
      </c>
      <c r="K232" s="2905">
        <v>7.0000000000000007E-2</v>
      </c>
      <c r="L232" s="2904">
        <v>10</v>
      </c>
      <c r="M232" s="2883"/>
      <c r="N232" s="2883"/>
      <c r="O232" s="2903" t="str">
        <f>C232</f>
        <v>Paupiette de veau</v>
      </c>
      <c r="P232" s="2900">
        <f t="shared" ref="P232:U232" si="119">F232*P156</f>
        <v>12.65</v>
      </c>
      <c r="Q232" s="2900">
        <f t="shared" si="119"/>
        <v>58.030000000000008</v>
      </c>
      <c r="R232" s="2902">
        <f t="shared" si="119"/>
        <v>5.28</v>
      </c>
      <c r="S232" s="2901">
        <f t="shared" si="119"/>
        <v>1.573</v>
      </c>
      <c r="T232" s="2901">
        <f t="shared" si="119"/>
        <v>2.9000000000000004</v>
      </c>
      <c r="U232" s="2900">
        <f t="shared" si="119"/>
        <v>1.1900000000000002</v>
      </c>
      <c r="V232" s="2885">
        <f>SUM(P232:U232)</f>
        <v>81.623000000000005</v>
      </c>
    </row>
    <row r="233" spans="1:22" ht="15" customHeight="1">
      <c r="A233" s="2884"/>
      <c r="B233" s="2913"/>
      <c r="C233" s="4831" t="s">
        <v>6467</v>
      </c>
      <c r="D233" s="4831"/>
      <c r="E233" s="4831"/>
      <c r="F233" s="4831"/>
      <c r="G233" s="4831"/>
      <c r="H233" s="4831"/>
      <c r="I233" s="4831"/>
      <c r="J233" s="4831"/>
      <c r="K233" s="4831"/>
      <c r="L233" s="4832"/>
      <c r="M233" s="2912"/>
      <c r="N233" s="2912"/>
      <c r="O233" s="2882"/>
      <c r="P233" s="4835" t="str">
        <f>C233</f>
        <v>AGNEAU-MOUTON</v>
      </c>
      <c r="Q233" s="4836"/>
      <c r="R233" s="4836"/>
      <c r="S233" s="4836"/>
      <c r="T233" s="4836"/>
      <c r="U233" s="4836"/>
      <c r="V233" s="4837"/>
    </row>
    <row r="234" spans="1:22" ht="15" customHeight="1">
      <c r="A234" s="2884"/>
      <c r="B234" s="2913"/>
      <c r="C234" s="4833"/>
      <c r="D234" s="4833"/>
      <c r="E234" s="4833"/>
      <c r="F234" s="4833"/>
      <c r="G234" s="4833"/>
      <c r="H234" s="4833"/>
      <c r="I234" s="4833"/>
      <c r="J234" s="4833"/>
      <c r="K234" s="4833"/>
      <c r="L234" s="4834"/>
      <c r="M234" s="2912"/>
      <c r="N234" s="2912"/>
      <c r="O234" s="2882"/>
      <c r="P234" s="4838"/>
      <c r="Q234" s="4839"/>
      <c r="R234" s="4839"/>
      <c r="S234" s="4839"/>
      <c r="T234" s="4839"/>
      <c r="U234" s="4839"/>
      <c r="V234" s="4840"/>
    </row>
    <row r="235" spans="1:22" ht="15.75">
      <c r="A235" s="2884"/>
      <c r="B235" s="2911"/>
      <c r="C235" s="2910" t="s">
        <v>6466</v>
      </c>
      <c r="D235" s="2910"/>
      <c r="E235" s="2922"/>
      <c r="F235" s="2905">
        <v>0.04</v>
      </c>
      <c r="G235" s="2905">
        <v>0.06</v>
      </c>
      <c r="H235" s="2908">
        <v>0.09</v>
      </c>
      <c r="I235" s="2907">
        <f t="shared" ref="I235:I241" si="120">(H235*L235%)+H235</f>
        <v>9.8999999999999991E-2</v>
      </c>
      <c r="J235" s="2906">
        <v>0.08</v>
      </c>
      <c r="K235" s="2905">
        <v>0.06</v>
      </c>
      <c r="L235" s="2904">
        <v>10</v>
      </c>
      <c r="M235" s="2883"/>
      <c r="N235" s="2883"/>
      <c r="O235" s="2903" t="str">
        <f t="shared" ref="O235:O241" si="121">C235</f>
        <v>Gigot</v>
      </c>
      <c r="P235" s="2900">
        <f t="shared" ref="P235:U235" si="122">F235*P156</f>
        <v>10.120000000000001</v>
      </c>
      <c r="Q235" s="2900">
        <f t="shared" si="122"/>
        <v>49.739999999999995</v>
      </c>
      <c r="R235" s="2902">
        <f t="shared" si="122"/>
        <v>4.32</v>
      </c>
      <c r="S235" s="2901">
        <f t="shared" si="122"/>
        <v>1.2869999999999999</v>
      </c>
      <c r="T235" s="2901">
        <f t="shared" si="122"/>
        <v>2.3199999999999998</v>
      </c>
      <c r="U235" s="2900">
        <f t="shared" si="122"/>
        <v>1.02</v>
      </c>
      <c r="V235" s="2885">
        <f t="shared" ref="V235:V241" si="123">SUM(P235:U235)</f>
        <v>68.807000000000002</v>
      </c>
    </row>
    <row r="236" spans="1:22" ht="15.75">
      <c r="A236" s="2884"/>
      <c r="B236" s="2911"/>
      <c r="C236" s="2910" t="s">
        <v>6458</v>
      </c>
      <c r="D236" s="2910"/>
      <c r="E236" s="2922"/>
      <c r="F236" s="2905">
        <v>0.05</v>
      </c>
      <c r="G236" s="2905">
        <v>7.0000000000000007E-2</v>
      </c>
      <c r="H236" s="2908">
        <v>0.11</v>
      </c>
      <c r="I236" s="2907">
        <f t="shared" si="120"/>
        <v>0.121</v>
      </c>
      <c r="J236" s="2906">
        <v>0.1</v>
      </c>
      <c r="K236" s="2905">
        <v>7.0000000000000007E-2</v>
      </c>
      <c r="L236" s="2904">
        <v>10</v>
      </c>
      <c r="M236" s="2883"/>
      <c r="N236" s="2883"/>
      <c r="O236" s="2903" t="str">
        <f t="shared" si="121"/>
        <v>Sauté (sans os)</v>
      </c>
      <c r="P236" s="2900">
        <f t="shared" ref="P236:U236" si="124">F236*P156</f>
        <v>12.65</v>
      </c>
      <c r="Q236" s="2900">
        <f t="shared" si="124"/>
        <v>58.030000000000008</v>
      </c>
      <c r="R236" s="2902">
        <f t="shared" si="124"/>
        <v>5.28</v>
      </c>
      <c r="S236" s="2901">
        <f t="shared" si="124"/>
        <v>1.573</v>
      </c>
      <c r="T236" s="2901">
        <f t="shared" si="124"/>
        <v>2.9000000000000004</v>
      </c>
      <c r="U236" s="2900">
        <f t="shared" si="124"/>
        <v>1.1900000000000002</v>
      </c>
      <c r="V236" s="2885">
        <f t="shared" si="123"/>
        <v>81.623000000000005</v>
      </c>
    </row>
    <row r="237" spans="1:22" ht="15.75">
      <c r="A237" s="2884"/>
      <c r="B237" s="2911"/>
      <c r="C237" s="2910" t="s">
        <v>6465</v>
      </c>
      <c r="D237" s="2910"/>
      <c r="E237" s="2922"/>
      <c r="F237" s="2905">
        <v>0</v>
      </c>
      <c r="G237" s="2905">
        <v>0.08</v>
      </c>
      <c r="H237" s="2908">
        <v>0.11</v>
      </c>
      <c r="I237" s="2907">
        <f t="shared" si="120"/>
        <v>0.121</v>
      </c>
      <c r="J237" s="2906">
        <v>0.1</v>
      </c>
      <c r="K237" s="2905">
        <v>7.0000000000000007E-2</v>
      </c>
      <c r="L237" s="2904">
        <v>10</v>
      </c>
      <c r="M237" s="2883"/>
      <c r="N237" s="2883"/>
      <c r="O237" s="2903" t="str">
        <f t="shared" si="121"/>
        <v>Côte d'agneau avec os</v>
      </c>
      <c r="P237" s="2900">
        <f t="shared" ref="P237:U237" si="125">F237*P156</f>
        <v>0</v>
      </c>
      <c r="Q237" s="2900">
        <f t="shared" si="125"/>
        <v>66.320000000000007</v>
      </c>
      <c r="R237" s="2902">
        <f t="shared" si="125"/>
        <v>5.28</v>
      </c>
      <c r="S237" s="2901">
        <f t="shared" si="125"/>
        <v>1.573</v>
      </c>
      <c r="T237" s="2901">
        <f t="shared" si="125"/>
        <v>2.9000000000000004</v>
      </c>
      <c r="U237" s="2900">
        <f t="shared" si="125"/>
        <v>1.1900000000000002</v>
      </c>
      <c r="V237" s="2885">
        <f t="shared" si="123"/>
        <v>77.263000000000005</v>
      </c>
    </row>
    <row r="238" spans="1:22" ht="15.75">
      <c r="A238" s="2884"/>
      <c r="B238" s="2911"/>
      <c r="C238" s="2910" t="s">
        <v>6464</v>
      </c>
      <c r="D238" s="2910"/>
      <c r="E238" s="2922"/>
      <c r="F238" s="2905">
        <v>2</v>
      </c>
      <c r="G238" s="2905">
        <v>3</v>
      </c>
      <c r="H238" s="2908">
        <v>4.5</v>
      </c>
      <c r="I238" s="2907">
        <f t="shared" si="120"/>
        <v>4.95</v>
      </c>
      <c r="J238" s="2906">
        <v>3</v>
      </c>
      <c r="K238" s="2905">
        <v>2</v>
      </c>
      <c r="L238" s="2904">
        <v>10</v>
      </c>
      <c r="M238" s="2883"/>
      <c r="N238" s="2883"/>
      <c r="O238" s="2920" t="str">
        <f t="shared" si="121"/>
        <v>Boulettes d'agneau-mouton de 30g pièce crues (à l'unité )</v>
      </c>
      <c r="P238" s="2917">
        <f t="shared" ref="P238:U238" si="126">F238*P156</f>
        <v>506</v>
      </c>
      <c r="Q238" s="2917">
        <f t="shared" si="126"/>
        <v>2487</v>
      </c>
      <c r="R238" s="2919">
        <f t="shared" si="126"/>
        <v>216</v>
      </c>
      <c r="S238" s="2918">
        <f t="shared" si="126"/>
        <v>64.350000000000009</v>
      </c>
      <c r="T238" s="2918">
        <f t="shared" si="126"/>
        <v>87</v>
      </c>
      <c r="U238" s="2917">
        <f t="shared" si="126"/>
        <v>34</v>
      </c>
      <c r="V238" s="2885">
        <f t="shared" si="123"/>
        <v>3394.35</v>
      </c>
    </row>
    <row r="239" spans="1:22" ht="15.75">
      <c r="A239" s="2884"/>
      <c r="B239" s="2911"/>
      <c r="C239" s="2910" t="s">
        <v>6463</v>
      </c>
      <c r="D239" s="2910"/>
      <c r="E239" s="2922"/>
      <c r="F239" s="2905">
        <v>0.06</v>
      </c>
      <c r="G239" s="2905">
        <v>0.09</v>
      </c>
      <c r="H239" s="2908">
        <v>0.13500000000000001</v>
      </c>
      <c r="I239" s="2907">
        <f t="shared" si="120"/>
        <v>0.14850000000000002</v>
      </c>
      <c r="J239" s="2906">
        <v>0.09</v>
      </c>
      <c r="K239" s="2905">
        <v>0.06</v>
      </c>
      <c r="L239" s="2904">
        <v>10</v>
      </c>
      <c r="M239" s="2883"/>
      <c r="N239" s="2883"/>
      <c r="O239" s="2903" t="str">
        <f t="shared" si="121"/>
        <v>Boulettes d'agneau-mouton de 30g pièce crues (au Kg )</v>
      </c>
      <c r="P239" s="2900">
        <f t="shared" ref="P239:U239" si="127">F239*P156</f>
        <v>15.18</v>
      </c>
      <c r="Q239" s="2900">
        <f t="shared" si="127"/>
        <v>74.61</v>
      </c>
      <c r="R239" s="2902">
        <f t="shared" si="127"/>
        <v>6.48</v>
      </c>
      <c r="S239" s="2901">
        <f t="shared" si="127"/>
        <v>1.9305000000000003</v>
      </c>
      <c r="T239" s="2901">
        <f t="shared" si="127"/>
        <v>2.61</v>
      </c>
      <c r="U239" s="2900">
        <f t="shared" si="127"/>
        <v>1.02</v>
      </c>
      <c r="V239" s="2885">
        <f t="shared" si="123"/>
        <v>101.83049999999999</v>
      </c>
    </row>
    <row r="240" spans="1:22" ht="15.75">
      <c r="A240" s="2884"/>
      <c r="B240" s="2911"/>
      <c r="C240" s="2910" t="s">
        <v>6462</v>
      </c>
      <c r="D240" s="2910"/>
      <c r="E240" s="2922"/>
      <c r="F240" s="2905">
        <v>1</v>
      </c>
      <c r="G240" s="2905">
        <v>2</v>
      </c>
      <c r="H240" s="2908">
        <v>2.5</v>
      </c>
      <c r="I240" s="2907">
        <f t="shared" si="120"/>
        <v>2.75</v>
      </c>
      <c r="J240" s="2906">
        <v>2</v>
      </c>
      <c r="K240" s="2905">
        <v>1.5</v>
      </c>
      <c r="L240" s="2904">
        <v>10</v>
      </c>
      <c r="M240" s="2883"/>
      <c r="N240" s="2883"/>
      <c r="O240" s="2920" t="str">
        <f t="shared" si="121"/>
        <v>Merguez de 50 g pièce crues (à l'unité)</v>
      </c>
      <c r="P240" s="2917">
        <f t="shared" ref="P240:U240" si="128">F240*P156</f>
        <v>253</v>
      </c>
      <c r="Q240" s="2917">
        <f t="shared" si="128"/>
        <v>1658</v>
      </c>
      <c r="R240" s="2919">
        <f t="shared" si="128"/>
        <v>120</v>
      </c>
      <c r="S240" s="2918">
        <f t="shared" si="128"/>
        <v>35.75</v>
      </c>
      <c r="T240" s="2918">
        <f t="shared" si="128"/>
        <v>58</v>
      </c>
      <c r="U240" s="2917">
        <f t="shared" si="128"/>
        <v>25.5</v>
      </c>
      <c r="V240" s="2885">
        <f t="shared" si="123"/>
        <v>2150.25</v>
      </c>
    </row>
    <row r="241" spans="1:22" ht="15.75">
      <c r="A241" s="2884"/>
      <c r="B241" s="2911"/>
      <c r="C241" s="2915" t="s">
        <v>6461</v>
      </c>
      <c r="D241" s="2915"/>
      <c r="E241" s="2921"/>
      <c r="F241" s="2905">
        <v>0.05</v>
      </c>
      <c r="G241" s="2905">
        <v>0.1</v>
      </c>
      <c r="H241" s="2908">
        <v>0.125</v>
      </c>
      <c r="I241" s="2907">
        <f t="shared" si="120"/>
        <v>0.13750000000000001</v>
      </c>
      <c r="J241" s="2906">
        <v>0.1</v>
      </c>
      <c r="K241" s="2905">
        <v>0.75</v>
      </c>
      <c r="L241" s="2904">
        <v>10</v>
      </c>
      <c r="M241" s="2883"/>
      <c r="N241" s="2883"/>
      <c r="O241" s="2903" t="str">
        <f t="shared" si="121"/>
        <v>Merguez de 50 g pièce crues (au Kg)</v>
      </c>
      <c r="P241" s="2900">
        <f t="shared" ref="P241:U241" si="129">F241*P156</f>
        <v>12.65</v>
      </c>
      <c r="Q241" s="2900">
        <f t="shared" si="129"/>
        <v>82.9</v>
      </c>
      <c r="R241" s="2902">
        <f t="shared" si="129"/>
        <v>6</v>
      </c>
      <c r="S241" s="2901">
        <f t="shared" si="129"/>
        <v>1.7875000000000001</v>
      </c>
      <c r="T241" s="2901">
        <f t="shared" si="129"/>
        <v>2.9000000000000004</v>
      </c>
      <c r="U241" s="2900">
        <f t="shared" si="129"/>
        <v>12.75</v>
      </c>
      <c r="V241" s="2885">
        <f t="shared" si="123"/>
        <v>118.98750000000001</v>
      </c>
    </row>
    <row r="242" spans="1:22" ht="15" customHeight="1">
      <c r="A242" s="2884"/>
      <c r="B242" s="2913"/>
      <c r="C242" s="4831" t="s">
        <v>6460</v>
      </c>
      <c r="D242" s="4831"/>
      <c r="E242" s="4831"/>
      <c r="F242" s="4831"/>
      <c r="G242" s="4831"/>
      <c r="H242" s="4831"/>
      <c r="I242" s="4831"/>
      <c r="J242" s="4831"/>
      <c r="K242" s="4831"/>
      <c r="L242" s="4832"/>
      <c r="M242" s="2912"/>
      <c r="N242" s="2912"/>
      <c r="O242" s="2882"/>
      <c r="P242" s="4835" t="str">
        <f>C242</f>
        <v>PORC</v>
      </c>
      <c r="Q242" s="4836"/>
      <c r="R242" s="4836"/>
      <c r="S242" s="4836"/>
      <c r="T242" s="4836"/>
      <c r="U242" s="4836"/>
      <c r="V242" s="4837"/>
    </row>
    <row r="243" spans="1:22" ht="15" customHeight="1">
      <c r="A243" s="2884"/>
      <c r="B243" s="2913"/>
      <c r="C243" s="4833"/>
      <c r="D243" s="4833"/>
      <c r="E243" s="4833"/>
      <c r="F243" s="4833"/>
      <c r="G243" s="4833"/>
      <c r="H243" s="4833"/>
      <c r="I243" s="4833"/>
      <c r="J243" s="4833"/>
      <c r="K243" s="4833"/>
      <c r="L243" s="4834"/>
      <c r="M243" s="2912"/>
      <c r="N243" s="2912"/>
      <c r="O243" s="2882"/>
      <c r="P243" s="4838"/>
      <c r="Q243" s="4839"/>
      <c r="R243" s="4839"/>
      <c r="S243" s="4839"/>
      <c r="T243" s="4839"/>
      <c r="U243" s="4839"/>
      <c r="V243" s="4840"/>
    </row>
    <row r="244" spans="1:22" ht="15.75">
      <c r="A244" s="2884"/>
      <c r="B244" s="2911"/>
      <c r="C244" s="2910" t="s">
        <v>6459</v>
      </c>
      <c r="D244" s="2910"/>
      <c r="E244" s="2922"/>
      <c r="F244" s="2905">
        <v>0.04</v>
      </c>
      <c r="G244" s="2905">
        <v>0.06</v>
      </c>
      <c r="H244" s="2908">
        <v>0.09</v>
      </c>
      <c r="I244" s="2907">
        <f t="shared" ref="I244:I253" si="130">(H244*L244%)+H244</f>
        <v>9.8999999999999991E-2</v>
      </c>
      <c r="J244" s="2906">
        <v>0.1</v>
      </c>
      <c r="K244" s="2905">
        <v>7.0000000000000007E-2</v>
      </c>
      <c r="L244" s="2904">
        <v>10</v>
      </c>
      <c r="M244" s="2883"/>
      <c r="N244" s="2883"/>
      <c r="O244" s="2903" t="str">
        <f t="shared" ref="O244:O253" si="131">C244</f>
        <v>Rôti de porc, grillade (sans os)</v>
      </c>
      <c r="P244" s="2900">
        <f t="shared" ref="P244:U244" si="132">F244*P156</f>
        <v>10.120000000000001</v>
      </c>
      <c r="Q244" s="2900">
        <f t="shared" si="132"/>
        <v>49.739999999999995</v>
      </c>
      <c r="R244" s="2902">
        <f t="shared" si="132"/>
        <v>4.32</v>
      </c>
      <c r="S244" s="2901">
        <f t="shared" si="132"/>
        <v>1.2869999999999999</v>
      </c>
      <c r="T244" s="2901">
        <f t="shared" si="132"/>
        <v>2.9000000000000004</v>
      </c>
      <c r="U244" s="2900">
        <f t="shared" si="132"/>
        <v>1.1900000000000002</v>
      </c>
      <c r="V244" s="2885">
        <f t="shared" ref="V244:V253" si="133">SUM(P244:U244)</f>
        <v>69.557000000000016</v>
      </c>
    </row>
    <row r="245" spans="1:22" ht="15.75">
      <c r="A245" s="2884"/>
      <c r="B245" s="2911"/>
      <c r="C245" s="2910" t="s">
        <v>6458</v>
      </c>
      <c r="D245" s="2910"/>
      <c r="E245" s="2922"/>
      <c r="F245" s="2905">
        <v>0.05</v>
      </c>
      <c r="G245" s="2905">
        <v>7.0000000000000007E-2</v>
      </c>
      <c r="H245" s="2908">
        <v>0.11</v>
      </c>
      <c r="I245" s="2907">
        <f t="shared" si="130"/>
        <v>0.121</v>
      </c>
      <c r="J245" s="2906">
        <v>0.1</v>
      </c>
      <c r="K245" s="2905">
        <v>7.0000000000000007E-2</v>
      </c>
      <c r="L245" s="2904">
        <v>10</v>
      </c>
      <c r="M245" s="2883"/>
      <c r="N245" s="2883"/>
      <c r="O245" s="2903" t="str">
        <f t="shared" si="131"/>
        <v>Sauté (sans os)</v>
      </c>
      <c r="P245" s="2900">
        <f t="shared" ref="P245:U245" si="134">F245*P156</f>
        <v>12.65</v>
      </c>
      <c r="Q245" s="2900">
        <f t="shared" si="134"/>
        <v>58.030000000000008</v>
      </c>
      <c r="R245" s="2902">
        <f t="shared" si="134"/>
        <v>5.28</v>
      </c>
      <c r="S245" s="2901">
        <f t="shared" si="134"/>
        <v>1.573</v>
      </c>
      <c r="T245" s="2901">
        <f t="shared" si="134"/>
        <v>2.9000000000000004</v>
      </c>
      <c r="U245" s="2900">
        <f t="shared" si="134"/>
        <v>1.1900000000000002</v>
      </c>
      <c r="V245" s="2885">
        <f t="shared" si="133"/>
        <v>81.623000000000005</v>
      </c>
    </row>
    <row r="246" spans="1:22" ht="15.75">
      <c r="A246" s="2884"/>
      <c r="B246" s="2911"/>
      <c r="C246" s="2910" t="s">
        <v>6457</v>
      </c>
      <c r="D246" s="2910"/>
      <c r="E246" s="2922"/>
      <c r="F246" s="2905">
        <v>0</v>
      </c>
      <c r="G246" s="2905">
        <v>0.08</v>
      </c>
      <c r="H246" s="2908">
        <v>0.11</v>
      </c>
      <c r="I246" s="2907">
        <f t="shared" si="130"/>
        <v>0.121</v>
      </c>
      <c r="J246" s="2906">
        <v>0.1</v>
      </c>
      <c r="K246" s="2905">
        <v>7.0000000000000007E-2</v>
      </c>
      <c r="L246" s="2904">
        <v>10</v>
      </c>
      <c r="M246" s="2883"/>
      <c r="N246" s="2883"/>
      <c r="O246" s="2903" t="str">
        <f t="shared" si="131"/>
        <v>Côte de porc</v>
      </c>
      <c r="P246" s="2900">
        <f t="shared" ref="P246:U246" si="135">F246*P156</f>
        <v>0</v>
      </c>
      <c r="Q246" s="2900">
        <f t="shared" si="135"/>
        <v>66.320000000000007</v>
      </c>
      <c r="R246" s="2902">
        <f t="shared" si="135"/>
        <v>5.28</v>
      </c>
      <c r="S246" s="2901">
        <f t="shared" si="135"/>
        <v>1.573</v>
      </c>
      <c r="T246" s="2901">
        <f t="shared" si="135"/>
        <v>2.9000000000000004</v>
      </c>
      <c r="U246" s="2900">
        <f t="shared" si="135"/>
        <v>1.1900000000000002</v>
      </c>
      <c r="V246" s="2885">
        <f t="shared" si="133"/>
        <v>77.263000000000005</v>
      </c>
    </row>
    <row r="247" spans="1:22" ht="15.75">
      <c r="A247" s="2884"/>
      <c r="B247" s="2911"/>
      <c r="C247" s="2910" t="s">
        <v>6456</v>
      </c>
      <c r="D247" s="2910"/>
      <c r="E247" s="2922"/>
      <c r="F247" s="2905">
        <v>0.04</v>
      </c>
      <c r="G247" s="2905">
        <v>0.06</v>
      </c>
      <c r="H247" s="2908">
        <v>0.09</v>
      </c>
      <c r="I247" s="2907">
        <f t="shared" si="130"/>
        <v>9.8999999999999991E-2</v>
      </c>
      <c r="J247" s="2906">
        <v>0.08</v>
      </c>
      <c r="K247" s="2905">
        <v>7.0000000000000007E-2</v>
      </c>
      <c r="L247" s="2904">
        <v>10</v>
      </c>
      <c r="M247" s="2883"/>
      <c r="N247" s="2883"/>
      <c r="O247" s="2903" t="str">
        <f t="shared" si="131"/>
        <v>Jambon DD, palette de porc</v>
      </c>
      <c r="P247" s="2900">
        <f t="shared" ref="P247:U247" si="136">F247*P156</f>
        <v>10.120000000000001</v>
      </c>
      <c r="Q247" s="2900">
        <f t="shared" si="136"/>
        <v>49.739999999999995</v>
      </c>
      <c r="R247" s="2902">
        <f t="shared" si="136"/>
        <v>4.32</v>
      </c>
      <c r="S247" s="2901">
        <f t="shared" si="136"/>
        <v>1.2869999999999999</v>
      </c>
      <c r="T247" s="2901">
        <f t="shared" si="136"/>
        <v>2.3199999999999998</v>
      </c>
      <c r="U247" s="2900">
        <f t="shared" si="136"/>
        <v>1.1900000000000002</v>
      </c>
      <c r="V247" s="2885">
        <f t="shared" si="133"/>
        <v>68.977000000000004</v>
      </c>
    </row>
    <row r="248" spans="1:22" ht="15.75">
      <c r="A248" s="2884"/>
      <c r="B248" s="2911"/>
      <c r="C248" s="2910" t="s">
        <v>6455</v>
      </c>
      <c r="D248" s="2910"/>
      <c r="E248" s="2922"/>
      <c r="F248" s="2905">
        <v>0.05</v>
      </c>
      <c r="G248" s="2905">
        <v>7.0000000000000007E-2</v>
      </c>
      <c r="H248" s="2908">
        <v>0.11</v>
      </c>
      <c r="I248" s="2907">
        <f t="shared" si="130"/>
        <v>0.121</v>
      </c>
      <c r="J248" s="2906">
        <v>0.1</v>
      </c>
      <c r="K248" s="2905">
        <v>7.0000000000000007E-2</v>
      </c>
      <c r="L248" s="2904">
        <v>10</v>
      </c>
      <c r="M248" s="2883"/>
      <c r="N248" s="2883"/>
      <c r="O248" s="2903" t="str">
        <f t="shared" si="131"/>
        <v>Andouillettes</v>
      </c>
      <c r="P248" s="2900">
        <f t="shared" ref="P248:U248" si="137">F248*P156</f>
        <v>12.65</v>
      </c>
      <c r="Q248" s="2900">
        <f t="shared" si="137"/>
        <v>58.030000000000008</v>
      </c>
      <c r="R248" s="2902">
        <f t="shared" si="137"/>
        <v>5.28</v>
      </c>
      <c r="S248" s="2901">
        <f t="shared" si="137"/>
        <v>1.573</v>
      </c>
      <c r="T248" s="2901">
        <f t="shared" si="137"/>
        <v>2.9000000000000004</v>
      </c>
      <c r="U248" s="2900">
        <f t="shared" si="137"/>
        <v>1.1900000000000002</v>
      </c>
      <c r="V248" s="2885">
        <f t="shared" si="133"/>
        <v>81.623000000000005</v>
      </c>
    </row>
    <row r="249" spans="1:22" ht="15.75">
      <c r="A249" s="2884"/>
      <c r="B249" s="2911"/>
      <c r="C249" s="2910" t="s">
        <v>6454</v>
      </c>
      <c r="D249" s="2910"/>
      <c r="E249" s="2922"/>
      <c r="F249" s="2905">
        <v>1</v>
      </c>
      <c r="G249" s="2905">
        <v>2</v>
      </c>
      <c r="H249" s="2908">
        <v>2.5</v>
      </c>
      <c r="I249" s="2907">
        <f t="shared" si="130"/>
        <v>2.75</v>
      </c>
      <c r="J249" s="2906">
        <v>2</v>
      </c>
      <c r="K249" s="2905">
        <v>1.5</v>
      </c>
      <c r="L249" s="2904">
        <v>10</v>
      </c>
      <c r="M249" s="2883"/>
      <c r="N249" s="2883"/>
      <c r="O249" s="2920" t="str">
        <f t="shared" si="131"/>
        <v>Saucisse chipolatas de 50 g pièce crue ( à l'unité)</v>
      </c>
      <c r="P249" s="2917">
        <f t="shared" ref="P249:U249" si="138">F249*P156</f>
        <v>253</v>
      </c>
      <c r="Q249" s="2917">
        <f t="shared" si="138"/>
        <v>1658</v>
      </c>
      <c r="R249" s="2919">
        <f t="shared" si="138"/>
        <v>120</v>
      </c>
      <c r="S249" s="2918">
        <f t="shared" si="138"/>
        <v>35.75</v>
      </c>
      <c r="T249" s="2918">
        <f t="shared" si="138"/>
        <v>58</v>
      </c>
      <c r="U249" s="2917">
        <f t="shared" si="138"/>
        <v>25.5</v>
      </c>
      <c r="V249" s="2885">
        <f t="shared" si="133"/>
        <v>2150.25</v>
      </c>
    </row>
    <row r="250" spans="1:22" ht="15.75">
      <c r="A250" s="2884"/>
      <c r="B250" s="2911"/>
      <c r="C250" s="2910" t="s">
        <v>6453</v>
      </c>
      <c r="D250" s="2910"/>
      <c r="E250" s="2922"/>
      <c r="F250" s="2905">
        <v>0.05</v>
      </c>
      <c r="G250" s="2905">
        <v>0.1</v>
      </c>
      <c r="H250" s="2908">
        <v>0.125</v>
      </c>
      <c r="I250" s="2907">
        <f t="shared" si="130"/>
        <v>0.13750000000000001</v>
      </c>
      <c r="J250" s="2906">
        <v>0.1</v>
      </c>
      <c r="K250" s="2905">
        <v>0.75</v>
      </c>
      <c r="L250" s="2904">
        <v>10</v>
      </c>
      <c r="M250" s="2883"/>
      <c r="N250" s="2883"/>
      <c r="O250" s="2903" t="str">
        <f t="shared" si="131"/>
        <v>Saucisse chipolatas de 50 g pièce crue ( au Kg)</v>
      </c>
      <c r="P250" s="2917">
        <f t="shared" ref="P250:U250" si="139">F250*P156</f>
        <v>12.65</v>
      </c>
      <c r="Q250" s="2917">
        <f t="shared" si="139"/>
        <v>82.9</v>
      </c>
      <c r="R250" s="2919">
        <f t="shared" si="139"/>
        <v>6</v>
      </c>
      <c r="S250" s="2918">
        <f t="shared" si="139"/>
        <v>1.7875000000000001</v>
      </c>
      <c r="T250" s="2918">
        <f t="shared" si="139"/>
        <v>2.9000000000000004</v>
      </c>
      <c r="U250" s="2917">
        <f t="shared" si="139"/>
        <v>12.75</v>
      </c>
      <c r="V250" s="2885">
        <f t="shared" si="133"/>
        <v>118.98750000000001</v>
      </c>
    </row>
    <row r="251" spans="1:22" ht="15.75">
      <c r="A251" s="2884"/>
      <c r="B251" s="2911"/>
      <c r="C251" s="2910" t="s">
        <v>6452</v>
      </c>
      <c r="D251" s="2910"/>
      <c r="E251" s="2922"/>
      <c r="F251" s="2905">
        <v>1</v>
      </c>
      <c r="G251" s="2905">
        <v>2</v>
      </c>
      <c r="H251" s="2908">
        <v>2.5</v>
      </c>
      <c r="I251" s="2907">
        <f t="shared" si="130"/>
        <v>2.75</v>
      </c>
      <c r="J251" s="2906">
        <v>2</v>
      </c>
      <c r="K251" s="2905">
        <v>1.5</v>
      </c>
      <c r="L251" s="2904">
        <v>10</v>
      </c>
      <c r="M251" s="2883"/>
      <c r="N251" s="2883"/>
      <c r="O251" s="2920" t="str">
        <f t="shared" si="131"/>
        <v>Saucisse de Francfort Strasbourg de 50 g pièce crue (à l'unité)</v>
      </c>
      <c r="P251" s="2917">
        <f t="shared" ref="P251:U251" si="140">F251*P156</f>
        <v>253</v>
      </c>
      <c r="Q251" s="2917">
        <f t="shared" si="140"/>
        <v>1658</v>
      </c>
      <c r="R251" s="2919">
        <f t="shared" si="140"/>
        <v>120</v>
      </c>
      <c r="S251" s="2918">
        <f t="shared" si="140"/>
        <v>35.75</v>
      </c>
      <c r="T251" s="2918">
        <f t="shared" si="140"/>
        <v>58</v>
      </c>
      <c r="U251" s="2917">
        <f t="shared" si="140"/>
        <v>25.5</v>
      </c>
      <c r="V251" s="2885">
        <f t="shared" si="133"/>
        <v>2150.25</v>
      </c>
    </row>
    <row r="252" spans="1:22" ht="15.75">
      <c r="A252" s="2884"/>
      <c r="B252" s="2911"/>
      <c r="C252" s="2910" t="s">
        <v>6452</v>
      </c>
      <c r="D252" s="2910"/>
      <c r="E252" s="2922"/>
      <c r="F252" s="2905">
        <v>0.05</v>
      </c>
      <c r="G252" s="2905">
        <v>0.1</v>
      </c>
      <c r="H252" s="2908">
        <v>0.125</v>
      </c>
      <c r="I252" s="2907">
        <f t="shared" si="130"/>
        <v>0.13750000000000001</v>
      </c>
      <c r="J252" s="2906">
        <v>0.1</v>
      </c>
      <c r="K252" s="2905">
        <v>0.75</v>
      </c>
      <c r="L252" s="2904">
        <v>10</v>
      </c>
      <c r="M252" s="2883"/>
      <c r="N252" s="2883"/>
      <c r="O252" s="2920" t="str">
        <f t="shared" si="131"/>
        <v>Saucisse de Francfort Strasbourg de 50 g pièce crue (à l'unité)</v>
      </c>
      <c r="P252" s="2917">
        <f t="shared" ref="P252:U252" si="141">F252*P156</f>
        <v>12.65</v>
      </c>
      <c r="Q252" s="2917">
        <f t="shared" si="141"/>
        <v>82.9</v>
      </c>
      <c r="R252" s="2919">
        <f t="shared" si="141"/>
        <v>6</v>
      </c>
      <c r="S252" s="2918">
        <f t="shared" si="141"/>
        <v>1.7875000000000001</v>
      </c>
      <c r="T252" s="2918">
        <f t="shared" si="141"/>
        <v>2.9000000000000004</v>
      </c>
      <c r="U252" s="2917">
        <f t="shared" si="141"/>
        <v>12.75</v>
      </c>
      <c r="V252" s="2885">
        <f t="shared" si="133"/>
        <v>118.98750000000001</v>
      </c>
    </row>
    <row r="253" spans="1:22" ht="15.75">
      <c r="A253" s="2884"/>
      <c r="B253" s="2911"/>
      <c r="C253" s="2915" t="s">
        <v>6451</v>
      </c>
      <c r="D253" s="2915"/>
      <c r="E253" s="2921"/>
      <c r="F253" s="2905">
        <v>0.05</v>
      </c>
      <c r="G253" s="2905">
        <v>7.0000000000000007E-2</v>
      </c>
      <c r="H253" s="2908">
        <v>0.11</v>
      </c>
      <c r="I253" s="2907">
        <f t="shared" si="130"/>
        <v>0.121</v>
      </c>
      <c r="J253" s="2906">
        <v>0.1</v>
      </c>
      <c r="K253" s="2905">
        <v>7.0000000000000007E-2</v>
      </c>
      <c r="L253" s="2904">
        <v>10</v>
      </c>
      <c r="M253" s="2883"/>
      <c r="N253" s="2883"/>
      <c r="O253" s="2903" t="str">
        <f t="shared" si="131"/>
        <v>Saucisse Toulouse, Montbéliard, Morteau</v>
      </c>
      <c r="P253" s="2900">
        <f t="shared" ref="P253:U253" si="142">F253*P156</f>
        <v>12.65</v>
      </c>
      <c r="Q253" s="2900">
        <f t="shared" si="142"/>
        <v>58.030000000000008</v>
      </c>
      <c r="R253" s="2902">
        <f t="shared" si="142"/>
        <v>5.28</v>
      </c>
      <c r="S253" s="2901">
        <f t="shared" si="142"/>
        <v>1.573</v>
      </c>
      <c r="T253" s="2901">
        <f t="shared" si="142"/>
        <v>2.9000000000000004</v>
      </c>
      <c r="U253" s="2900">
        <f t="shared" si="142"/>
        <v>1.1900000000000002</v>
      </c>
      <c r="V253" s="2885">
        <f t="shared" si="133"/>
        <v>81.623000000000005</v>
      </c>
    </row>
    <row r="254" spans="1:22" ht="15" customHeight="1">
      <c r="A254" s="2884"/>
      <c r="B254" s="2913"/>
      <c r="C254" s="4831" t="s">
        <v>6450</v>
      </c>
      <c r="D254" s="4831"/>
      <c r="E254" s="4831"/>
      <c r="F254" s="4831"/>
      <c r="G254" s="4831"/>
      <c r="H254" s="4831"/>
      <c r="I254" s="4831"/>
      <c r="J254" s="4831"/>
      <c r="K254" s="4831"/>
      <c r="L254" s="4832"/>
      <c r="M254" s="2912"/>
      <c r="N254" s="2912"/>
      <c r="O254" s="2882"/>
      <c r="P254" s="4835" t="str">
        <f>C254</f>
        <v>VOLAILLE-LAPIN</v>
      </c>
      <c r="Q254" s="4836"/>
      <c r="R254" s="4836"/>
      <c r="S254" s="4836"/>
      <c r="T254" s="4836"/>
      <c r="U254" s="4836"/>
      <c r="V254" s="4837"/>
    </row>
    <row r="255" spans="1:22" ht="15" customHeight="1">
      <c r="A255" s="2884"/>
      <c r="B255" s="2913"/>
      <c r="C255" s="4833"/>
      <c r="D255" s="4833"/>
      <c r="E255" s="4833"/>
      <c r="F255" s="4833"/>
      <c r="G255" s="4833"/>
      <c r="H255" s="4833"/>
      <c r="I255" s="4833"/>
      <c r="J255" s="4833"/>
      <c r="K255" s="4833"/>
      <c r="L255" s="4834"/>
      <c r="M255" s="2912"/>
      <c r="N255" s="2912"/>
      <c r="O255" s="2882"/>
      <c r="P255" s="4838"/>
      <c r="Q255" s="4839"/>
      <c r="R255" s="4839"/>
      <c r="S255" s="4839"/>
      <c r="T255" s="4839"/>
      <c r="U255" s="4839"/>
      <c r="V255" s="4840"/>
    </row>
    <row r="256" spans="1:22" ht="15.75">
      <c r="A256" s="2884"/>
      <c r="B256" s="2911"/>
      <c r="C256" s="2910" t="s">
        <v>6449</v>
      </c>
      <c r="D256" s="2910"/>
      <c r="E256" s="2922"/>
      <c r="F256" s="2905">
        <v>0.04</v>
      </c>
      <c r="G256" s="2905">
        <v>0.06</v>
      </c>
      <c r="H256" s="2908">
        <v>0.09</v>
      </c>
      <c r="I256" s="2907">
        <f t="shared" ref="I256:I270" si="143">(H256*L256%)+H256</f>
        <v>9.8999999999999991E-2</v>
      </c>
      <c r="J256" s="2906">
        <v>0.08</v>
      </c>
      <c r="K256" s="2905">
        <v>0.06</v>
      </c>
      <c r="L256" s="2904">
        <v>10</v>
      </c>
      <c r="M256" s="2883"/>
      <c r="N256" s="2883"/>
      <c r="O256" s="2903" t="str">
        <f t="shared" ref="O256:O270" si="144">C256</f>
        <v>Rôti de volaille, escalope de volaille, blanc de
poulet</v>
      </c>
      <c r="P256" s="2900">
        <f t="shared" ref="P256:U256" si="145">F256*P156</f>
        <v>10.120000000000001</v>
      </c>
      <c r="Q256" s="2900">
        <f t="shared" si="145"/>
        <v>49.739999999999995</v>
      </c>
      <c r="R256" s="2902">
        <f t="shared" si="145"/>
        <v>4.32</v>
      </c>
      <c r="S256" s="2901">
        <f t="shared" si="145"/>
        <v>1.2869999999999999</v>
      </c>
      <c r="T256" s="2901">
        <f t="shared" si="145"/>
        <v>2.3199999999999998</v>
      </c>
      <c r="U256" s="2900">
        <f t="shared" si="145"/>
        <v>1.02</v>
      </c>
      <c r="V256" s="2885">
        <f t="shared" ref="V256:V270" si="146">SUM(P256:U256)</f>
        <v>68.807000000000002</v>
      </c>
    </row>
    <row r="257" spans="1:22" ht="15.75">
      <c r="A257" s="2884"/>
      <c r="B257" s="2911"/>
      <c r="C257" s="2910" t="s">
        <v>6448</v>
      </c>
      <c r="D257" s="2910"/>
      <c r="E257" s="2922"/>
      <c r="F257" s="2905">
        <v>0.05</v>
      </c>
      <c r="G257" s="2905">
        <v>7.0000000000000007E-2</v>
      </c>
      <c r="H257" s="2908">
        <v>0.11</v>
      </c>
      <c r="I257" s="2907">
        <f t="shared" si="143"/>
        <v>0.121</v>
      </c>
      <c r="J257" s="2906">
        <v>0.1</v>
      </c>
      <c r="K257" s="2905">
        <v>7.0000000000000007E-2</v>
      </c>
      <c r="L257" s="2904">
        <v>10</v>
      </c>
      <c r="M257" s="2883"/>
      <c r="N257" s="2883"/>
      <c r="O257" s="2903" t="str">
        <f t="shared" si="144"/>
        <v>Sauté</v>
      </c>
      <c r="P257" s="2900">
        <f t="shared" ref="P257:U257" si="147">F257*P156</f>
        <v>12.65</v>
      </c>
      <c r="Q257" s="2900">
        <f t="shared" si="147"/>
        <v>58.030000000000008</v>
      </c>
      <c r="R257" s="2902">
        <f t="shared" si="147"/>
        <v>5.28</v>
      </c>
      <c r="S257" s="2901">
        <f t="shared" si="147"/>
        <v>1.573</v>
      </c>
      <c r="T257" s="2901">
        <f t="shared" si="147"/>
        <v>2.9000000000000004</v>
      </c>
      <c r="U257" s="2900">
        <f t="shared" si="147"/>
        <v>1.1900000000000002</v>
      </c>
      <c r="V257" s="2885">
        <f t="shared" si="146"/>
        <v>81.623000000000005</v>
      </c>
    </row>
    <row r="258" spans="1:22" ht="15.75">
      <c r="A258" s="2884"/>
      <c r="B258" s="2911"/>
      <c r="C258" s="2910" t="s">
        <v>6447</v>
      </c>
      <c r="D258" s="2910"/>
      <c r="E258" s="2922"/>
      <c r="F258" s="2905">
        <v>0.04</v>
      </c>
      <c r="G258" s="2905">
        <v>0.06</v>
      </c>
      <c r="H258" s="2908">
        <v>0.09</v>
      </c>
      <c r="I258" s="2907">
        <f t="shared" si="143"/>
        <v>9.8999999999999991E-2</v>
      </c>
      <c r="J258" s="2906">
        <v>0.08</v>
      </c>
      <c r="K258" s="2905">
        <v>0.06</v>
      </c>
      <c r="L258" s="2904">
        <v>10</v>
      </c>
      <c r="M258" s="2883"/>
      <c r="N258" s="2883"/>
      <c r="O258" s="2903" t="str">
        <f t="shared" si="144"/>
        <v>Jambon de volaille</v>
      </c>
      <c r="P258" s="2900">
        <f t="shared" ref="P258:U258" si="148">F258*P156</f>
        <v>10.120000000000001</v>
      </c>
      <c r="Q258" s="2900">
        <f t="shared" si="148"/>
        <v>49.739999999999995</v>
      </c>
      <c r="R258" s="2902">
        <f t="shared" si="148"/>
        <v>4.32</v>
      </c>
      <c r="S258" s="2901">
        <f t="shared" si="148"/>
        <v>1.2869999999999999</v>
      </c>
      <c r="T258" s="2901">
        <f t="shared" si="148"/>
        <v>2.3199999999999998</v>
      </c>
      <c r="U258" s="2900">
        <f t="shared" si="148"/>
        <v>1.02</v>
      </c>
      <c r="V258" s="2885">
        <f t="shared" si="146"/>
        <v>68.807000000000002</v>
      </c>
    </row>
    <row r="259" spans="1:22" ht="15.75">
      <c r="A259" s="2884"/>
      <c r="B259" s="2911"/>
      <c r="C259" s="2910" t="s">
        <v>6446</v>
      </c>
      <c r="D259" s="2910"/>
      <c r="E259" s="2922"/>
      <c r="F259" s="2905">
        <v>0.05</v>
      </c>
      <c r="G259" s="2905">
        <v>7.0000000000000007E-2</v>
      </c>
      <c r="H259" s="2908">
        <v>0.11</v>
      </c>
      <c r="I259" s="2907">
        <f t="shared" si="143"/>
        <v>0.121</v>
      </c>
      <c r="J259" s="2906">
        <v>0.1</v>
      </c>
      <c r="K259" s="2905">
        <v>7.0000000000000007E-2</v>
      </c>
      <c r="L259" s="2904">
        <v>10</v>
      </c>
      <c r="M259" s="2883"/>
      <c r="N259" s="2883"/>
      <c r="O259" s="2903" t="str">
        <f t="shared" si="144"/>
        <v>Cordon bleu</v>
      </c>
      <c r="P259" s="2900">
        <f t="shared" ref="P259:U259" si="149">F259*P156</f>
        <v>12.65</v>
      </c>
      <c r="Q259" s="2900">
        <f t="shared" si="149"/>
        <v>58.030000000000008</v>
      </c>
      <c r="R259" s="2902">
        <f t="shared" si="149"/>
        <v>5.28</v>
      </c>
      <c r="S259" s="2901">
        <f t="shared" si="149"/>
        <v>1.573</v>
      </c>
      <c r="T259" s="2901">
        <f t="shared" si="149"/>
        <v>2.9000000000000004</v>
      </c>
      <c r="U259" s="2900">
        <f t="shared" si="149"/>
        <v>1.1900000000000002</v>
      </c>
      <c r="V259" s="2885">
        <f t="shared" si="146"/>
        <v>81.623000000000005</v>
      </c>
    </row>
    <row r="260" spans="1:22" ht="15.75">
      <c r="A260" s="2884"/>
      <c r="B260" s="2911"/>
      <c r="C260" s="2910" t="s">
        <v>6445</v>
      </c>
      <c r="D260" s="2910"/>
      <c r="E260" s="2922"/>
      <c r="F260" s="2905">
        <v>0.1</v>
      </c>
      <c r="G260" s="2905">
        <v>0.14000000000000001</v>
      </c>
      <c r="H260" s="2908">
        <v>0.16</v>
      </c>
      <c r="I260" s="2907">
        <f t="shared" si="143"/>
        <v>0.17599999999999999</v>
      </c>
      <c r="J260" s="2906">
        <v>0.14000000000000001</v>
      </c>
      <c r="K260" s="2905">
        <v>0.1</v>
      </c>
      <c r="L260" s="2904">
        <v>10</v>
      </c>
      <c r="M260" s="2883"/>
      <c r="N260" s="2883"/>
      <c r="O260" s="2903" t="str">
        <f t="shared" si="144"/>
        <v>Cuisse de poulet, de pintade, de canard</v>
      </c>
      <c r="P260" s="2900">
        <f t="shared" ref="P260:U260" si="150">F260*P156</f>
        <v>25.3</v>
      </c>
      <c r="Q260" s="2900">
        <f t="shared" si="150"/>
        <v>116.06000000000002</v>
      </c>
      <c r="R260" s="2902">
        <f t="shared" si="150"/>
        <v>7.68</v>
      </c>
      <c r="S260" s="2901">
        <f t="shared" si="150"/>
        <v>2.2879999999999998</v>
      </c>
      <c r="T260" s="2901">
        <f t="shared" si="150"/>
        <v>4.0600000000000005</v>
      </c>
      <c r="U260" s="2900">
        <f t="shared" si="150"/>
        <v>1.7000000000000002</v>
      </c>
      <c r="V260" s="2885">
        <f t="shared" si="146"/>
        <v>157.08800000000002</v>
      </c>
    </row>
    <row r="261" spans="1:22" ht="15.75">
      <c r="A261" s="2884"/>
      <c r="B261" s="2911"/>
      <c r="C261" s="2910" t="s">
        <v>6444</v>
      </c>
      <c r="D261" s="2910"/>
      <c r="E261" s="2922"/>
      <c r="F261" s="2905">
        <v>0.05</v>
      </c>
      <c r="G261" s="2905">
        <v>7.0000000000000007E-2</v>
      </c>
      <c r="H261" s="2908">
        <v>0.11</v>
      </c>
      <c r="I261" s="2907">
        <f t="shared" si="143"/>
        <v>0.121</v>
      </c>
      <c r="J261" s="2906">
        <v>0.1</v>
      </c>
      <c r="K261" s="2905">
        <v>7.0000000000000007E-2</v>
      </c>
      <c r="L261" s="2904">
        <v>10</v>
      </c>
      <c r="M261" s="2883"/>
      <c r="N261" s="2883"/>
      <c r="O261" s="2903" t="str">
        <f t="shared" si="144"/>
        <v>Brochette</v>
      </c>
      <c r="P261" s="2900">
        <f t="shared" ref="P261:U261" si="151">F261*P156</f>
        <v>12.65</v>
      </c>
      <c r="Q261" s="2900">
        <f t="shared" si="151"/>
        <v>58.030000000000008</v>
      </c>
      <c r="R261" s="2902">
        <f t="shared" si="151"/>
        <v>5.28</v>
      </c>
      <c r="S261" s="2901">
        <f t="shared" si="151"/>
        <v>1.573</v>
      </c>
      <c r="T261" s="2901">
        <f t="shared" si="151"/>
        <v>2.9000000000000004</v>
      </c>
      <c r="U261" s="2900">
        <f t="shared" si="151"/>
        <v>1.1900000000000002</v>
      </c>
      <c r="V261" s="2885">
        <f t="shared" si="146"/>
        <v>81.623000000000005</v>
      </c>
    </row>
    <row r="262" spans="1:22" ht="15.75">
      <c r="A262" s="2884"/>
      <c r="B262" s="2911"/>
      <c r="C262" s="2910" t="s">
        <v>6443</v>
      </c>
      <c r="D262" s="2910"/>
      <c r="E262" s="2922"/>
      <c r="F262" s="2905">
        <v>0.05</v>
      </c>
      <c r="G262" s="2905">
        <v>7.0000000000000007E-2</v>
      </c>
      <c r="H262" s="2908">
        <v>0.11</v>
      </c>
      <c r="I262" s="2907">
        <f t="shared" si="143"/>
        <v>0.121</v>
      </c>
      <c r="J262" s="2906">
        <v>0.1</v>
      </c>
      <c r="K262" s="2905">
        <v>7.0000000000000007E-2</v>
      </c>
      <c r="L262" s="2904">
        <v>10</v>
      </c>
      <c r="M262" s="2883"/>
      <c r="N262" s="2883"/>
      <c r="O262" s="2903" t="str">
        <f t="shared" si="144"/>
        <v>Paupiette de volaille</v>
      </c>
      <c r="P262" s="2900">
        <f t="shared" ref="P262:U262" si="152">F262*P156</f>
        <v>12.65</v>
      </c>
      <c r="Q262" s="2900">
        <f t="shared" si="152"/>
        <v>58.030000000000008</v>
      </c>
      <c r="R262" s="2902">
        <f t="shared" si="152"/>
        <v>5.28</v>
      </c>
      <c r="S262" s="2901">
        <f t="shared" si="152"/>
        <v>1.573</v>
      </c>
      <c r="T262" s="2901">
        <f t="shared" si="152"/>
        <v>2.9000000000000004</v>
      </c>
      <c r="U262" s="2900">
        <f t="shared" si="152"/>
        <v>1.1900000000000002</v>
      </c>
      <c r="V262" s="2885">
        <f t="shared" si="146"/>
        <v>81.623000000000005</v>
      </c>
    </row>
    <row r="263" spans="1:22" ht="15.75">
      <c r="A263" s="2884"/>
      <c r="B263" s="2911"/>
      <c r="C263" s="2910" t="s">
        <v>6442</v>
      </c>
      <c r="D263" s="2910"/>
      <c r="E263" s="2922"/>
      <c r="F263" s="2905">
        <v>2</v>
      </c>
      <c r="G263" s="2905">
        <v>3</v>
      </c>
      <c r="H263" s="2908">
        <v>5</v>
      </c>
      <c r="I263" s="2907">
        <f t="shared" si="143"/>
        <v>5.5</v>
      </c>
      <c r="J263" s="2906">
        <v>5</v>
      </c>
      <c r="K263" s="2905">
        <v>3.5</v>
      </c>
      <c r="L263" s="2904">
        <v>10</v>
      </c>
      <c r="M263" s="2883"/>
      <c r="N263" s="2883"/>
      <c r="O263" s="2903" t="str">
        <f t="shared" si="144"/>
        <v>Fingers, beignets, nuggets de 20 g pièce crus</v>
      </c>
      <c r="P263" s="2900">
        <f t="shared" ref="P263:U263" si="153">F263*P156</f>
        <v>506</v>
      </c>
      <c r="Q263" s="2900">
        <f t="shared" si="153"/>
        <v>2487</v>
      </c>
      <c r="R263" s="2902">
        <f t="shared" si="153"/>
        <v>240</v>
      </c>
      <c r="S263" s="2901">
        <f t="shared" si="153"/>
        <v>71.5</v>
      </c>
      <c r="T263" s="2901">
        <f t="shared" si="153"/>
        <v>145</v>
      </c>
      <c r="U263" s="2900">
        <f t="shared" si="153"/>
        <v>59.5</v>
      </c>
      <c r="V263" s="2885">
        <f t="shared" si="146"/>
        <v>3509</v>
      </c>
    </row>
    <row r="264" spans="1:22" ht="15.75">
      <c r="A264" s="2884"/>
      <c r="B264" s="2911"/>
      <c r="C264" s="2910" t="s">
        <v>6441</v>
      </c>
      <c r="D264" s="2910"/>
      <c r="E264" s="2922"/>
      <c r="F264" s="2905">
        <v>0.04</v>
      </c>
      <c r="G264" s="2905">
        <v>0.06</v>
      </c>
      <c r="H264" s="2908">
        <v>0.1</v>
      </c>
      <c r="I264" s="2907">
        <f t="shared" si="143"/>
        <v>0.11000000000000001</v>
      </c>
      <c r="J264" s="2906">
        <v>0.1</v>
      </c>
      <c r="K264" s="2905">
        <v>7.0000000000000007E-2</v>
      </c>
      <c r="L264" s="2904">
        <v>10</v>
      </c>
      <c r="M264" s="2883"/>
      <c r="N264" s="2883"/>
      <c r="O264" s="2903" t="str">
        <f t="shared" si="144"/>
        <v>Fingers, beignets, nuggets de 20 g (Kg) crus</v>
      </c>
      <c r="P264" s="2900">
        <f t="shared" ref="P264:U264" si="154">F264*P156</f>
        <v>10.120000000000001</v>
      </c>
      <c r="Q264" s="2900">
        <f t="shared" si="154"/>
        <v>49.739999999999995</v>
      </c>
      <c r="R264" s="2902">
        <f t="shared" si="154"/>
        <v>4.8000000000000007</v>
      </c>
      <c r="S264" s="2901">
        <f t="shared" si="154"/>
        <v>1.4300000000000002</v>
      </c>
      <c r="T264" s="2901">
        <f t="shared" si="154"/>
        <v>2.9000000000000004</v>
      </c>
      <c r="U264" s="2900">
        <f t="shared" si="154"/>
        <v>1.1900000000000002</v>
      </c>
      <c r="V264" s="2885">
        <f t="shared" si="146"/>
        <v>70.180000000000007</v>
      </c>
    </row>
    <row r="265" spans="1:22" ht="15.75">
      <c r="A265" s="2884"/>
      <c r="B265" s="2911"/>
      <c r="C265" s="2910" t="s">
        <v>6440</v>
      </c>
      <c r="D265" s="2910"/>
      <c r="E265" s="2922"/>
      <c r="F265" s="2905">
        <v>0.05</v>
      </c>
      <c r="G265" s="2905">
        <v>7.0000000000000007E-2</v>
      </c>
      <c r="H265" s="2908">
        <v>0.11</v>
      </c>
      <c r="I265" s="2907">
        <f t="shared" si="143"/>
        <v>0.121</v>
      </c>
      <c r="J265" s="2906">
        <v>0.1</v>
      </c>
      <c r="K265" s="2905">
        <v>7.0000000000000007E-2</v>
      </c>
      <c r="L265" s="2904">
        <v>10</v>
      </c>
      <c r="M265" s="2883"/>
      <c r="N265" s="2883"/>
      <c r="O265" s="2903" t="str">
        <f t="shared" si="144"/>
        <v>Escalope panée</v>
      </c>
      <c r="P265" s="2900">
        <f t="shared" ref="P265:U265" si="155">F265*P156</f>
        <v>12.65</v>
      </c>
      <c r="Q265" s="2900">
        <f t="shared" si="155"/>
        <v>58.030000000000008</v>
      </c>
      <c r="R265" s="2902">
        <f t="shared" si="155"/>
        <v>5.28</v>
      </c>
      <c r="S265" s="2901">
        <f t="shared" si="155"/>
        <v>1.573</v>
      </c>
      <c r="T265" s="2901">
        <f t="shared" si="155"/>
        <v>2.9000000000000004</v>
      </c>
      <c r="U265" s="2900">
        <f t="shared" si="155"/>
        <v>1.1900000000000002</v>
      </c>
      <c r="V265" s="2885">
        <f t="shared" si="146"/>
        <v>81.623000000000005</v>
      </c>
    </row>
    <row r="266" spans="1:22" ht="15.75">
      <c r="A266" s="2884"/>
      <c r="B266" s="2911"/>
      <c r="C266" s="2910" t="s">
        <v>6439</v>
      </c>
      <c r="D266" s="2910"/>
      <c r="E266" s="2922"/>
      <c r="F266" s="2905">
        <v>0.1</v>
      </c>
      <c r="G266" s="2905">
        <v>0.14000000000000001</v>
      </c>
      <c r="H266" s="2908">
        <v>0.16</v>
      </c>
      <c r="I266" s="2907">
        <f t="shared" si="143"/>
        <v>0.17599999999999999</v>
      </c>
      <c r="J266" s="2906">
        <v>0.14000000000000001</v>
      </c>
      <c r="K266" s="2905">
        <v>0.1</v>
      </c>
      <c r="L266" s="2904">
        <v>10</v>
      </c>
      <c r="M266" s="2883"/>
      <c r="N266" s="2883"/>
      <c r="O266" s="2903" t="str">
        <f t="shared" si="144"/>
        <v>Cuisse de lapin</v>
      </c>
      <c r="P266" s="2900">
        <f t="shared" ref="P266:U266" si="156">F266*P156</f>
        <v>25.3</v>
      </c>
      <c r="Q266" s="2900">
        <f t="shared" si="156"/>
        <v>116.06000000000002</v>
      </c>
      <c r="R266" s="2902">
        <f t="shared" si="156"/>
        <v>7.68</v>
      </c>
      <c r="S266" s="2901">
        <f t="shared" si="156"/>
        <v>2.2879999999999998</v>
      </c>
      <c r="T266" s="2901">
        <f t="shared" si="156"/>
        <v>4.0600000000000005</v>
      </c>
      <c r="U266" s="2900">
        <f t="shared" si="156"/>
        <v>1.7000000000000002</v>
      </c>
      <c r="V266" s="2885">
        <f t="shared" si="146"/>
        <v>157.08800000000002</v>
      </c>
    </row>
    <row r="267" spans="1:22" ht="15.75">
      <c r="A267" s="2884"/>
      <c r="B267" s="2911"/>
      <c r="C267" s="2910" t="s">
        <v>6438</v>
      </c>
      <c r="D267" s="2910"/>
      <c r="E267" s="2922"/>
      <c r="F267" s="2905">
        <v>0</v>
      </c>
      <c r="G267" s="2905">
        <v>0</v>
      </c>
      <c r="H267" s="2908">
        <v>0.16</v>
      </c>
      <c r="I267" s="2907">
        <f t="shared" si="143"/>
        <v>0.17599999999999999</v>
      </c>
      <c r="J267" s="2906">
        <v>0.14000000000000001</v>
      </c>
      <c r="K267" s="2905">
        <v>0.1</v>
      </c>
      <c r="L267" s="2904">
        <v>10</v>
      </c>
      <c r="M267" s="2883"/>
      <c r="N267" s="2883"/>
      <c r="O267" s="2903" t="str">
        <f t="shared" si="144"/>
        <v>Lapin sauté</v>
      </c>
      <c r="P267" s="2900">
        <f t="shared" ref="P267:U267" si="157">F267*P156</f>
        <v>0</v>
      </c>
      <c r="Q267" s="2900">
        <f t="shared" si="157"/>
        <v>0</v>
      </c>
      <c r="R267" s="2902">
        <f t="shared" si="157"/>
        <v>7.68</v>
      </c>
      <c r="S267" s="2901">
        <f t="shared" si="157"/>
        <v>2.2879999999999998</v>
      </c>
      <c r="T267" s="2901">
        <f t="shared" si="157"/>
        <v>4.0600000000000005</v>
      </c>
      <c r="U267" s="2900">
        <f t="shared" si="157"/>
        <v>1.7000000000000002</v>
      </c>
      <c r="V267" s="2885">
        <f t="shared" si="146"/>
        <v>15.728000000000002</v>
      </c>
    </row>
    <row r="268" spans="1:22" ht="15.75">
      <c r="A268" s="2884"/>
      <c r="B268" s="2911"/>
      <c r="C268" s="2910" t="s">
        <v>6437</v>
      </c>
      <c r="D268" s="2910"/>
      <c r="E268" s="2922"/>
      <c r="F268" s="2905">
        <v>0.05</v>
      </c>
      <c r="G268" s="2905">
        <v>7.0000000000000007E-2</v>
      </c>
      <c r="H268" s="2908">
        <v>0.11</v>
      </c>
      <c r="I268" s="2907">
        <f t="shared" si="143"/>
        <v>0.121</v>
      </c>
      <c r="J268" s="2906">
        <v>0.1</v>
      </c>
      <c r="K268" s="2905">
        <v>7.0000000000000007E-2</v>
      </c>
      <c r="L268" s="2904">
        <v>10</v>
      </c>
      <c r="M268" s="2883"/>
      <c r="N268" s="2883"/>
      <c r="O268" s="2903" t="str">
        <f t="shared" si="144"/>
        <v>Paupiette de lapin</v>
      </c>
      <c r="P268" s="2900">
        <f t="shared" ref="P268:U268" si="158">F268*P156</f>
        <v>12.65</v>
      </c>
      <c r="Q268" s="2900">
        <f t="shared" si="158"/>
        <v>58.030000000000008</v>
      </c>
      <c r="R268" s="2902">
        <f t="shared" si="158"/>
        <v>5.28</v>
      </c>
      <c r="S268" s="2901">
        <f t="shared" si="158"/>
        <v>1.573</v>
      </c>
      <c r="T268" s="2901">
        <f t="shared" si="158"/>
        <v>2.9000000000000004</v>
      </c>
      <c r="U268" s="2900">
        <f t="shared" si="158"/>
        <v>1.1900000000000002</v>
      </c>
      <c r="V268" s="2885">
        <f t="shared" si="146"/>
        <v>81.623000000000005</v>
      </c>
    </row>
    <row r="269" spans="1:22" ht="15.75">
      <c r="A269" s="2884"/>
      <c r="B269" s="2911"/>
      <c r="C269" s="2910" t="s">
        <v>6436</v>
      </c>
      <c r="D269" s="2910"/>
      <c r="E269" s="2922"/>
      <c r="F269" s="2905">
        <v>1</v>
      </c>
      <c r="G269" s="2905">
        <v>2</v>
      </c>
      <c r="H269" s="2908">
        <v>2.5</v>
      </c>
      <c r="I269" s="2907">
        <f t="shared" si="143"/>
        <v>2.75</v>
      </c>
      <c r="J269" s="2906">
        <v>2</v>
      </c>
      <c r="K269" s="2905">
        <v>1.5</v>
      </c>
      <c r="L269" s="2904">
        <v>10</v>
      </c>
      <c r="M269" s="2883"/>
      <c r="N269" s="2883"/>
      <c r="O269" s="2920" t="str">
        <f t="shared" si="144"/>
        <v>Saucisse de volaille de 50g pièce crue (à l’unité)</v>
      </c>
      <c r="P269" s="2917">
        <f t="shared" ref="P269:U269" si="159">F269*P156</f>
        <v>253</v>
      </c>
      <c r="Q269" s="2917">
        <f t="shared" si="159"/>
        <v>1658</v>
      </c>
      <c r="R269" s="2919">
        <f t="shared" si="159"/>
        <v>120</v>
      </c>
      <c r="S269" s="2918">
        <f t="shared" si="159"/>
        <v>35.75</v>
      </c>
      <c r="T269" s="2918">
        <f t="shared" si="159"/>
        <v>58</v>
      </c>
      <c r="U269" s="2917">
        <f t="shared" si="159"/>
        <v>25.5</v>
      </c>
      <c r="V269" s="2885">
        <f t="shared" si="146"/>
        <v>2150.25</v>
      </c>
    </row>
    <row r="270" spans="1:22" ht="15.75">
      <c r="A270" s="2884"/>
      <c r="B270" s="2911"/>
      <c r="C270" s="2915" t="s">
        <v>6435</v>
      </c>
      <c r="D270" s="2915"/>
      <c r="E270" s="2921"/>
      <c r="F270" s="2905">
        <v>0.05</v>
      </c>
      <c r="G270" s="2905">
        <v>0.1</v>
      </c>
      <c r="H270" s="2908">
        <v>0.125</v>
      </c>
      <c r="I270" s="2907">
        <f t="shared" si="143"/>
        <v>0.13750000000000001</v>
      </c>
      <c r="J270" s="2906">
        <v>0.1</v>
      </c>
      <c r="K270" s="2905">
        <v>7.4999999999999997E-2</v>
      </c>
      <c r="L270" s="2904">
        <v>10</v>
      </c>
      <c r="M270" s="2883"/>
      <c r="N270" s="2883"/>
      <c r="O270" s="2903" t="str">
        <f t="shared" si="144"/>
        <v>Saucisse de volaille de 50g pièce crue (Kg)</v>
      </c>
      <c r="P270" s="2900">
        <f t="shared" ref="P270:U270" si="160">F270*P156</f>
        <v>12.65</v>
      </c>
      <c r="Q270" s="2900">
        <f t="shared" si="160"/>
        <v>82.9</v>
      </c>
      <c r="R270" s="2902">
        <f t="shared" si="160"/>
        <v>6</v>
      </c>
      <c r="S270" s="2901">
        <f t="shared" si="160"/>
        <v>1.7875000000000001</v>
      </c>
      <c r="T270" s="2901">
        <f t="shared" si="160"/>
        <v>2.9000000000000004</v>
      </c>
      <c r="U270" s="2900">
        <f t="shared" si="160"/>
        <v>1.2749999999999999</v>
      </c>
      <c r="V270" s="2885">
        <f t="shared" si="146"/>
        <v>107.51250000000002</v>
      </c>
    </row>
    <row r="271" spans="1:22" ht="15" customHeight="1">
      <c r="A271" s="2884"/>
      <c r="B271" s="2913"/>
      <c r="C271" s="4831" t="s">
        <v>6434</v>
      </c>
      <c r="D271" s="4831"/>
      <c r="E271" s="4831"/>
      <c r="F271" s="4831"/>
      <c r="G271" s="4831"/>
      <c r="H271" s="4831"/>
      <c r="I271" s="4831"/>
      <c r="J271" s="4831"/>
      <c r="K271" s="4831"/>
      <c r="L271" s="4832"/>
      <c r="M271" s="2912"/>
      <c r="N271" s="2912"/>
      <c r="O271" s="2882"/>
      <c r="P271" s="4835" t="str">
        <f>C271</f>
        <v>ABATS</v>
      </c>
      <c r="Q271" s="4836"/>
      <c r="R271" s="4836"/>
      <c r="S271" s="4836"/>
      <c r="T271" s="4836"/>
      <c r="U271" s="4836"/>
      <c r="V271" s="4837"/>
    </row>
    <row r="272" spans="1:22" ht="15" customHeight="1">
      <c r="A272" s="2884"/>
      <c r="B272" s="2913"/>
      <c r="C272" s="4833"/>
      <c r="D272" s="4833"/>
      <c r="E272" s="4833"/>
      <c r="F272" s="4833"/>
      <c r="G272" s="4833"/>
      <c r="H272" s="4833"/>
      <c r="I272" s="4833"/>
      <c r="J272" s="4833"/>
      <c r="K272" s="4833"/>
      <c r="L272" s="4834"/>
      <c r="M272" s="2912"/>
      <c r="N272" s="2912"/>
      <c r="O272" s="2882"/>
      <c r="P272" s="4838"/>
      <c r="Q272" s="4839"/>
      <c r="R272" s="4839"/>
      <c r="S272" s="4839"/>
      <c r="T272" s="4839"/>
      <c r="U272" s="4839"/>
      <c r="V272" s="4840"/>
    </row>
    <row r="273" spans="1:22" ht="15.75">
      <c r="A273" s="2884"/>
      <c r="B273" s="2911"/>
      <c r="C273" s="2910" t="s">
        <v>6433</v>
      </c>
      <c r="D273" s="2910"/>
      <c r="E273" s="2909"/>
      <c r="F273" s="2905">
        <v>0.05</v>
      </c>
      <c r="G273" s="2905">
        <v>7.0000000000000007E-2</v>
      </c>
      <c r="H273" s="2908">
        <v>0.11</v>
      </c>
      <c r="I273" s="2907">
        <f>(H273*L273%)+H273</f>
        <v>0.121</v>
      </c>
      <c r="J273" s="2906">
        <v>0.1</v>
      </c>
      <c r="K273" s="2905">
        <v>7.0000000000000007E-2</v>
      </c>
      <c r="L273" s="2904">
        <v>10</v>
      </c>
      <c r="M273" s="2883"/>
      <c r="N273" s="2883"/>
      <c r="O273" s="2903" t="str">
        <f>C273</f>
        <v>Foie, langue, rognons, boudin</v>
      </c>
      <c r="P273" s="2900">
        <f t="shared" ref="P273:U273" si="161">F273*P156</f>
        <v>12.65</v>
      </c>
      <c r="Q273" s="2900">
        <f t="shared" si="161"/>
        <v>58.030000000000008</v>
      </c>
      <c r="R273" s="2902">
        <f t="shared" si="161"/>
        <v>5.28</v>
      </c>
      <c r="S273" s="2901">
        <f t="shared" si="161"/>
        <v>1.573</v>
      </c>
      <c r="T273" s="2901">
        <f t="shared" si="161"/>
        <v>2.9000000000000004</v>
      </c>
      <c r="U273" s="2900">
        <f t="shared" si="161"/>
        <v>1.1900000000000002</v>
      </c>
      <c r="V273" s="2885">
        <f>SUM(P273:U273)</f>
        <v>81.623000000000005</v>
      </c>
    </row>
    <row r="274" spans="1:22" ht="15.75">
      <c r="A274" s="2884"/>
      <c r="B274" s="2911"/>
      <c r="C274" s="2915" t="s">
        <v>6432</v>
      </c>
      <c r="D274" s="2915"/>
      <c r="E274" s="2914"/>
      <c r="F274" s="2905">
        <v>0.05</v>
      </c>
      <c r="G274" s="2905">
        <v>7.0000000000000007E-2</v>
      </c>
      <c r="H274" s="2908">
        <v>0.15</v>
      </c>
      <c r="I274" s="2907">
        <f>(H274*L274%)+H274</f>
        <v>0.16499999999999998</v>
      </c>
      <c r="J274" s="2906">
        <v>0.15</v>
      </c>
      <c r="K274" s="2905">
        <v>0.14000000000000001</v>
      </c>
      <c r="L274" s="2904">
        <v>10</v>
      </c>
      <c r="M274" s="2883"/>
      <c r="N274" s="2883"/>
      <c r="O274" s="2903" t="str">
        <f>C274</f>
        <v>Tripes avec sauce</v>
      </c>
      <c r="P274" s="2900">
        <f t="shared" ref="P274:U274" si="162">F274*P156</f>
        <v>12.65</v>
      </c>
      <c r="Q274" s="2900">
        <f t="shared" si="162"/>
        <v>58.030000000000008</v>
      </c>
      <c r="R274" s="2902">
        <f t="shared" si="162"/>
        <v>7.1999999999999993</v>
      </c>
      <c r="S274" s="2901">
        <f t="shared" si="162"/>
        <v>2.1449999999999996</v>
      </c>
      <c r="T274" s="2901">
        <f t="shared" si="162"/>
        <v>4.3499999999999996</v>
      </c>
      <c r="U274" s="2900">
        <f t="shared" si="162"/>
        <v>2.3800000000000003</v>
      </c>
      <c r="V274" s="2885">
        <f>SUM(P274:U274)</f>
        <v>86.754999999999995</v>
      </c>
    </row>
    <row r="275" spans="1:22" ht="15" customHeight="1">
      <c r="A275" s="2884"/>
      <c r="B275" s="2913"/>
      <c r="C275" s="4831" t="s">
        <v>6431</v>
      </c>
      <c r="D275" s="4831"/>
      <c r="E275" s="4831"/>
      <c r="F275" s="4831"/>
      <c r="G275" s="4831"/>
      <c r="H275" s="4831"/>
      <c r="I275" s="4831"/>
      <c r="J275" s="4831"/>
      <c r="K275" s="4831"/>
      <c r="L275" s="4832"/>
      <c r="M275" s="2912"/>
      <c r="N275" s="2912"/>
      <c r="O275" s="2882"/>
      <c r="P275" s="4835" t="str">
        <f>C275</f>
        <v>OEUFS (plat principal)</v>
      </c>
      <c r="Q275" s="4836"/>
      <c r="R275" s="4836"/>
      <c r="S275" s="4836"/>
      <c r="T275" s="4836"/>
      <c r="U275" s="4836"/>
      <c r="V275" s="4837"/>
    </row>
    <row r="276" spans="1:22" ht="15" customHeight="1">
      <c r="A276" s="2884"/>
      <c r="B276" s="2913"/>
      <c r="C276" s="4833"/>
      <c r="D276" s="4833"/>
      <c r="E276" s="4833"/>
      <c r="F276" s="4833"/>
      <c r="G276" s="4833"/>
      <c r="H276" s="4833"/>
      <c r="I276" s="4833"/>
      <c r="J276" s="4833"/>
      <c r="K276" s="4833"/>
      <c r="L276" s="4834"/>
      <c r="M276" s="2912"/>
      <c r="N276" s="2912"/>
      <c r="O276" s="2882"/>
      <c r="P276" s="4838"/>
      <c r="Q276" s="4839"/>
      <c r="R276" s="4839"/>
      <c r="S276" s="4839"/>
      <c r="T276" s="4839"/>
      <c r="U276" s="4839"/>
      <c r="V276" s="4840"/>
    </row>
    <row r="277" spans="1:22" ht="15.75">
      <c r="A277" s="2884"/>
      <c r="B277" s="2911"/>
      <c r="C277" s="2910" t="s">
        <v>6430</v>
      </c>
      <c r="D277" s="2910"/>
      <c r="E277" s="2909"/>
      <c r="F277" s="2905">
        <v>1</v>
      </c>
      <c r="G277" s="2905">
        <v>2</v>
      </c>
      <c r="H277" s="2908">
        <v>2.5</v>
      </c>
      <c r="I277" s="2907">
        <f>(H277*L277%)+H277</f>
        <v>2.75</v>
      </c>
      <c r="J277" s="2906">
        <v>2</v>
      </c>
      <c r="K277" s="2905">
        <v>1.5</v>
      </c>
      <c r="L277" s="2904">
        <v>10</v>
      </c>
      <c r="M277" s="2883"/>
      <c r="N277" s="2883"/>
      <c r="O277" s="2920" t="str">
        <f>C277</f>
        <v>Œufs durs (à l'unité)</v>
      </c>
      <c r="P277" s="2917">
        <f t="shared" ref="P277:U277" si="163">F277*P156</f>
        <v>253</v>
      </c>
      <c r="Q277" s="2917">
        <f t="shared" si="163"/>
        <v>1658</v>
      </c>
      <c r="R277" s="2919">
        <f t="shared" si="163"/>
        <v>120</v>
      </c>
      <c r="S277" s="2918">
        <f t="shared" si="163"/>
        <v>35.75</v>
      </c>
      <c r="T277" s="2918">
        <f t="shared" si="163"/>
        <v>58</v>
      </c>
      <c r="U277" s="2917">
        <f t="shared" si="163"/>
        <v>25.5</v>
      </c>
      <c r="V277" s="2885">
        <f>SUM(P277:U277)</f>
        <v>2150.25</v>
      </c>
    </row>
    <row r="278" spans="1:22" ht="15.75">
      <c r="A278" s="2884"/>
      <c r="B278" s="2911"/>
      <c r="C278" s="2915" t="s">
        <v>6429</v>
      </c>
      <c r="D278" s="2915"/>
      <c r="E278" s="2914"/>
      <c r="F278" s="2905">
        <v>0.06</v>
      </c>
      <c r="G278" s="2905">
        <v>0.09</v>
      </c>
      <c r="H278" s="2908">
        <v>0.11</v>
      </c>
      <c r="I278" s="2907">
        <f>(H278*L278%)+H278</f>
        <v>0.121</v>
      </c>
      <c r="J278" s="2906">
        <v>0.09</v>
      </c>
      <c r="K278" s="2905">
        <v>0.06</v>
      </c>
      <c r="L278" s="2904">
        <v>10</v>
      </c>
      <c r="M278" s="2883"/>
      <c r="N278" s="2883"/>
      <c r="O278" s="2903" t="str">
        <f>C278</f>
        <v>Omelette</v>
      </c>
      <c r="P278" s="2900">
        <f t="shared" ref="P278:U278" si="164">F278*P156</f>
        <v>15.18</v>
      </c>
      <c r="Q278" s="2900">
        <f t="shared" si="164"/>
        <v>74.61</v>
      </c>
      <c r="R278" s="2902">
        <f t="shared" si="164"/>
        <v>5.28</v>
      </c>
      <c r="S278" s="2901">
        <f t="shared" si="164"/>
        <v>1.573</v>
      </c>
      <c r="T278" s="2901">
        <f t="shared" si="164"/>
        <v>2.61</v>
      </c>
      <c r="U278" s="2900">
        <f t="shared" si="164"/>
        <v>1.02</v>
      </c>
      <c r="V278" s="2885">
        <f>SUM(P278:U278)</f>
        <v>100.27299999999998</v>
      </c>
    </row>
    <row r="279" spans="1:22" ht="15" customHeight="1">
      <c r="A279" s="2884"/>
      <c r="B279" s="2913"/>
      <c r="C279" s="4831" t="s">
        <v>6428</v>
      </c>
      <c r="D279" s="4831"/>
      <c r="E279" s="4831"/>
      <c r="F279" s="4831"/>
      <c r="G279" s="4831"/>
      <c r="H279" s="4831"/>
      <c r="I279" s="4831"/>
      <c r="J279" s="4831"/>
      <c r="K279" s="4831"/>
      <c r="L279" s="4832"/>
      <c r="M279" s="2912"/>
      <c r="N279" s="2912"/>
      <c r="O279" s="2882"/>
      <c r="P279" s="4835" t="str">
        <f>C279</f>
        <v>POISSONS (Sans sauce)</v>
      </c>
      <c r="Q279" s="4836"/>
      <c r="R279" s="4836"/>
      <c r="S279" s="4836"/>
      <c r="T279" s="4836"/>
      <c r="U279" s="4836"/>
      <c r="V279" s="4837"/>
    </row>
    <row r="280" spans="1:22" ht="15" customHeight="1">
      <c r="A280" s="2884"/>
      <c r="B280" s="2913"/>
      <c r="C280" s="4833"/>
      <c r="D280" s="4833"/>
      <c r="E280" s="4833"/>
      <c r="F280" s="4833"/>
      <c r="G280" s="4833"/>
      <c r="H280" s="4833"/>
      <c r="I280" s="4833"/>
      <c r="J280" s="4833"/>
      <c r="K280" s="4833"/>
      <c r="L280" s="4834"/>
      <c r="M280" s="2912"/>
      <c r="N280" s="2912"/>
      <c r="O280" s="2882"/>
      <c r="P280" s="4838"/>
      <c r="Q280" s="4839"/>
      <c r="R280" s="4839"/>
      <c r="S280" s="4839"/>
      <c r="T280" s="4839"/>
      <c r="U280" s="4839"/>
      <c r="V280" s="4840"/>
    </row>
    <row r="281" spans="1:22" ht="15.75">
      <c r="A281" s="2884"/>
      <c r="B281" s="2911"/>
      <c r="C281" s="2910" t="s">
        <v>6427</v>
      </c>
      <c r="D281" s="2910"/>
      <c r="E281" s="2909"/>
      <c r="F281" s="2905">
        <v>0.05</v>
      </c>
      <c r="G281" s="2905">
        <v>7.0000000000000007E-2</v>
      </c>
      <c r="H281" s="2908">
        <v>0.11</v>
      </c>
      <c r="I281" s="2907">
        <f>(H281*L281%)+H281</f>
        <v>0.121</v>
      </c>
      <c r="J281" s="2906">
        <v>0.1</v>
      </c>
      <c r="K281" s="2905">
        <v>7.0000000000000007E-2</v>
      </c>
      <c r="L281" s="2904">
        <v>10</v>
      </c>
      <c r="M281" s="2883"/>
      <c r="N281" s="2883"/>
      <c r="O281" s="2903" t="str">
        <f>C281</f>
        <v>Poissons non enrobés sans arêtes (filets, rôtis,
steaks, brochettes, cubes)</v>
      </c>
      <c r="P281" s="2900">
        <f t="shared" ref="P281:U281" si="165">F281*P156</f>
        <v>12.65</v>
      </c>
      <c r="Q281" s="2900">
        <f t="shared" si="165"/>
        <v>58.030000000000008</v>
      </c>
      <c r="R281" s="2902">
        <f t="shared" si="165"/>
        <v>5.28</v>
      </c>
      <c r="S281" s="2901">
        <f t="shared" si="165"/>
        <v>1.573</v>
      </c>
      <c r="T281" s="2901">
        <f t="shared" si="165"/>
        <v>2.9000000000000004</v>
      </c>
      <c r="U281" s="2900">
        <f t="shared" si="165"/>
        <v>1.1900000000000002</v>
      </c>
      <c r="V281" s="2885">
        <f>SUM(P281:U281)</f>
        <v>81.623000000000005</v>
      </c>
    </row>
    <row r="282" spans="1:22" ht="15.75">
      <c r="A282" s="2884"/>
      <c r="B282" s="2911"/>
      <c r="C282" s="2910" t="s">
        <v>6426</v>
      </c>
      <c r="D282" s="2910"/>
      <c r="E282" s="2909"/>
      <c r="F282" s="2905">
        <v>0.05</v>
      </c>
      <c r="G282" s="2905">
        <v>7.0000000000000007E-2</v>
      </c>
      <c r="H282" s="2908">
        <v>0.11</v>
      </c>
      <c r="I282" s="2907">
        <f>(H282*L282%)+H282</f>
        <v>0.121</v>
      </c>
      <c r="J282" s="2906">
        <v>0.1</v>
      </c>
      <c r="K282" s="2905">
        <v>7.0000000000000007E-2</v>
      </c>
      <c r="L282" s="2904">
        <v>10</v>
      </c>
      <c r="M282" s="2883"/>
      <c r="N282" s="2883"/>
      <c r="O282" s="2903" t="str">
        <f>C282</f>
        <v>Brochettes de poisson</v>
      </c>
      <c r="P282" s="2900">
        <f t="shared" ref="P282:U282" si="166">F282*P156</f>
        <v>12.65</v>
      </c>
      <c r="Q282" s="2900">
        <f t="shared" si="166"/>
        <v>58.030000000000008</v>
      </c>
      <c r="R282" s="2902">
        <f t="shared" si="166"/>
        <v>5.28</v>
      </c>
      <c r="S282" s="2901">
        <f t="shared" si="166"/>
        <v>1.573</v>
      </c>
      <c r="T282" s="2901">
        <f t="shared" si="166"/>
        <v>2.9000000000000004</v>
      </c>
      <c r="U282" s="2900">
        <f t="shared" si="166"/>
        <v>1.1900000000000002</v>
      </c>
      <c r="V282" s="2885">
        <f>SUM(P282:U282)</f>
        <v>81.623000000000005</v>
      </c>
    </row>
    <row r="283" spans="1:22" ht="15.75">
      <c r="A283" s="2884"/>
      <c r="B283" s="2911"/>
      <c r="C283" s="2910" t="s">
        <v>6425</v>
      </c>
      <c r="D283" s="2910"/>
      <c r="E283" s="2909"/>
      <c r="F283" s="2905">
        <v>0</v>
      </c>
      <c r="G283" s="2905">
        <v>0</v>
      </c>
      <c r="H283" s="2908">
        <v>1.1299999999999999</v>
      </c>
      <c r="I283" s="2907">
        <f>(H283*L283%)+H283</f>
        <v>1.2429999999999999</v>
      </c>
      <c r="J283" s="2906">
        <v>0.12</v>
      </c>
      <c r="K283" s="2905">
        <v>0.08</v>
      </c>
      <c r="L283" s="2904">
        <v>10</v>
      </c>
      <c r="M283" s="2883"/>
      <c r="N283" s="2883"/>
      <c r="O283" s="2903" t="str">
        <f>C283</f>
        <v>Darne</v>
      </c>
      <c r="P283" s="2900">
        <f t="shared" ref="P283:U283" si="167">F283*P156</f>
        <v>0</v>
      </c>
      <c r="Q283" s="2900">
        <f t="shared" si="167"/>
        <v>0</v>
      </c>
      <c r="R283" s="2902">
        <f t="shared" si="167"/>
        <v>54.239999999999995</v>
      </c>
      <c r="S283" s="2901">
        <f t="shared" si="167"/>
        <v>16.158999999999999</v>
      </c>
      <c r="T283" s="2901">
        <f t="shared" si="167"/>
        <v>3.48</v>
      </c>
      <c r="U283" s="2900">
        <f t="shared" si="167"/>
        <v>1.36</v>
      </c>
      <c r="V283" s="2885">
        <f>SUM(P283:U283)</f>
        <v>75.239000000000004</v>
      </c>
    </row>
    <row r="284" spans="1:22" ht="15.75">
      <c r="A284" s="2884"/>
      <c r="B284" s="2911"/>
      <c r="C284" s="2910" t="s">
        <v>6424</v>
      </c>
      <c r="D284" s="2910"/>
      <c r="E284" s="2909"/>
      <c r="F284" s="2905">
        <v>0.05</v>
      </c>
      <c r="G284" s="2905">
        <v>7.0000000000000007E-2</v>
      </c>
      <c r="H284" s="2908">
        <v>0.11</v>
      </c>
      <c r="I284" s="2907">
        <f>(H284*L284%)+H284</f>
        <v>0.121</v>
      </c>
      <c r="J284" s="2906">
        <v>0.1</v>
      </c>
      <c r="K284" s="2905">
        <v>7.0000000000000007E-2</v>
      </c>
      <c r="L284" s="2904">
        <v>10</v>
      </c>
      <c r="M284" s="2883"/>
      <c r="N284" s="2883"/>
      <c r="O284" s="2903" t="str">
        <f>C284</f>
        <v>Beignets, poissons panés ou enrobés (croquettes,
paupiettes,…)</v>
      </c>
      <c r="P284" s="2900">
        <f t="shared" ref="P284:U284" si="168">F284*P156</f>
        <v>12.65</v>
      </c>
      <c r="Q284" s="2900">
        <f t="shared" si="168"/>
        <v>58.030000000000008</v>
      </c>
      <c r="R284" s="2902">
        <f t="shared" si="168"/>
        <v>5.28</v>
      </c>
      <c r="S284" s="2901">
        <f t="shared" si="168"/>
        <v>1.573</v>
      </c>
      <c r="T284" s="2901">
        <f t="shared" si="168"/>
        <v>2.9000000000000004</v>
      </c>
      <c r="U284" s="2900">
        <f t="shared" si="168"/>
        <v>1.1900000000000002</v>
      </c>
      <c r="V284" s="2885">
        <f>SUM(P284:U284)</f>
        <v>81.623000000000005</v>
      </c>
    </row>
    <row r="285" spans="1:22" ht="15.75">
      <c r="A285" s="2884"/>
      <c r="B285" s="2911"/>
      <c r="C285" s="2915" t="s">
        <v>6423</v>
      </c>
      <c r="D285" s="2915"/>
      <c r="E285" s="2914"/>
      <c r="F285" s="2905">
        <v>0</v>
      </c>
      <c r="G285" s="2905">
        <v>0</v>
      </c>
      <c r="H285" s="2908">
        <v>0.16</v>
      </c>
      <c r="I285" s="2907">
        <f>(H285*L285%)+H285</f>
        <v>0.17599999999999999</v>
      </c>
      <c r="J285" s="2906">
        <v>0.15</v>
      </c>
      <c r="K285" s="2905">
        <v>0.11</v>
      </c>
      <c r="L285" s="2904">
        <v>10</v>
      </c>
      <c r="M285" s="2883"/>
      <c r="N285" s="2883"/>
      <c r="O285" s="2903" t="str">
        <f>C285</f>
        <v>Poissons entiers</v>
      </c>
      <c r="P285" s="2900">
        <f t="shared" ref="P285:U285" si="169">F285*P156</f>
        <v>0</v>
      </c>
      <c r="Q285" s="2900">
        <f t="shared" si="169"/>
        <v>0</v>
      </c>
      <c r="R285" s="2902">
        <f t="shared" si="169"/>
        <v>7.68</v>
      </c>
      <c r="S285" s="2901">
        <f t="shared" si="169"/>
        <v>2.2879999999999998</v>
      </c>
      <c r="T285" s="2901">
        <f t="shared" si="169"/>
        <v>4.3499999999999996</v>
      </c>
      <c r="U285" s="2900">
        <f t="shared" si="169"/>
        <v>1.87</v>
      </c>
      <c r="V285" s="2885">
        <f>SUM(P285:U285)</f>
        <v>16.187999999999999</v>
      </c>
    </row>
    <row r="286" spans="1:22" ht="15" customHeight="1">
      <c r="A286" s="2884"/>
      <c r="B286" s="2913"/>
      <c r="C286" s="4831" t="s">
        <v>6422</v>
      </c>
      <c r="D286" s="4831"/>
      <c r="E286" s="4831"/>
      <c r="F286" s="4831"/>
      <c r="G286" s="4831"/>
      <c r="H286" s="4831"/>
      <c r="I286" s="4831"/>
      <c r="J286" s="4831"/>
      <c r="K286" s="4831"/>
      <c r="L286" s="4832"/>
      <c r="M286" s="2912"/>
      <c r="N286" s="2912"/>
      <c r="O286" s="2882"/>
      <c r="P286" s="4835" t="str">
        <f>C286</f>
        <v>*- PLATS COMPOSES (denrée protidique et garniture)</v>
      </c>
      <c r="Q286" s="4836"/>
      <c r="R286" s="4836"/>
      <c r="S286" s="4836"/>
      <c r="T286" s="4836"/>
      <c r="U286" s="4836"/>
      <c r="V286" s="4837"/>
    </row>
    <row r="287" spans="1:22" ht="15" customHeight="1">
      <c r="A287" s="2884"/>
      <c r="B287" s="2913"/>
      <c r="C287" s="4833"/>
      <c r="D287" s="4833"/>
      <c r="E287" s="4833"/>
      <c r="F287" s="4833"/>
      <c r="G287" s="4833"/>
      <c r="H287" s="4833"/>
      <c r="I287" s="4833"/>
      <c r="J287" s="4833"/>
      <c r="K287" s="4833"/>
      <c r="L287" s="4834"/>
      <c r="M287" s="2912"/>
      <c r="N287" s="2912"/>
      <c r="O287" s="2882"/>
      <c r="P287" s="4838"/>
      <c r="Q287" s="4839"/>
      <c r="R287" s="4839"/>
      <c r="S287" s="4839"/>
      <c r="T287" s="4839"/>
      <c r="U287" s="4839"/>
      <c r="V287" s="4840"/>
    </row>
    <row r="288" spans="1:22" ht="15.75">
      <c r="A288" s="2884"/>
      <c r="B288" s="2911"/>
      <c r="C288" s="2910" t="s">
        <v>6421</v>
      </c>
      <c r="D288" s="2910"/>
      <c r="E288" s="2909"/>
      <c r="F288" s="2905">
        <v>0.05</v>
      </c>
      <c r="G288" s="2905">
        <v>7.0000000000000007E-2</v>
      </c>
      <c r="H288" s="2908">
        <v>0.11</v>
      </c>
      <c r="I288" s="2907">
        <f t="shared" ref="I288:I295" si="170">(H288*L288%)+H288</f>
        <v>0.121</v>
      </c>
      <c r="J288" s="2906">
        <v>0.1</v>
      </c>
      <c r="K288" s="2905">
        <v>7.0000000000000007E-2</v>
      </c>
      <c r="L288" s="2904">
        <v>10</v>
      </c>
      <c r="M288" s="2883"/>
      <c r="N288" s="2883"/>
      <c r="O288" s="2903" t="str">
        <f t="shared" ref="O288:O295" si="171">C288</f>
        <v>Plat composé, choucroute, paëlla, etc. (poids minimum d’aliment protidique)</v>
      </c>
      <c r="P288" s="2900">
        <f t="shared" ref="P288:U288" si="172">F288*P156</f>
        <v>12.65</v>
      </c>
      <c r="Q288" s="2900">
        <f t="shared" si="172"/>
        <v>58.030000000000008</v>
      </c>
      <c r="R288" s="2902">
        <f t="shared" si="172"/>
        <v>5.28</v>
      </c>
      <c r="S288" s="2901">
        <f t="shared" si="172"/>
        <v>1.573</v>
      </c>
      <c r="T288" s="2901">
        <f t="shared" si="172"/>
        <v>2.9000000000000004</v>
      </c>
      <c r="U288" s="2900">
        <f t="shared" si="172"/>
        <v>1.1900000000000002</v>
      </c>
      <c r="V288" s="2885">
        <f t="shared" ref="V288:V295" si="173">SUM(P288:U288)</f>
        <v>81.623000000000005</v>
      </c>
    </row>
    <row r="289" spans="1:22" ht="15.75">
      <c r="A289" s="2916"/>
      <c r="B289" s="2911"/>
      <c r="C289" s="2910" t="s">
        <v>6420</v>
      </c>
      <c r="D289" s="2910"/>
      <c r="E289" s="2909"/>
      <c r="F289" s="2905">
        <v>0.05</v>
      </c>
      <c r="G289" s="2905">
        <v>7.0000000000000007E-2</v>
      </c>
      <c r="H289" s="2908">
        <v>0.11</v>
      </c>
      <c r="I289" s="2907">
        <f t="shared" si="170"/>
        <v>0.121</v>
      </c>
      <c r="J289" s="2906">
        <v>0.1</v>
      </c>
      <c r="K289" s="2905">
        <v>7.0000000000000007E-2</v>
      </c>
      <c r="L289" s="2904">
        <v>10</v>
      </c>
      <c r="M289" s="2883"/>
      <c r="N289" s="2883"/>
      <c r="O289" s="2903" t="str">
        <f t="shared" si="171"/>
        <v>Hachis Parmentier, Brandade, Légumes farcis (poids minimum d’aliment protidique)</v>
      </c>
      <c r="P289" s="2900">
        <f t="shared" ref="P289:U289" si="174">F289*P156</f>
        <v>12.65</v>
      </c>
      <c r="Q289" s="2900">
        <f t="shared" si="174"/>
        <v>58.030000000000008</v>
      </c>
      <c r="R289" s="2902">
        <f t="shared" si="174"/>
        <v>5.28</v>
      </c>
      <c r="S289" s="2901">
        <f t="shared" si="174"/>
        <v>1.573</v>
      </c>
      <c r="T289" s="2901">
        <f t="shared" si="174"/>
        <v>2.9000000000000004</v>
      </c>
      <c r="U289" s="2900">
        <f t="shared" si="174"/>
        <v>1.1900000000000002</v>
      </c>
      <c r="V289" s="2885">
        <f t="shared" si="173"/>
        <v>81.623000000000005</v>
      </c>
    </row>
    <row r="290" spans="1:22" ht="15.75">
      <c r="A290" s="2884"/>
      <c r="B290" s="2911"/>
      <c r="C290" s="2910" t="s">
        <v>6419</v>
      </c>
      <c r="D290" s="2910"/>
      <c r="E290" s="2909"/>
      <c r="F290" s="2905">
        <v>0.18</v>
      </c>
      <c r="G290" s="2905">
        <v>0.25</v>
      </c>
      <c r="H290" s="2908">
        <v>0.28000000000000003</v>
      </c>
      <c r="I290" s="2907">
        <f t="shared" si="170"/>
        <v>0.30800000000000005</v>
      </c>
      <c r="J290" s="2906">
        <v>0.25</v>
      </c>
      <c r="K290" s="2905">
        <v>0.17</v>
      </c>
      <c r="L290" s="2904">
        <v>10</v>
      </c>
      <c r="M290" s="2883"/>
      <c r="N290" s="2883"/>
      <c r="O290" s="2903" t="str">
        <f t="shared" si="171"/>
        <v>Raviolis, Cannellonis, Lasagnes ... (poids ration
avec sauce)</v>
      </c>
      <c r="P290" s="2900">
        <f t="shared" ref="P290:U290" si="175">F290*P156</f>
        <v>45.54</v>
      </c>
      <c r="Q290" s="2900">
        <f t="shared" si="175"/>
        <v>207.25</v>
      </c>
      <c r="R290" s="2902">
        <f t="shared" si="175"/>
        <v>13.440000000000001</v>
      </c>
      <c r="S290" s="2901">
        <f t="shared" si="175"/>
        <v>4.0040000000000004</v>
      </c>
      <c r="T290" s="2901">
        <f t="shared" si="175"/>
        <v>7.25</v>
      </c>
      <c r="U290" s="2900">
        <f t="shared" si="175"/>
        <v>2.89</v>
      </c>
      <c r="V290" s="2885">
        <f t="shared" si="173"/>
        <v>280.37400000000002</v>
      </c>
    </row>
    <row r="291" spans="1:22" ht="15.75">
      <c r="A291" s="2884"/>
      <c r="B291" s="2911"/>
      <c r="C291" s="2910" t="s">
        <v>6418</v>
      </c>
      <c r="D291" s="2910"/>
      <c r="E291" s="2909"/>
      <c r="F291" s="2905">
        <v>0.1</v>
      </c>
      <c r="G291" s="2905">
        <v>0.15</v>
      </c>
      <c r="H291" s="2908">
        <v>0.2</v>
      </c>
      <c r="I291" s="2907">
        <f t="shared" si="170"/>
        <v>0.22000000000000003</v>
      </c>
      <c r="J291" s="2906">
        <v>0.15</v>
      </c>
      <c r="K291" s="2905">
        <v>0.15</v>
      </c>
      <c r="L291" s="2904">
        <v>10</v>
      </c>
      <c r="M291" s="2883"/>
      <c r="N291" s="2883"/>
      <c r="O291" s="2903" t="str">
        <f t="shared" si="171"/>
        <v>Préparations pâtissières (crêpes, pizzas, croque-
monsieur, friands, quiches)</v>
      </c>
      <c r="P291" s="2900">
        <f t="shared" ref="P291:U291" si="176">F291*P156</f>
        <v>25.3</v>
      </c>
      <c r="Q291" s="2900">
        <f t="shared" si="176"/>
        <v>124.35</v>
      </c>
      <c r="R291" s="2902">
        <f t="shared" si="176"/>
        <v>9.6000000000000014</v>
      </c>
      <c r="S291" s="2901">
        <f t="shared" si="176"/>
        <v>2.8600000000000003</v>
      </c>
      <c r="T291" s="2901">
        <f t="shared" si="176"/>
        <v>4.3499999999999996</v>
      </c>
      <c r="U291" s="2900">
        <f t="shared" si="176"/>
        <v>2.5499999999999998</v>
      </c>
      <c r="V291" s="2885">
        <f t="shared" si="173"/>
        <v>169.01000000000002</v>
      </c>
    </row>
    <row r="292" spans="1:22" ht="15.75">
      <c r="A292" s="2884"/>
      <c r="B292" s="2911"/>
      <c r="C292" s="2910" t="s">
        <v>6417</v>
      </c>
      <c r="D292" s="2910"/>
      <c r="E292" s="2909"/>
      <c r="F292" s="2905">
        <v>0.06</v>
      </c>
      <c r="G292" s="2905">
        <v>0.08</v>
      </c>
      <c r="H292" s="2908">
        <v>0.14000000000000001</v>
      </c>
      <c r="I292" s="2907">
        <f t="shared" si="170"/>
        <v>0.15400000000000003</v>
      </c>
      <c r="J292" s="2906">
        <v>0.12</v>
      </c>
      <c r="K292" s="2905">
        <v>0.08</v>
      </c>
      <c r="L292" s="2904">
        <v>10</v>
      </c>
      <c r="M292" s="2883"/>
      <c r="N292" s="2883"/>
      <c r="O292" s="2903" t="str">
        <f t="shared" si="171"/>
        <v>Quenelle</v>
      </c>
      <c r="P292" s="2900">
        <f t="shared" ref="P292:U292" si="177">F292*P156</f>
        <v>15.18</v>
      </c>
      <c r="Q292" s="2900">
        <f t="shared" si="177"/>
        <v>66.320000000000007</v>
      </c>
      <c r="R292" s="2902">
        <f t="shared" si="177"/>
        <v>6.7200000000000006</v>
      </c>
      <c r="S292" s="2901">
        <f t="shared" si="177"/>
        <v>2.0020000000000002</v>
      </c>
      <c r="T292" s="2901">
        <f t="shared" si="177"/>
        <v>3.48</v>
      </c>
      <c r="U292" s="2900">
        <f t="shared" si="177"/>
        <v>1.36</v>
      </c>
      <c r="V292" s="2885">
        <f t="shared" si="173"/>
        <v>95.061999999999998</v>
      </c>
    </row>
    <row r="293" spans="1:22" ht="15.75">
      <c r="A293" s="2884"/>
      <c r="B293" s="2911"/>
      <c r="C293" s="2910"/>
      <c r="D293" s="2910"/>
      <c r="E293" s="2909"/>
      <c r="F293" s="2905"/>
      <c r="G293" s="2905"/>
      <c r="H293" s="2908"/>
      <c r="I293" s="2907">
        <f t="shared" si="170"/>
        <v>0</v>
      </c>
      <c r="J293" s="2906"/>
      <c r="K293" s="2905"/>
      <c r="L293" s="2904"/>
      <c r="M293" s="2883"/>
      <c r="N293" s="2883"/>
      <c r="O293" s="2903">
        <f t="shared" si="171"/>
        <v>0</v>
      </c>
      <c r="P293" s="2900">
        <f t="shared" ref="P293:U293" si="178">F293*P156</f>
        <v>0</v>
      </c>
      <c r="Q293" s="2900">
        <f t="shared" si="178"/>
        <v>0</v>
      </c>
      <c r="R293" s="2902">
        <f t="shared" si="178"/>
        <v>0</v>
      </c>
      <c r="S293" s="2901">
        <f t="shared" si="178"/>
        <v>0</v>
      </c>
      <c r="T293" s="2901">
        <f t="shared" si="178"/>
        <v>0</v>
      </c>
      <c r="U293" s="2900">
        <f t="shared" si="178"/>
        <v>0</v>
      </c>
      <c r="V293" s="2885">
        <f t="shared" si="173"/>
        <v>0</v>
      </c>
    </row>
    <row r="294" spans="1:22" ht="15.75">
      <c r="A294" s="2884"/>
      <c r="B294" s="2911"/>
      <c r="C294" s="2910"/>
      <c r="D294" s="2910"/>
      <c r="E294" s="2909"/>
      <c r="F294" s="2905"/>
      <c r="G294" s="2905"/>
      <c r="H294" s="2908"/>
      <c r="I294" s="2907">
        <f t="shared" si="170"/>
        <v>0</v>
      </c>
      <c r="J294" s="2906"/>
      <c r="K294" s="2905"/>
      <c r="L294" s="2904"/>
      <c r="M294" s="2883"/>
      <c r="N294" s="2883"/>
      <c r="O294" s="2903">
        <f t="shared" si="171"/>
        <v>0</v>
      </c>
      <c r="P294" s="2900">
        <f t="shared" ref="P294:U294" si="179">F294*P156</f>
        <v>0</v>
      </c>
      <c r="Q294" s="2900">
        <f t="shared" si="179"/>
        <v>0</v>
      </c>
      <c r="R294" s="2902">
        <f t="shared" si="179"/>
        <v>0</v>
      </c>
      <c r="S294" s="2901">
        <f t="shared" si="179"/>
        <v>0</v>
      </c>
      <c r="T294" s="2901">
        <f t="shared" si="179"/>
        <v>0</v>
      </c>
      <c r="U294" s="2900">
        <f t="shared" si="179"/>
        <v>0</v>
      </c>
      <c r="V294" s="2885">
        <f t="shared" si="173"/>
        <v>0</v>
      </c>
    </row>
    <row r="295" spans="1:22" ht="15.75">
      <c r="A295" s="2884"/>
      <c r="B295" s="2911"/>
      <c r="C295" s="2915" t="s">
        <v>6416</v>
      </c>
      <c r="D295" s="2915"/>
      <c r="E295" s="2914"/>
      <c r="F295" s="2905">
        <v>0.1</v>
      </c>
      <c r="G295" s="2905">
        <v>0.1</v>
      </c>
      <c r="H295" s="2908">
        <v>0.15</v>
      </c>
      <c r="I295" s="2907">
        <f t="shared" si="170"/>
        <v>0.16499999999999998</v>
      </c>
      <c r="J295" s="2906">
        <v>0.15</v>
      </c>
      <c r="K295" s="2905">
        <v>0.15</v>
      </c>
      <c r="L295" s="2904">
        <v>10</v>
      </c>
      <c r="M295" s="2883"/>
      <c r="N295" s="2883"/>
      <c r="O295" s="2903" t="str">
        <f t="shared" si="171"/>
        <v>LEGUMES CUITS</v>
      </c>
      <c r="P295" s="2900">
        <f t="shared" ref="P295:U295" si="180">F295*P156</f>
        <v>25.3</v>
      </c>
      <c r="Q295" s="2900">
        <f t="shared" si="180"/>
        <v>82.9</v>
      </c>
      <c r="R295" s="2902">
        <f t="shared" si="180"/>
        <v>7.1999999999999993</v>
      </c>
      <c r="S295" s="2901">
        <f t="shared" si="180"/>
        <v>2.1449999999999996</v>
      </c>
      <c r="T295" s="2901">
        <f t="shared" si="180"/>
        <v>4.3499999999999996</v>
      </c>
      <c r="U295" s="2900">
        <f t="shared" si="180"/>
        <v>2.5499999999999998</v>
      </c>
      <c r="V295" s="2885">
        <f t="shared" si="173"/>
        <v>124.44499999999999</v>
      </c>
    </row>
    <row r="296" spans="1:22" ht="15" customHeight="1">
      <c r="A296" s="2884"/>
      <c r="B296" s="2913"/>
      <c r="C296" s="4833" t="s">
        <v>6415</v>
      </c>
      <c r="D296" s="4833"/>
      <c r="E296" s="4833"/>
      <c r="F296" s="4831"/>
      <c r="G296" s="4831"/>
      <c r="H296" s="4831"/>
      <c r="I296" s="4831"/>
      <c r="J296" s="4831"/>
      <c r="K296" s="4831"/>
      <c r="L296" s="4832"/>
      <c r="M296" s="2912"/>
      <c r="N296" s="2912"/>
      <c r="O296" s="2882"/>
      <c r="P296" s="4835" t="str">
        <f>C296</f>
        <v>*- FÉCULENTS CUITS</v>
      </c>
      <c r="Q296" s="4836"/>
      <c r="R296" s="4836"/>
      <c r="S296" s="4836"/>
      <c r="T296" s="4836"/>
      <c r="U296" s="4836"/>
      <c r="V296" s="4837"/>
    </row>
    <row r="297" spans="1:22" ht="15" customHeight="1">
      <c r="A297" s="2884"/>
      <c r="B297" s="2913"/>
      <c r="C297" s="4833"/>
      <c r="D297" s="4833"/>
      <c r="E297" s="4833"/>
      <c r="F297" s="4833"/>
      <c r="G297" s="4833"/>
      <c r="H297" s="4833"/>
      <c r="I297" s="4833"/>
      <c r="J297" s="4833"/>
      <c r="K297" s="4833"/>
      <c r="L297" s="4834"/>
      <c r="M297" s="2912"/>
      <c r="N297" s="2912"/>
      <c r="O297" s="2882"/>
      <c r="P297" s="4838"/>
      <c r="Q297" s="4839"/>
      <c r="R297" s="4839"/>
      <c r="S297" s="4839"/>
      <c r="T297" s="4839"/>
      <c r="U297" s="4839"/>
      <c r="V297" s="4840"/>
    </row>
    <row r="298" spans="1:22" ht="15.75">
      <c r="A298" s="2884"/>
      <c r="B298" s="2911"/>
      <c r="C298" s="2910" t="s">
        <v>6414</v>
      </c>
      <c r="D298" s="2910"/>
      <c r="E298" s="2909"/>
      <c r="F298" s="2905">
        <v>0.12</v>
      </c>
      <c r="G298" s="2905">
        <v>0.17499999999999999</v>
      </c>
      <c r="H298" s="2908">
        <v>0.22</v>
      </c>
      <c r="I298" s="2907">
        <f t="shared" ref="I298:I307" si="181">(H298*L298%)+H298</f>
        <v>0.24199999999999999</v>
      </c>
      <c r="J298" s="2906">
        <v>0.2</v>
      </c>
      <c r="K298" s="2905">
        <v>0.2</v>
      </c>
      <c r="L298" s="2904">
        <v>10</v>
      </c>
      <c r="M298" s="2883"/>
      <c r="N298" s="2883"/>
      <c r="O298" s="2903" t="str">
        <f t="shared" ref="O298:O307" si="182">C298</f>
        <v>Riz – Pâtes – Pommes de terre</v>
      </c>
      <c r="P298" s="2900">
        <f t="shared" ref="P298:U298" si="183">F298*P156</f>
        <v>30.36</v>
      </c>
      <c r="Q298" s="2900">
        <f t="shared" si="183"/>
        <v>145.07499999999999</v>
      </c>
      <c r="R298" s="2902">
        <f t="shared" si="183"/>
        <v>10.56</v>
      </c>
      <c r="S298" s="2901">
        <f t="shared" si="183"/>
        <v>3.1459999999999999</v>
      </c>
      <c r="T298" s="2901">
        <f t="shared" si="183"/>
        <v>5.8000000000000007</v>
      </c>
      <c r="U298" s="2900">
        <f t="shared" si="183"/>
        <v>3.4000000000000004</v>
      </c>
      <c r="V298" s="2885">
        <f t="shared" ref="V298:V307" si="184">SUM(P298:U298)</f>
        <v>198.34100000000001</v>
      </c>
    </row>
    <row r="299" spans="1:22" ht="15.75">
      <c r="A299" s="2884"/>
      <c r="B299" s="2911"/>
      <c r="C299" s="2910" t="s">
        <v>6413</v>
      </c>
      <c r="D299" s="2910"/>
      <c r="E299" s="2909"/>
      <c r="F299" s="2905">
        <v>0.15</v>
      </c>
      <c r="G299" s="2905">
        <v>1.18</v>
      </c>
      <c r="H299" s="2908">
        <v>0.25</v>
      </c>
      <c r="I299" s="2907">
        <f t="shared" si="181"/>
        <v>0.27500000000000002</v>
      </c>
      <c r="J299" s="2906">
        <v>0.23</v>
      </c>
      <c r="K299" s="2905">
        <v>0.23</v>
      </c>
      <c r="L299" s="2904">
        <v>10</v>
      </c>
      <c r="M299" s="2883"/>
      <c r="N299" s="2883"/>
      <c r="O299" s="2903" t="str">
        <f t="shared" si="182"/>
        <v>Purée de pomme de terre, fraiche ou reconstituée</v>
      </c>
      <c r="P299" s="2900">
        <f t="shared" ref="P299:U299" si="185">F299*P156</f>
        <v>37.949999999999996</v>
      </c>
      <c r="Q299" s="2900">
        <f t="shared" si="185"/>
        <v>978.21999999999991</v>
      </c>
      <c r="R299" s="2902">
        <f t="shared" si="185"/>
        <v>12</v>
      </c>
      <c r="S299" s="2901">
        <f t="shared" si="185"/>
        <v>3.5750000000000002</v>
      </c>
      <c r="T299" s="2901">
        <f t="shared" si="185"/>
        <v>6.67</v>
      </c>
      <c r="U299" s="2900">
        <f t="shared" si="185"/>
        <v>3.91</v>
      </c>
      <c r="V299" s="2885">
        <f t="shared" si="184"/>
        <v>1042.3250000000003</v>
      </c>
    </row>
    <row r="300" spans="1:22" ht="15.75">
      <c r="A300" s="2884"/>
      <c r="B300" s="2911"/>
      <c r="C300" s="2910" t="s">
        <v>6412</v>
      </c>
      <c r="D300" s="2910"/>
      <c r="E300" s="2909"/>
      <c r="F300" s="2905">
        <v>0.12</v>
      </c>
      <c r="G300" s="2905">
        <v>0.17</v>
      </c>
      <c r="H300" s="2908">
        <v>0.22</v>
      </c>
      <c r="I300" s="2907">
        <f t="shared" si="181"/>
        <v>0.24199999999999999</v>
      </c>
      <c r="J300" s="2906">
        <v>0.2</v>
      </c>
      <c r="K300" s="2905">
        <v>0.2</v>
      </c>
      <c r="L300" s="2904">
        <v>10</v>
      </c>
      <c r="M300" s="2883"/>
      <c r="N300" s="2883"/>
      <c r="O300" s="2903" t="str">
        <f t="shared" si="182"/>
        <v>Frites</v>
      </c>
      <c r="P300" s="2900">
        <f t="shared" ref="P300:U300" si="186">F300*P156</f>
        <v>30.36</v>
      </c>
      <c r="Q300" s="2900">
        <f t="shared" si="186"/>
        <v>140.93</v>
      </c>
      <c r="R300" s="2902">
        <f t="shared" si="186"/>
        <v>10.56</v>
      </c>
      <c r="S300" s="2901">
        <f t="shared" si="186"/>
        <v>3.1459999999999999</v>
      </c>
      <c r="T300" s="2901">
        <f t="shared" si="186"/>
        <v>5.8000000000000007</v>
      </c>
      <c r="U300" s="2900">
        <f t="shared" si="186"/>
        <v>3.4000000000000004</v>
      </c>
      <c r="V300" s="2885">
        <f t="shared" si="184"/>
        <v>194.19600000000003</v>
      </c>
    </row>
    <row r="301" spans="1:22" ht="15.75">
      <c r="A301" s="2884"/>
      <c r="B301" s="2911"/>
      <c r="C301" s="2910" t="s">
        <v>6411</v>
      </c>
      <c r="D301" s="2910"/>
      <c r="E301" s="2909"/>
      <c r="F301" s="2905">
        <v>0.12</v>
      </c>
      <c r="G301" s="2905">
        <v>0.17</v>
      </c>
      <c r="H301" s="2908">
        <v>0.22</v>
      </c>
      <c r="I301" s="2907">
        <f t="shared" si="181"/>
        <v>0.24199999999999999</v>
      </c>
      <c r="J301" s="2906">
        <v>0.2</v>
      </c>
      <c r="K301" s="2905">
        <v>0.2</v>
      </c>
      <c r="L301" s="2904">
        <v>10</v>
      </c>
      <c r="M301" s="2883"/>
      <c r="N301" s="2883"/>
      <c r="O301" s="2903" t="str">
        <f t="shared" si="182"/>
        <v>Légumes secs</v>
      </c>
      <c r="P301" s="2900">
        <f t="shared" ref="P301:U301" si="187">F301*P156</f>
        <v>30.36</v>
      </c>
      <c r="Q301" s="2900">
        <f t="shared" si="187"/>
        <v>140.93</v>
      </c>
      <c r="R301" s="2902">
        <f t="shared" si="187"/>
        <v>10.56</v>
      </c>
      <c r="S301" s="2901">
        <f t="shared" si="187"/>
        <v>3.1459999999999999</v>
      </c>
      <c r="T301" s="2901">
        <f t="shared" si="187"/>
        <v>5.8000000000000007</v>
      </c>
      <c r="U301" s="2900">
        <f t="shared" si="187"/>
        <v>3.4000000000000004</v>
      </c>
      <c r="V301" s="2885">
        <f t="shared" si="184"/>
        <v>194.19600000000003</v>
      </c>
    </row>
    <row r="302" spans="1:22" ht="15.75">
      <c r="A302" s="2884"/>
      <c r="B302" s="2913"/>
      <c r="C302" s="2910" t="s">
        <v>6410</v>
      </c>
      <c r="D302" s="2910"/>
      <c r="E302" s="2909"/>
      <c r="F302" s="2905">
        <v>0.05</v>
      </c>
      <c r="G302" s="2905">
        <v>7.0000000000000007E-2</v>
      </c>
      <c r="H302" s="2908">
        <v>0.08</v>
      </c>
      <c r="I302" s="2907">
        <f t="shared" si="181"/>
        <v>8.7999999999999995E-2</v>
      </c>
      <c r="J302" s="2906">
        <v>8.0000000000000002E-3</v>
      </c>
      <c r="K302" s="2905">
        <v>8.0000000000000002E-3</v>
      </c>
      <c r="L302" s="2904">
        <v>10</v>
      </c>
      <c r="M302" s="2883"/>
      <c r="N302" s="2883"/>
      <c r="O302" s="2903" t="str">
        <f t="shared" si="182"/>
        <v xml:space="preserve">SAUCES POUR PLATS </v>
      </c>
      <c r="P302" s="2900">
        <f t="shared" ref="P302:U302" si="188">F302*P156</f>
        <v>12.65</v>
      </c>
      <c r="Q302" s="2900">
        <f t="shared" si="188"/>
        <v>58.030000000000008</v>
      </c>
      <c r="R302" s="2902">
        <f t="shared" si="188"/>
        <v>3.84</v>
      </c>
      <c r="S302" s="2901">
        <f t="shared" si="188"/>
        <v>1.1439999999999999</v>
      </c>
      <c r="T302" s="2901">
        <f t="shared" si="188"/>
        <v>0.23200000000000001</v>
      </c>
      <c r="U302" s="2900">
        <f t="shared" si="188"/>
        <v>0.13600000000000001</v>
      </c>
      <c r="V302" s="2885">
        <f t="shared" si="184"/>
        <v>76.032000000000011</v>
      </c>
    </row>
    <row r="303" spans="1:22" ht="15.75">
      <c r="A303" s="2884"/>
      <c r="B303" s="2911"/>
      <c r="C303" s="2910" t="s">
        <v>6409</v>
      </c>
      <c r="D303" s="2910"/>
      <c r="E303" s="2909"/>
      <c r="F303" s="2905">
        <v>5.0000000000000001E-3</v>
      </c>
      <c r="G303" s="2905">
        <v>7.0000000000000001E-3</v>
      </c>
      <c r="H303" s="2908">
        <v>8.0000000000000002E-3</v>
      </c>
      <c r="I303" s="2907">
        <f t="shared" si="181"/>
        <v>8.8000000000000005E-3</v>
      </c>
      <c r="J303" s="2906">
        <v>8.0000000000000002E-3</v>
      </c>
      <c r="K303" s="2905">
        <v>8.0000000000000002E-3</v>
      </c>
      <c r="L303" s="2904">
        <v>10</v>
      </c>
      <c r="M303" s="2883"/>
      <c r="N303" s="2883"/>
      <c r="O303" s="2903" t="str">
        <f t="shared" si="182"/>
        <v>SAUCES POUR PLATS (mayonnaise, ketchup, etc.) Poids de la matière grasse</v>
      </c>
      <c r="P303" s="2900">
        <f t="shared" ref="P303:U303" si="189">F303*P156</f>
        <v>1.2650000000000001</v>
      </c>
      <c r="Q303" s="2900">
        <f t="shared" si="189"/>
        <v>5.8029999999999999</v>
      </c>
      <c r="R303" s="2902">
        <f t="shared" si="189"/>
        <v>0.38400000000000001</v>
      </c>
      <c r="S303" s="2901">
        <f t="shared" si="189"/>
        <v>0.1144</v>
      </c>
      <c r="T303" s="2901">
        <f t="shared" si="189"/>
        <v>0.23200000000000001</v>
      </c>
      <c r="U303" s="2900">
        <f t="shared" si="189"/>
        <v>0.13600000000000001</v>
      </c>
      <c r="V303" s="2885">
        <f t="shared" si="184"/>
        <v>7.9344000000000001</v>
      </c>
    </row>
    <row r="304" spans="1:22" ht="15.75">
      <c r="A304" s="2884"/>
      <c r="B304" s="2911"/>
      <c r="C304" s="2910" t="s">
        <v>6408</v>
      </c>
      <c r="D304" s="2910"/>
      <c r="E304" s="2909"/>
      <c r="F304" s="2905">
        <v>0.05</v>
      </c>
      <c r="G304" s="2905">
        <v>7.0000000000000007E-2</v>
      </c>
      <c r="H304" s="2908">
        <v>0.08</v>
      </c>
      <c r="I304" s="2907">
        <f t="shared" si="181"/>
        <v>8.7999999999999995E-2</v>
      </c>
      <c r="J304" s="2906">
        <v>8.0000000000000002E-3</v>
      </c>
      <c r="K304" s="2905">
        <v>8.0000000000000002E-3</v>
      </c>
      <c r="L304" s="2904">
        <v>10</v>
      </c>
      <c r="M304" s="2883"/>
      <c r="N304" s="2883"/>
      <c r="O304" s="2903" t="str">
        <f t="shared" si="182"/>
        <v>SAUCES POUR PLATS (sauce tomate, béchamel)</v>
      </c>
      <c r="P304" s="2900">
        <f t="shared" ref="P304:U304" si="190">F304*P156</f>
        <v>12.65</v>
      </c>
      <c r="Q304" s="2900">
        <f t="shared" si="190"/>
        <v>58.030000000000008</v>
      </c>
      <c r="R304" s="2902">
        <f t="shared" si="190"/>
        <v>3.84</v>
      </c>
      <c r="S304" s="2901">
        <f t="shared" si="190"/>
        <v>1.1439999999999999</v>
      </c>
      <c r="T304" s="2901">
        <f t="shared" si="190"/>
        <v>0.23200000000000001</v>
      </c>
      <c r="U304" s="2900">
        <f t="shared" si="190"/>
        <v>0.13600000000000001</v>
      </c>
      <c r="V304" s="2885">
        <f t="shared" si="184"/>
        <v>76.032000000000011</v>
      </c>
    </row>
    <row r="305" spans="1:22" ht="15.75">
      <c r="A305" s="2884"/>
      <c r="B305" s="2911"/>
      <c r="C305" s="2910" t="s">
        <v>6407</v>
      </c>
      <c r="D305" s="2910"/>
      <c r="E305" s="2909"/>
      <c r="F305" s="2905">
        <v>2.5000000000000001E-2</v>
      </c>
      <c r="G305" s="2905">
        <v>0.03</v>
      </c>
      <c r="H305" s="2908">
        <v>0.04</v>
      </c>
      <c r="I305" s="2907">
        <f t="shared" si="181"/>
        <v>4.3999999999999997E-2</v>
      </c>
      <c r="J305" s="2906">
        <v>0.04</v>
      </c>
      <c r="K305" s="2905">
        <v>3.5000000000000003E-2</v>
      </c>
      <c r="L305" s="2904">
        <v>10</v>
      </c>
      <c r="M305" s="2883"/>
      <c r="N305" s="2883"/>
      <c r="O305" s="2903" t="str">
        <f t="shared" si="182"/>
        <v>SAUCES POUR PLATS (jus de viande)</v>
      </c>
      <c r="P305" s="2900">
        <f t="shared" ref="P305:U305" si="191">F305*P156</f>
        <v>6.3250000000000002</v>
      </c>
      <c r="Q305" s="2900">
        <f t="shared" si="191"/>
        <v>24.869999999999997</v>
      </c>
      <c r="R305" s="2902">
        <f t="shared" si="191"/>
        <v>1.92</v>
      </c>
      <c r="S305" s="2901">
        <f t="shared" si="191"/>
        <v>0.57199999999999995</v>
      </c>
      <c r="T305" s="2901">
        <f t="shared" si="191"/>
        <v>1.1599999999999999</v>
      </c>
      <c r="U305" s="2900">
        <f t="shared" si="191"/>
        <v>0.59500000000000008</v>
      </c>
      <c r="V305" s="2885">
        <f t="shared" si="184"/>
        <v>35.441999999999993</v>
      </c>
    </row>
    <row r="306" spans="1:22" ht="15.75">
      <c r="A306" s="2884"/>
      <c r="B306" s="2911"/>
      <c r="C306" s="2910" t="s">
        <v>6406</v>
      </c>
      <c r="D306" s="2910"/>
      <c r="E306" s="2909"/>
      <c r="F306" s="2905">
        <v>0.03</v>
      </c>
      <c r="G306" s="2905">
        <v>0.04</v>
      </c>
      <c r="H306" s="2908">
        <v>0.06</v>
      </c>
      <c r="I306" s="2907">
        <f t="shared" si="181"/>
        <v>6.6000000000000003E-2</v>
      </c>
      <c r="J306" s="2906">
        <v>0.06</v>
      </c>
      <c r="K306" s="2905">
        <v>0.04</v>
      </c>
      <c r="L306" s="2904">
        <v>10</v>
      </c>
      <c r="M306" s="2883"/>
      <c r="N306" s="2883"/>
      <c r="O306" s="2903" t="str">
        <f t="shared" si="182"/>
        <v>SAUCES POUR PLATS (beurre blanc, sauce crème,sauce forestière)</v>
      </c>
      <c r="P306" s="2900">
        <f t="shared" ref="P306:U306" si="192">F306*P156</f>
        <v>7.59</v>
      </c>
      <c r="Q306" s="2900">
        <f t="shared" si="192"/>
        <v>33.160000000000004</v>
      </c>
      <c r="R306" s="2902">
        <f t="shared" si="192"/>
        <v>2.88</v>
      </c>
      <c r="S306" s="2901">
        <f t="shared" si="192"/>
        <v>0.8580000000000001</v>
      </c>
      <c r="T306" s="2901">
        <f t="shared" si="192"/>
        <v>1.74</v>
      </c>
      <c r="U306" s="2900">
        <f t="shared" si="192"/>
        <v>0.68</v>
      </c>
      <c r="V306" s="2885">
        <f t="shared" si="184"/>
        <v>46.908000000000001</v>
      </c>
    </row>
    <row r="307" spans="1:22" ht="15.75">
      <c r="A307" s="2884"/>
      <c r="B307" s="2911"/>
      <c r="C307" s="2915" t="s">
        <v>6405</v>
      </c>
      <c r="D307" s="2915"/>
      <c r="E307" s="2914"/>
      <c r="F307" s="2905">
        <v>0.02</v>
      </c>
      <c r="G307" s="2905">
        <v>0.03</v>
      </c>
      <c r="H307" s="2908">
        <v>3.5000000000000003E-2</v>
      </c>
      <c r="I307" s="2907">
        <f t="shared" si="181"/>
        <v>3.8500000000000006E-2</v>
      </c>
      <c r="J307" s="2906">
        <v>0.04</v>
      </c>
      <c r="K307" s="2905">
        <v>0.04</v>
      </c>
      <c r="L307" s="2904">
        <v>10</v>
      </c>
      <c r="M307" s="2883"/>
      <c r="N307" s="2883"/>
      <c r="O307" s="2903" t="str">
        <f t="shared" si="182"/>
        <v>FROMAGES</v>
      </c>
      <c r="P307" s="2900">
        <f t="shared" ref="P307:U307" si="193">F307*P156</f>
        <v>5.0600000000000005</v>
      </c>
      <c r="Q307" s="2900">
        <f t="shared" si="193"/>
        <v>24.869999999999997</v>
      </c>
      <c r="R307" s="2902">
        <f t="shared" si="193"/>
        <v>1.6800000000000002</v>
      </c>
      <c r="S307" s="2901">
        <f t="shared" si="193"/>
        <v>0.50050000000000006</v>
      </c>
      <c r="T307" s="2901">
        <f t="shared" si="193"/>
        <v>1.1599999999999999</v>
      </c>
      <c r="U307" s="2900">
        <f t="shared" si="193"/>
        <v>0.68</v>
      </c>
      <c r="V307" s="2885">
        <f t="shared" si="184"/>
        <v>33.950499999999998</v>
      </c>
    </row>
    <row r="308" spans="1:22" ht="15" customHeight="1">
      <c r="A308" s="2884"/>
      <c r="B308" s="2913"/>
      <c r="C308" s="4831" t="s">
        <v>6404</v>
      </c>
      <c r="D308" s="4831"/>
      <c r="E308" s="4831"/>
      <c r="F308" s="4831"/>
      <c r="G308" s="4831"/>
      <c r="H308" s="4831"/>
      <c r="I308" s="4831"/>
      <c r="J308" s="4831"/>
      <c r="K308" s="4831"/>
      <c r="L308" s="4832"/>
      <c r="M308" s="2912"/>
      <c r="N308" s="2912"/>
      <c r="O308" s="2882"/>
      <c r="P308" s="4835" t="str">
        <f>C308</f>
        <v>*- PRODUITS LAITIERS FRAIS</v>
      </c>
      <c r="Q308" s="4836"/>
      <c r="R308" s="4836"/>
      <c r="S308" s="4836"/>
      <c r="T308" s="4836"/>
      <c r="U308" s="4836"/>
      <c r="V308" s="4837"/>
    </row>
    <row r="309" spans="1:22" ht="15" customHeight="1">
      <c r="A309" s="2884"/>
      <c r="B309" s="2913"/>
      <c r="C309" s="4833"/>
      <c r="D309" s="4833"/>
      <c r="E309" s="4833"/>
      <c r="F309" s="4833"/>
      <c r="G309" s="4833"/>
      <c r="H309" s="4833"/>
      <c r="I309" s="4833"/>
      <c r="J309" s="4833"/>
      <c r="K309" s="4833"/>
      <c r="L309" s="4834"/>
      <c r="M309" s="2912"/>
      <c r="N309" s="2912"/>
      <c r="O309" s="2882"/>
      <c r="P309" s="4838"/>
      <c r="Q309" s="4839"/>
      <c r="R309" s="4839"/>
      <c r="S309" s="4839"/>
      <c r="T309" s="4839"/>
      <c r="U309" s="4839"/>
      <c r="V309" s="4840"/>
    </row>
    <row r="310" spans="1:22" ht="15.75">
      <c r="A310" s="2884"/>
      <c r="B310" s="2911"/>
      <c r="C310" s="2910" t="s">
        <v>6403</v>
      </c>
      <c r="D310" s="2910"/>
      <c r="E310" s="2909"/>
      <c r="F310" s="2905">
        <v>0.11</v>
      </c>
      <c r="G310" s="2905">
        <v>0.11</v>
      </c>
      <c r="H310" s="2908">
        <v>0.111</v>
      </c>
      <c r="I310" s="2907">
        <f>(H310*L310%)+H310</f>
        <v>0.1221</v>
      </c>
      <c r="J310" s="2906">
        <v>0.1</v>
      </c>
      <c r="K310" s="2905">
        <v>0.1</v>
      </c>
      <c r="L310" s="2904">
        <v>10</v>
      </c>
      <c r="M310" s="2883"/>
      <c r="N310" s="2883"/>
      <c r="O310" s="2903" t="str">
        <f>C310</f>
        <v>Fromage blanc, fromages frais</v>
      </c>
      <c r="P310" s="2900">
        <f t="shared" ref="P310:U310" si="194">F310*P156</f>
        <v>27.830000000000002</v>
      </c>
      <c r="Q310" s="2900">
        <f t="shared" si="194"/>
        <v>91.19</v>
      </c>
      <c r="R310" s="2902">
        <f t="shared" si="194"/>
        <v>5.3280000000000003</v>
      </c>
      <c r="S310" s="2901">
        <f t="shared" si="194"/>
        <v>1.5872999999999999</v>
      </c>
      <c r="T310" s="2901">
        <f t="shared" si="194"/>
        <v>2.9000000000000004</v>
      </c>
      <c r="U310" s="2900">
        <f t="shared" si="194"/>
        <v>1.7000000000000002</v>
      </c>
      <c r="V310" s="2885">
        <f>SUM(P310:U310)</f>
        <v>130.53529999999998</v>
      </c>
    </row>
    <row r="311" spans="1:22" ht="15.75">
      <c r="A311" s="2884"/>
      <c r="B311" s="2911"/>
      <c r="C311" s="2910" t="s">
        <v>6383</v>
      </c>
      <c r="D311" s="2910"/>
      <c r="E311" s="2909"/>
      <c r="F311" s="2905">
        <v>0.115</v>
      </c>
      <c r="G311" s="2905">
        <v>0.115</v>
      </c>
      <c r="H311" s="2908">
        <v>0.11600000000000001</v>
      </c>
      <c r="I311" s="2907">
        <f>(H311*L311%)+H311</f>
        <v>0.12760000000000002</v>
      </c>
      <c r="J311" s="2906">
        <v>0.115</v>
      </c>
      <c r="K311" s="2905">
        <v>0.115</v>
      </c>
      <c r="L311" s="2904">
        <v>10</v>
      </c>
      <c r="M311" s="2883"/>
      <c r="N311" s="2883"/>
      <c r="O311" s="2903" t="str">
        <f>C311</f>
        <v>Yaourt</v>
      </c>
      <c r="P311" s="2900">
        <f t="shared" ref="P311:U311" si="195">F311*P156</f>
        <v>29.095000000000002</v>
      </c>
      <c r="Q311" s="2900">
        <f t="shared" si="195"/>
        <v>95.335000000000008</v>
      </c>
      <c r="R311" s="2902">
        <f t="shared" si="195"/>
        <v>5.5680000000000005</v>
      </c>
      <c r="S311" s="2901">
        <f t="shared" si="195"/>
        <v>1.6588000000000003</v>
      </c>
      <c r="T311" s="2901">
        <f t="shared" si="195"/>
        <v>3.335</v>
      </c>
      <c r="U311" s="2900">
        <f t="shared" si="195"/>
        <v>1.9550000000000001</v>
      </c>
      <c r="V311" s="2885">
        <f>SUM(P311:U311)</f>
        <v>136.94680000000005</v>
      </c>
    </row>
    <row r="312" spans="1:22" ht="15.75">
      <c r="A312" s="2884"/>
      <c r="B312" s="2911"/>
      <c r="C312" s="2910" t="s">
        <v>6380</v>
      </c>
      <c r="D312" s="2910"/>
      <c r="E312" s="2909"/>
      <c r="F312" s="2905">
        <v>0.06</v>
      </c>
      <c r="G312" s="2905">
        <v>0.06</v>
      </c>
      <c r="H312" s="2908">
        <v>0.12</v>
      </c>
      <c r="I312" s="2907">
        <f>(H312*L312%)+H312</f>
        <v>0.13200000000000001</v>
      </c>
      <c r="J312" s="2906">
        <v>0.12</v>
      </c>
      <c r="K312" s="2905">
        <v>0.12</v>
      </c>
      <c r="L312" s="2904">
        <v>10</v>
      </c>
      <c r="M312" s="2883"/>
      <c r="N312" s="2883"/>
      <c r="O312" s="2903" t="str">
        <f>C312</f>
        <v>Petit suisse</v>
      </c>
      <c r="P312" s="2900">
        <f t="shared" ref="P312:U312" si="196">F312*P156</f>
        <v>15.18</v>
      </c>
      <c r="Q312" s="2900">
        <f t="shared" si="196"/>
        <v>49.739999999999995</v>
      </c>
      <c r="R312" s="2902">
        <f t="shared" si="196"/>
        <v>5.76</v>
      </c>
      <c r="S312" s="2901">
        <f t="shared" si="196"/>
        <v>1.7160000000000002</v>
      </c>
      <c r="T312" s="2901">
        <f t="shared" si="196"/>
        <v>3.48</v>
      </c>
      <c r="U312" s="2900">
        <f t="shared" si="196"/>
        <v>2.04</v>
      </c>
      <c r="V312" s="2885">
        <f>SUM(P312:U312)</f>
        <v>77.915999999999997</v>
      </c>
    </row>
    <row r="313" spans="1:22" ht="15.75">
      <c r="A313" s="2884"/>
      <c r="B313" s="2911"/>
      <c r="C313" s="2915" t="s">
        <v>6402</v>
      </c>
      <c r="D313" s="2915"/>
      <c r="E313" s="2914"/>
      <c r="F313" s="2905">
        <v>0.125</v>
      </c>
      <c r="G313" s="2905">
        <v>0.125</v>
      </c>
      <c r="H313" s="2908">
        <v>0.125</v>
      </c>
      <c r="I313" s="2907">
        <f>(H313*L313%)+H313</f>
        <v>0.13750000000000001</v>
      </c>
      <c r="J313" s="2906">
        <v>0</v>
      </c>
      <c r="K313" s="2905">
        <v>0</v>
      </c>
      <c r="L313" s="2904">
        <v>10</v>
      </c>
      <c r="M313" s="2883"/>
      <c r="N313" s="2883"/>
      <c r="O313" s="2903" t="str">
        <f>C313</f>
        <v>Lait demi-écrémé en ml des menus 4 composantes</v>
      </c>
      <c r="P313" s="2900">
        <f t="shared" ref="P313:U313" si="197">F313*P156</f>
        <v>31.625</v>
      </c>
      <c r="Q313" s="2900">
        <f t="shared" si="197"/>
        <v>103.625</v>
      </c>
      <c r="R313" s="2902">
        <f t="shared" si="197"/>
        <v>6</v>
      </c>
      <c r="S313" s="2901">
        <f t="shared" si="197"/>
        <v>1.7875000000000001</v>
      </c>
      <c r="T313" s="2901">
        <f t="shared" si="197"/>
        <v>0</v>
      </c>
      <c r="U313" s="2900">
        <f t="shared" si="197"/>
        <v>0</v>
      </c>
      <c r="V313" s="2885">
        <f>SUM(P313:U313)</f>
        <v>143.03749999999999</v>
      </c>
    </row>
    <row r="314" spans="1:22" ht="15" customHeight="1">
      <c r="A314" s="2884"/>
      <c r="B314" s="2913"/>
      <c r="C314" s="4831" t="s">
        <v>6401</v>
      </c>
      <c r="D314" s="4831"/>
      <c r="E314" s="4831"/>
      <c r="F314" s="4831"/>
      <c r="G314" s="4831"/>
      <c r="H314" s="4831"/>
      <c r="I314" s="4831"/>
      <c r="J314" s="4831"/>
      <c r="K314" s="4831"/>
      <c r="L314" s="4832"/>
      <c r="M314" s="2912"/>
      <c r="N314" s="2912"/>
      <c r="O314" s="2882"/>
      <c r="P314" s="4835" t="str">
        <f>C314</f>
        <v>*- DESSERTS</v>
      </c>
      <c r="Q314" s="4836"/>
      <c r="R314" s="4836"/>
      <c r="S314" s="4836"/>
      <c r="T314" s="4836"/>
      <c r="U314" s="4836"/>
      <c r="V314" s="4837"/>
    </row>
    <row r="315" spans="1:22" ht="15" customHeight="1">
      <c r="A315" s="2884"/>
      <c r="B315" s="2913"/>
      <c r="C315" s="4833"/>
      <c r="D315" s="4833"/>
      <c r="E315" s="4833"/>
      <c r="F315" s="4833"/>
      <c r="G315" s="4833"/>
      <c r="H315" s="4833"/>
      <c r="I315" s="4833"/>
      <c r="J315" s="4833"/>
      <c r="K315" s="4833"/>
      <c r="L315" s="4834"/>
      <c r="M315" s="2912"/>
      <c r="N315" s="2912"/>
      <c r="O315" s="2882"/>
      <c r="P315" s="4838"/>
      <c r="Q315" s="4839"/>
      <c r="R315" s="4839"/>
      <c r="S315" s="4839"/>
      <c r="T315" s="4839"/>
      <c r="U315" s="4839"/>
      <c r="V315" s="4840"/>
    </row>
    <row r="316" spans="1:22" ht="15.75">
      <c r="A316" s="2884"/>
      <c r="B316" s="2911"/>
      <c r="C316" s="2910" t="s">
        <v>6400</v>
      </c>
      <c r="D316" s="2910"/>
      <c r="E316" s="2909"/>
      <c r="F316" s="2905">
        <v>0.1</v>
      </c>
      <c r="G316" s="2905">
        <v>0.1</v>
      </c>
      <c r="H316" s="2908">
        <v>0.1</v>
      </c>
      <c r="I316" s="2907">
        <f t="shared" ref="I316:I323" si="198">(H316*L316%)+H316</f>
        <v>0.11000000000000001</v>
      </c>
      <c r="J316" s="2906">
        <v>0.1</v>
      </c>
      <c r="K316" s="2905">
        <v>0.1</v>
      </c>
      <c r="L316" s="2904">
        <v>10</v>
      </c>
      <c r="M316" s="2883"/>
      <c r="N316" s="2883"/>
      <c r="O316" s="2903" t="str">
        <f t="shared" ref="O316:O323" si="199">C316</f>
        <v>Desserts lactés</v>
      </c>
      <c r="P316" s="2900">
        <f t="shared" ref="P316:U316" si="200">F316*P156</f>
        <v>25.3</v>
      </c>
      <c r="Q316" s="2900">
        <f t="shared" si="200"/>
        <v>82.9</v>
      </c>
      <c r="R316" s="2902">
        <f t="shared" si="200"/>
        <v>4.8000000000000007</v>
      </c>
      <c r="S316" s="2901">
        <f t="shared" si="200"/>
        <v>1.4300000000000002</v>
      </c>
      <c r="T316" s="2901">
        <f t="shared" si="200"/>
        <v>2.9000000000000004</v>
      </c>
      <c r="U316" s="2900">
        <f t="shared" si="200"/>
        <v>1.7000000000000002</v>
      </c>
      <c r="V316" s="2885">
        <f t="shared" ref="V316:V323" si="201">SUM(P316:U316)</f>
        <v>119.03000000000002</v>
      </c>
    </row>
    <row r="317" spans="1:22" ht="15.75">
      <c r="A317" s="2884"/>
      <c r="B317" s="2911"/>
      <c r="C317" s="2910" t="s">
        <v>6399</v>
      </c>
      <c r="D317" s="2910"/>
      <c r="E317" s="2909"/>
      <c r="F317" s="2905">
        <v>0.12</v>
      </c>
      <c r="G317" s="2905">
        <v>0.12</v>
      </c>
      <c r="H317" s="2908">
        <v>0.12</v>
      </c>
      <c r="I317" s="2907">
        <f t="shared" si="198"/>
        <v>0.13200000000000001</v>
      </c>
      <c r="J317" s="2906">
        <v>0.12</v>
      </c>
      <c r="K317" s="2905">
        <v>0.12</v>
      </c>
      <c r="L317" s="2904">
        <v>10</v>
      </c>
      <c r="M317" s="2883"/>
      <c r="N317" s="2883"/>
      <c r="O317" s="2903" t="str">
        <f t="shared" si="199"/>
        <v>Mousse (en Litre)</v>
      </c>
      <c r="P317" s="2900">
        <f t="shared" ref="P317:U317" si="202">F317*P156</f>
        <v>30.36</v>
      </c>
      <c r="Q317" s="2900">
        <f t="shared" si="202"/>
        <v>99.47999999999999</v>
      </c>
      <c r="R317" s="2902">
        <f t="shared" si="202"/>
        <v>5.76</v>
      </c>
      <c r="S317" s="2901">
        <f t="shared" si="202"/>
        <v>1.7160000000000002</v>
      </c>
      <c r="T317" s="2901">
        <f t="shared" si="202"/>
        <v>3.48</v>
      </c>
      <c r="U317" s="2900">
        <f t="shared" si="202"/>
        <v>2.04</v>
      </c>
      <c r="V317" s="2885">
        <f t="shared" si="201"/>
        <v>142.83599999999996</v>
      </c>
    </row>
    <row r="318" spans="1:22" ht="15.75">
      <c r="A318" s="2884"/>
      <c r="B318" s="2911"/>
      <c r="C318" s="2910" t="s">
        <v>6398</v>
      </c>
      <c r="D318" s="2910"/>
      <c r="E318" s="2909"/>
      <c r="F318" s="2905">
        <v>0.11</v>
      </c>
      <c r="G318" s="2905">
        <v>0.1</v>
      </c>
      <c r="H318" s="2908">
        <v>0.13</v>
      </c>
      <c r="I318" s="2907">
        <f t="shared" si="198"/>
        <v>0.14300000000000002</v>
      </c>
      <c r="J318" s="2906">
        <v>0.13</v>
      </c>
      <c r="K318" s="2905">
        <v>0.13</v>
      </c>
      <c r="L318" s="2904">
        <v>10</v>
      </c>
      <c r="M318" s="2883"/>
      <c r="N318" s="2883"/>
      <c r="O318" s="2903" t="str">
        <f t="shared" si="199"/>
        <v>Fruits crus</v>
      </c>
      <c r="P318" s="2900">
        <f t="shared" ref="P318:U318" si="203">F318*P156</f>
        <v>27.830000000000002</v>
      </c>
      <c r="Q318" s="2900">
        <f t="shared" si="203"/>
        <v>82.9</v>
      </c>
      <c r="R318" s="2902">
        <f t="shared" si="203"/>
        <v>6.24</v>
      </c>
      <c r="S318" s="2901">
        <f t="shared" si="203"/>
        <v>1.8590000000000002</v>
      </c>
      <c r="T318" s="2901">
        <f t="shared" si="203"/>
        <v>3.77</v>
      </c>
      <c r="U318" s="2900">
        <f t="shared" si="203"/>
        <v>2.21</v>
      </c>
      <c r="V318" s="2885">
        <f t="shared" si="201"/>
        <v>124.80899999999998</v>
      </c>
    </row>
    <row r="319" spans="1:22" ht="15.75">
      <c r="A319" s="2884"/>
      <c r="B319" s="2911"/>
      <c r="C319" s="2910" t="s">
        <v>6397</v>
      </c>
      <c r="D319" s="2910"/>
      <c r="E319" s="2909"/>
      <c r="F319" s="2905">
        <v>0.1</v>
      </c>
      <c r="G319" s="2905">
        <v>0.1</v>
      </c>
      <c r="H319" s="2908">
        <v>0.13</v>
      </c>
      <c r="I319" s="2907">
        <f t="shared" si="198"/>
        <v>0.14300000000000002</v>
      </c>
      <c r="J319" s="2906">
        <v>0.13</v>
      </c>
      <c r="K319" s="2905">
        <v>0.13</v>
      </c>
      <c r="L319" s="2904">
        <v>10</v>
      </c>
      <c r="M319" s="2883"/>
      <c r="N319" s="2883"/>
      <c r="O319" s="2903" t="str">
        <f t="shared" si="199"/>
        <v>Fruits cuits</v>
      </c>
      <c r="P319" s="2900">
        <f t="shared" ref="P319:U319" si="204">F319*P156</f>
        <v>25.3</v>
      </c>
      <c r="Q319" s="2900">
        <f t="shared" si="204"/>
        <v>82.9</v>
      </c>
      <c r="R319" s="2902">
        <f t="shared" si="204"/>
        <v>6.24</v>
      </c>
      <c r="S319" s="2901">
        <f t="shared" si="204"/>
        <v>1.8590000000000002</v>
      </c>
      <c r="T319" s="2901">
        <f t="shared" si="204"/>
        <v>3.77</v>
      </c>
      <c r="U319" s="2900">
        <f t="shared" si="204"/>
        <v>2.21</v>
      </c>
      <c r="V319" s="2885">
        <f t="shared" si="201"/>
        <v>122.27899999999998</v>
      </c>
    </row>
    <row r="320" spans="1:22" ht="15.75">
      <c r="A320" s="2884"/>
      <c r="B320" s="2911"/>
      <c r="C320" s="2910" t="s">
        <v>6396</v>
      </c>
      <c r="D320" s="2910"/>
      <c r="E320" s="2909"/>
      <c r="F320" s="2905">
        <v>0.04</v>
      </c>
      <c r="G320" s="2905">
        <v>0.04</v>
      </c>
      <c r="H320" s="2908">
        <v>0.06</v>
      </c>
      <c r="I320" s="2907">
        <f t="shared" si="198"/>
        <v>6.6000000000000003E-2</v>
      </c>
      <c r="J320" s="2906">
        <v>0.06</v>
      </c>
      <c r="K320" s="2905">
        <v>0.06</v>
      </c>
      <c r="L320" s="2904">
        <v>10</v>
      </c>
      <c r="M320" s="2883"/>
      <c r="N320" s="2883"/>
      <c r="O320" s="2903" t="str">
        <f t="shared" si="199"/>
        <v>Pâtisseries fraiches ou surgelées en portions</v>
      </c>
      <c r="P320" s="2900">
        <f t="shared" ref="P320:U320" si="205">F320*P156</f>
        <v>10.120000000000001</v>
      </c>
      <c r="Q320" s="2900">
        <f t="shared" si="205"/>
        <v>33.160000000000004</v>
      </c>
      <c r="R320" s="2902">
        <f t="shared" si="205"/>
        <v>2.88</v>
      </c>
      <c r="S320" s="2901">
        <f t="shared" si="205"/>
        <v>0.8580000000000001</v>
      </c>
      <c r="T320" s="2901">
        <f t="shared" si="205"/>
        <v>1.74</v>
      </c>
      <c r="U320" s="2900">
        <f t="shared" si="205"/>
        <v>1.02</v>
      </c>
      <c r="V320" s="2885">
        <f t="shared" si="201"/>
        <v>49.778000000000006</v>
      </c>
    </row>
    <row r="321" spans="1:22" ht="15.75">
      <c r="A321" s="2884"/>
      <c r="B321" s="2911"/>
      <c r="C321" s="2910" t="s">
        <v>6395</v>
      </c>
      <c r="D321" s="2910"/>
      <c r="E321" s="2909"/>
      <c r="F321" s="2905">
        <v>0.06</v>
      </c>
      <c r="G321" s="2905">
        <v>0.06</v>
      </c>
      <c r="H321" s="2908">
        <v>0.08</v>
      </c>
      <c r="I321" s="2907">
        <f t="shared" si="198"/>
        <v>8.7999999999999995E-2</v>
      </c>
      <c r="J321" s="2906">
        <v>0.08</v>
      </c>
      <c r="K321" s="2905">
        <v>0.08</v>
      </c>
      <c r="L321" s="2904">
        <v>10</v>
      </c>
      <c r="M321" s="2883"/>
      <c r="N321" s="2883"/>
      <c r="O321" s="2903" t="str">
        <f t="shared" si="199"/>
        <v>Pâtisseries fraiches ou surgelées à portionner</v>
      </c>
      <c r="P321" s="2900">
        <f t="shared" ref="P321:U321" si="206">F321*P156</f>
        <v>15.18</v>
      </c>
      <c r="Q321" s="2900">
        <f t="shared" si="206"/>
        <v>49.739999999999995</v>
      </c>
      <c r="R321" s="2902">
        <f t="shared" si="206"/>
        <v>3.84</v>
      </c>
      <c r="S321" s="2901">
        <f t="shared" si="206"/>
        <v>1.1439999999999999</v>
      </c>
      <c r="T321" s="2901">
        <f t="shared" si="206"/>
        <v>2.3199999999999998</v>
      </c>
      <c r="U321" s="2900">
        <f t="shared" si="206"/>
        <v>1.36</v>
      </c>
      <c r="V321" s="2885">
        <f t="shared" si="201"/>
        <v>73.583999999999989</v>
      </c>
    </row>
    <row r="322" spans="1:22" ht="15.75">
      <c r="A322" s="2884"/>
      <c r="B322" s="2911"/>
      <c r="C322" s="2910" t="s">
        <v>6394</v>
      </c>
      <c r="D322" s="2910"/>
      <c r="E322" s="2909"/>
      <c r="F322" s="2905">
        <v>0.03</v>
      </c>
      <c r="G322" s="2905">
        <v>0.03</v>
      </c>
      <c r="H322" s="2908">
        <v>0.05</v>
      </c>
      <c r="I322" s="2907">
        <f t="shared" si="198"/>
        <v>5.5000000000000007E-2</v>
      </c>
      <c r="J322" s="2906">
        <v>0.05</v>
      </c>
      <c r="K322" s="2905">
        <v>0.05</v>
      </c>
      <c r="L322" s="2904">
        <v>10</v>
      </c>
      <c r="M322" s="2883"/>
      <c r="N322" s="2883"/>
      <c r="O322" s="2903" t="str">
        <f t="shared" si="199"/>
        <v>Pâtisserie sèche emballée</v>
      </c>
      <c r="P322" s="2900">
        <f t="shared" ref="P322:U322" si="207">F322*P156</f>
        <v>7.59</v>
      </c>
      <c r="Q322" s="2900">
        <f t="shared" si="207"/>
        <v>24.869999999999997</v>
      </c>
      <c r="R322" s="2902">
        <f t="shared" si="207"/>
        <v>2.4000000000000004</v>
      </c>
      <c r="S322" s="2901">
        <f t="shared" si="207"/>
        <v>0.71500000000000008</v>
      </c>
      <c r="T322" s="2901">
        <f t="shared" si="207"/>
        <v>1.4500000000000002</v>
      </c>
      <c r="U322" s="2900">
        <f t="shared" si="207"/>
        <v>0.85000000000000009</v>
      </c>
      <c r="V322" s="2885">
        <f t="shared" si="201"/>
        <v>37.875</v>
      </c>
    </row>
    <row r="323" spans="1:22" ht="15.75">
      <c r="A323" s="2884"/>
      <c r="B323" s="2911"/>
      <c r="C323" s="2915" t="s">
        <v>6393</v>
      </c>
      <c r="D323" s="2915"/>
      <c r="E323" s="2914"/>
      <c r="F323" s="2905">
        <v>1.4999999999999999E-2</v>
      </c>
      <c r="G323" s="2905">
        <v>1.4999999999999999E-2</v>
      </c>
      <c r="H323" s="2908">
        <v>2.1000000000000001E-2</v>
      </c>
      <c r="I323" s="2907">
        <f t="shared" si="198"/>
        <v>2.3100000000000002E-2</v>
      </c>
      <c r="J323" s="2906">
        <v>2E-3</v>
      </c>
      <c r="K323" s="2905">
        <v>2E-3</v>
      </c>
      <c r="L323" s="2904">
        <v>10</v>
      </c>
      <c r="M323" s="2883"/>
      <c r="N323" s="2883"/>
      <c r="O323" s="2903" t="str">
        <f t="shared" si="199"/>
        <v>Biscuits d'accompagnement</v>
      </c>
      <c r="P323" s="2900">
        <f t="shared" ref="P323:U323" si="208">F323*P156</f>
        <v>3.7949999999999999</v>
      </c>
      <c r="Q323" s="2900">
        <f t="shared" si="208"/>
        <v>12.434999999999999</v>
      </c>
      <c r="R323" s="2902">
        <f t="shared" si="208"/>
        <v>1.008</v>
      </c>
      <c r="S323" s="2901">
        <f t="shared" si="208"/>
        <v>0.30030000000000001</v>
      </c>
      <c r="T323" s="2901">
        <f t="shared" si="208"/>
        <v>5.8000000000000003E-2</v>
      </c>
      <c r="U323" s="2900">
        <f t="shared" si="208"/>
        <v>3.4000000000000002E-2</v>
      </c>
      <c r="V323" s="2885">
        <f t="shared" si="201"/>
        <v>17.630299999999995</v>
      </c>
    </row>
    <row r="324" spans="1:22" ht="15" customHeight="1">
      <c r="A324" s="2884"/>
      <c r="B324" s="2913"/>
      <c r="C324" s="4831" t="s">
        <v>6392</v>
      </c>
      <c r="D324" s="4831"/>
      <c r="E324" s="4831"/>
      <c r="F324" s="4831"/>
      <c r="G324" s="4831"/>
      <c r="H324" s="4831"/>
      <c r="I324" s="4831"/>
      <c r="J324" s="4831"/>
      <c r="K324" s="4831"/>
      <c r="L324" s="4832"/>
      <c r="M324" s="2912"/>
      <c r="N324" s="2912"/>
      <c r="O324" s="2882"/>
      <c r="P324" s="4835" t="str">
        <f>C324</f>
        <v>GOUTER, COLLATION (enfants, adolescents et personnes âgées en institution)</v>
      </c>
      <c r="Q324" s="4836"/>
      <c r="R324" s="4836"/>
      <c r="S324" s="4836"/>
      <c r="T324" s="4836"/>
      <c r="U324" s="4836"/>
      <c r="V324" s="4837"/>
    </row>
    <row r="325" spans="1:22" ht="15" customHeight="1">
      <c r="A325" s="2884"/>
      <c r="B325" s="2913"/>
      <c r="C325" s="4833"/>
      <c r="D325" s="4833"/>
      <c r="E325" s="4833"/>
      <c r="F325" s="4833"/>
      <c r="G325" s="4833"/>
      <c r="H325" s="4833"/>
      <c r="I325" s="4833"/>
      <c r="J325" s="4833"/>
      <c r="K325" s="4833"/>
      <c r="L325" s="4834"/>
      <c r="M325" s="2912"/>
      <c r="N325" s="2912"/>
      <c r="O325" s="2882"/>
      <c r="P325" s="4838"/>
      <c r="Q325" s="4839"/>
      <c r="R325" s="4839"/>
      <c r="S325" s="4839"/>
      <c r="T325" s="4839"/>
      <c r="U325" s="4839"/>
      <c r="V325" s="4840"/>
    </row>
    <row r="326" spans="1:22" ht="15.75">
      <c r="A326" s="2884"/>
      <c r="B326" s="2911"/>
      <c r="C326" s="2915" t="s">
        <v>6391</v>
      </c>
      <c r="D326" s="2915"/>
      <c r="E326" s="2914"/>
      <c r="F326" s="2905">
        <v>0.04</v>
      </c>
      <c r="G326" s="2905">
        <v>0.05</v>
      </c>
      <c r="H326" s="2908">
        <v>0.08</v>
      </c>
      <c r="I326" s="2907">
        <f>(H326*L326%)+H326</f>
        <v>8.7999999999999995E-2</v>
      </c>
      <c r="J326" s="2906">
        <v>0.04</v>
      </c>
      <c r="K326" s="2905"/>
      <c r="L326" s="2904">
        <v>10</v>
      </c>
      <c r="M326" s="2883"/>
      <c r="N326" s="2883"/>
      <c r="O326" s="2903" t="str">
        <f>C326</f>
        <v>Pain</v>
      </c>
      <c r="P326" s="2900">
        <f t="shared" ref="P326:U326" si="209">F326*P156</f>
        <v>10.120000000000001</v>
      </c>
      <c r="Q326" s="2900">
        <f t="shared" si="209"/>
        <v>41.45</v>
      </c>
      <c r="R326" s="2902">
        <f t="shared" si="209"/>
        <v>3.84</v>
      </c>
      <c r="S326" s="2901">
        <f t="shared" si="209"/>
        <v>1.1439999999999999</v>
      </c>
      <c r="T326" s="2901">
        <f t="shared" si="209"/>
        <v>1.1599999999999999</v>
      </c>
      <c r="U326" s="2900">
        <f t="shared" si="209"/>
        <v>0</v>
      </c>
      <c r="V326" s="2885">
        <f>SUM(P326:U326)</f>
        <v>57.714000000000006</v>
      </c>
    </row>
    <row r="327" spans="1:22" ht="15" customHeight="1">
      <c r="A327" s="2884"/>
      <c r="B327" s="2913"/>
      <c r="C327" s="4831" t="s">
        <v>6390</v>
      </c>
      <c r="D327" s="4831"/>
      <c r="E327" s="4831"/>
      <c r="F327" s="4831"/>
      <c r="G327" s="4831"/>
      <c r="H327" s="4831"/>
      <c r="I327" s="4831"/>
      <c r="J327" s="4831"/>
      <c r="K327" s="4831"/>
      <c r="L327" s="4832"/>
      <c r="M327" s="2912"/>
      <c r="N327" s="2912"/>
      <c r="O327" s="2882"/>
      <c r="P327" s="4835" t="str">
        <f>C327</f>
        <v>Biscuits secs</v>
      </c>
      <c r="Q327" s="4836"/>
      <c r="R327" s="4836"/>
      <c r="S327" s="4836"/>
      <c r="T327" s="4836"/>
      <c r="U327" s="4836"/>
      <c r="V327" s="4837"/>
    </row>
    <row r="328" spans="1:22" ht="15" customHeight="1">
      <c r="A328" s="2884"/>
      <c r="B328" s="2913"/>
      <c r="C328" s="4833"/>
      <c r="D328" s="4833"/>
      <c r="E328" s="4833"/>
      <c r="F328" s="4833"/>
      <c r="G328" s="4833"/>
      <c r="H328" s="4833"/>
      <c r="I328" s="4833"/>
      <c r="J328" s="4833"/>
      <c r="K328" s="4833"/>
      <c r="L328" s="4834"/>
      <c r="M328" s="2912"/>
      <c r="N328" s="2912"/>
      <c r="O328" s="2882"/>
      <c r="P328" s="4838"/>
      <c r="Q328" s="4839"/>
      <c r="R328" s="4839"/>
      <c r="S328" s="4839"/>
      <c r="T328" s="4839"/>
      <c r="U328" s="4839"/>
      <c r="V328" s="4840"/>
    </row>
    <row r="329" spans="1:22" ht="15.75">
      <c r="A329" s="2884"/>
      <c r="B329" s="2911"/>
      <c r="C329" s="2910" t="s">
        <v>6389</v>
      </c>
      <c r="D329" s="2910"/>
      <c r="E329" s="2909"/>
      <c r="F329" s="2905">
        <v>3.5000000000000003E-2</v>
      </c>
      <c r="G329" s="2905">
        <v>5.5E-2</v>
      </c>
      <c r="H329" s="2908">
        <v>0.08</v>
      </c>
      <c r="I329" s="2907">
        <f t="shared" ref="I329:I338" si="210">(H329*L329%)+H329</f>
        <v>8.7999999999999995E-2</v>
      </c>
      <c r="J329" s="2906"/>
      <c r="K329" s="2905"/>
      <c r="L329" s="2904">
        <v>10</v>
      </c>
      <c r="M329" s="2883"/>
      <c r="N329" s="2883"/>
      <c r="O329" s="2903" t="str">
        <f t="shared" ref="O329:O338" si="211">C329</f>
        <v>Céréales (enfants et adolescents uniquement)</v>
      </c>
      <c r="P329" s="2900">
        <f t="shared" ref="P329:U329" si="212">F329*P156</f>
        <v>8.8550000000000004</v>
      </c>
      <c r="Q329" s="2900">
        <f t="shared" si="212"/>
        <v>45.594999999999999</v>
      </c>
      <c r="R329" s="2902">
        <f t="shared" si="212"/>
        <v>3.84</v>
      </c>
      <c r="S329" s="2901">
        <f t="shared" si="212"/>
        <v>1.1439999999999999</v>
      </c>
      <c r="T329" s="2901">
        <f t="shared" si="212"/>
        <v>0</v>
      </c>
      <c r="U329" s="2900">
        <f t="shared" si="212"/>
        <v>0</v>
      </c>
      <c r="V329" s="2885">
        <f t="shared" ref="V329:V338" si="213">SUM(P329:U329)</f>
        <v>59.434000000000005</v>
      </c>
    </row>
    <row r="330" spans="1:22" ht="15.75">
      <c r="A330" s="2884"/>
      <c r="B330" s="2911"/>
      <c r="C330" s="2910" t="s">
        <v>6388</v>
      </c>
      <c r="D330" s="2910"/>
      <c r="E330" s="2909"/>
      <c r="F330" s="2905">
        <v>0.03</v>
      </c>
      <c r="G330" s="2905">
        <v>0.03</v>
      </c>
      <c r="H330" s="2908">
        <v>0.05</v>
      </c>
      <c r="I330" s="2907">
        <f t="shared" si="210"/>
        <v>5.5000000000000007E-2</v>
      </c>
      <c r="J330" s="2906">
        <v>0.05</v>
      </c>
      <c r="K330" s="2905"/>
      <c r="L330" s="2904">
        <v>10</v>
      </c>
      <c r="M330" s="2883"/>
      <c r="N330" s="2883"/>
      <c r="O330" s="2903" t="str">
        <f t="shared" si="211"/>
        <v>Pâtisseries sèches emballées</v>
      </c>
      <c r="P330" s="2900">
        <f t="shared" ref="P330:U330" si="214">F330*P156</f>
        <v>7.59</v>
      </c>
      <c r="Q330" s="2900">
        <f t="shared" si="214"/>
        <v>24.869999999999997</v>
      </c>
      <c r="R330" s="2902">
        <f t="shared" si="214"/>
        <v>2.4000000000000004</v>
      </c>
      <c r="S330" s="2901">
        <f t="shared" si="214"/>
        <v>0.71500000000000008</v>
      </c>
      <c r="T330" s="2901">
        <f t="shared" si="214"/>
        <v>1.4500000000000002</v>
      </c>
      <c r="U330" s="2900">
        <f t="shared" si="214"/>
        <v>0</v>
      </c>
      <c r="V330" s="2885">
        <f t="shared" si="213"/>
        <v>37.024999999999999</v>
      </c>
    </row>
    <row r="331" spans="1:22" ht="15.75">
      <c r="A331" s="2884"/>
      <c r="B331" s="2911"/>
      <c r="C331" s="2910" t="s">
        <v>6387</v>
      </c>
      <c r="D331" s="2910"/>
      <c r="E331" s="2909"/>
      <c r="F331" s="2905">
        <v>0.02</v>
      </c>
      <c r="G331" s="2905">
        <v>0.02</v>
      </c>
      <c r="H331" s="2908">
        <v>0.03</v>
      </c>
      <c r="I331" s="2907">
        <f t="shared" si="210"/>
        <v>3.3000000000000002E-2</v>
      </c>
      <c r="J331" s="2906">
        <v>0.03</v>
      </c>
      <c r="K331" s="2905"/>
      <c r="L331" s="2904">
        <v>10</v>
      </c>
      <c r="M331" s="2883"/>
      <c r="N331" s="2883"/>
      <c r="O331" s="2903" t="str">
        <f t="shared" si="211"/>
        <v>Confiture, chocolat, miel</v>
      </c>
      <c r="P331" s="2900">
        <f t="shared" ref="P331:U331" si="215">F331*P156</f>
        <v>5.0600000000000005</v>
      </c>
      <c r="Q331" s="2900">
        <f t="shared" si="215"/>
        <v>16.580000000000002</v>
      </c>
      <c r="R331" s="2902">
        <f t="shared" si="215"/>
        <v>1.44</v>
      </c>
      <c r="S331" s="2901">
        <f t="shared" si="215"/>
        <v>0.42900000000000005</v>
      </c>
      <c r="T331" s="2901">
        <f t="shared" si="215"/>
        <v>0.87</v>
      </c>
      <c r="U331" s="2900">
        <f t="shared" si="215"/>
        <v>0</v>
      </c>
      <c r="V331" s="2885">
        <f t="shared" si="213"/>
        <v>24.379000000000001</v>
      </c>
    </row>
    <row r="332" spans="1:22" ht="15.75">
      <c r="A332" s="2884"/>
      <c r="B332" s="2911"/>
      <c r="C332" s="2910" t="s">
        <v>6386</v>
      </c>
      <c r="D332" s="2910"/>
      <c r="E332" s="2909"/>
      <c r="F332" s="2905">
        <v>0.1</v>
      </c>
      <c r="G332" s="2905">
        <v>0.2</v>
      </c>
      <c r="H332" s="2908">
        <v>0.13</v>
      </c>
      <c r="I332" s="2907">
        <f t="shared" si="210"/>
        <v>0.14300000000000002</v>
      </c>
      <c r="J332" s="2906">
        <v>0.13</v>
      </c>
      <c r="K332" s="2905"/>
      <c r="L332" s="2904">
        <v>10</v>
      </c>
      <c r="M332" s="2883"/>
      <c r="N332" s="2883"/>
      <c r="O332" s="2903" t="str">
        <f t="shared" si="211"/>
        <v>Fruit cru</v>
      </c>
      <c r="P332" s="2900">
        <f t="shared" ref="P332:U332" si="216">F332*P156</f>
        <v>25.3</v>
      </c>
      <c r="Q332" s="2900">
        <f t="shared" si="216"/>
        <v>165.8</v>
      </c>
      <c r="R332" s="2902">
        <f t="shared" si="216"/>
        <v>6.24</v>
      </c>
      <c r="S332" s="2901">
        <f t="shared" si="216"/>
        <v>1.8590000000000002</v>
      </c>
      <c r="T332" s="2901">
        <f t="shared" si="216"/>
        <v>3.77</v>
      </c>
      <c r="U332" s="2900">
        <f t="shared" si="216"/>
        <v>0</v>
      </c>
      <c r="V332" s="2885">
        <f t="shared" si="213"/>
        <v>202.96900000000005</v>
      </c>
    </row>
    <row r="333" spans="1:22" ht="15.75">
      <c r="A333" s="2884"/>
      <c r="B333" s="2911"/>
      <c r="C333" s="2910" t="s">
        <v>6385</v>
      </c>
      <c r="D333" s="2910"/>
      <c r="E333" s="2909"/>
      <c r="F333" s="2905">
        <v>0.1</v>
      </c>
      <c r="G333" s="2905">
        <v>0.1</v>
      </c>
      <c r="H333" s="2908">
        <v>0.13</v>
      </c>
      <c r="I333" s="2907">
        <f t="shared" si="210"/>
        <v>0.14300000000000002</v>
      </c>
      <c r="J333" s="2906">
        <v>0.13</v>
      </c>
      <c r="K333" s="2905"/>
      <c r="L333" s="2904">
        <v>10</v>
      </c>
      <c r="M333" s="2883"/>
      <c r="N333" s="2883"/>
      <c r="O333" s="2903" t="str">
        <f t="shared" si="211"/>
        <v>Fruit cuit</v>
      </c>
      <c r="P333" s="2900">
        <f t="shared" ref="P333:U333" si="217">F333*P156</f>
        <v>25.3</v>
      </c>
      <c r="Q333" s="2900">
        <f t="shared" si="217"/>
        <v>82.9</v>
      </c>
      <c r="R333" s="2902">
        <f t="shared" si="217"/>
        <v>6.24</v>
      </c>
      <c r="S333" s="2901">
        <f t="shared" si="217"/>
        <v>1.8590000000000002</v>
      </c>
      <c r="T333" s="2901">
        <f t="shared" si="217"/>
        <v>3.77</v>
      </c>
      <c r="U333" s="2900">
        <f t="shared" si="217"/>
        <v>0</v>
      </c>
      <c r="V333" s="2885">
        <f t="shared" si="213"/>
        <v>120.06899999999999</v>
      </c>
    </row>
    <row r="334" spans="1:22" ht="15.75">
      <c r="A334" s="2884"/>
      <c r="B334" s="2911"/>
      <c r="C334" s="2910" t="s">
        <v>6384</v>
      </c>
      <c r="D334" s="2910"/>
      <c r="E334" s="2909"/>
      <c r="F334" s="2905">
        <v>0.125</v>
      </c>
      <c r="G334" s="2905">
        <v>0.125</v>
      </c>
      <c r="H334" s="2908">
        <v>0.25</v>
      </c>
      <c r="I334" s="2907">
        <f t="shared" si="210"/>
        <v>0.27500000000000002</v>
      </c>
      <c r="J334" s="2906">
        <v>0.15</v>
      </c>
      <c r="K334" s="2905"/>
      <c r="L334" s="2904">
        <v>10</v>
      </c>
      <c r="M334" s="2883"/>
      <c r="N334" s="2883"/>
      <c r="O334" s="2903" t="str">
        <f t="shared" si="211"/>
        <v>Lait 1/2 écrémé (en Litre)</v>
      </c>
      <c r="P334" s="2900">
        <f t="shared" ref="P334:U334" si="218">F334*P156</f>
        <v>31.625</v>
      </c>
      <c r="Q334" s="2900">
        <f t="shared" si="218"/>
        <v>103.625</v>
      </c>
      <c r="R334" s="2902">
        <f t="shared" si="218"/>
        <v>12</v>
      </c>
      <c r="S334" s="2901">
        <f t="shared" si="218"/>
        <v>3.5750000000000002</v>
      </c>
      <c r="T334" s="2901">
        <f t="shared" si="218"/>
        <v>4.3499999999999996</v>
      </c>
      <c r="U334" s="2900">
        <f t="shared" si="218"/>
        <v>0</v>
      </c>
      <c r="V334" s="2885">
        <f t="shared" si="213"/>
        <v>155.17499999999998</v>
      </c>
    </row>
    <row r="335" spans="1:22" ht="15.75">
      <c r="A335" s="2884"/>
      <c r="B335" s="2911"/>
      <c r="C335" s="2910" t="s">
        <v>6383</v>
      </c>
      <c r="D335" s="2910"/>
      <c r="E335" s="2909"/>
      <c r="F335" s="2905">
        <v>0.115</v>
      </c>
      <c r="G335" s="2905">
        <v>0.115</v>
      </c>
      <c r="H335" s="2908">
        <v>0.11</v>
      </c>
      <c r="I335" s="2907">
        <f t="shared" si="210"/>
        <v>0.121</v>
      </c>
      <c r="J335" s="2906">
        <v>0.115</v>
      </c>
      <c r="K335" s="2905"/>
      <c r="L335" s="2904">
        <v>10</v>
      </c>
      <c r="M335" s="2883"/>
      <c r="N335" s="2883"/>
      <c r="O335" s="2903" t="str">
        <f t="shared" si="211"/>
        <v>Yaourt</v>
      </c>
      <c r="P335" s="2900">
        <f t="shared" ref="P335:U335" si="219">F335*P156</f>
        <v>29.095000000000002</v>
      </c>
      <c r="Q335" s="2900">
        <f t="shared" si="219"/>
        <v>95.335000000000008</v>
      </c>
      <c r="R335" s="2902">
        <f t="shared" si="219"/>
        <v>5.28</v>
      </c>
      <c r="S335" s="2901">
        <f t="shared" si="219"/>
        <v>1.573</v>
      </c>
      <c r="T335" s="2901">
        <f t="shared" si="219"/>
        <v>3.335</v>
      </c>
      <c r="U335" s="2900">
        <f t="shared" si="219"/>
        <v>0</v>
      </c>
      <c r="V335" s="2885">
        <f t="shared" si="213"/>
        <v>134.61800000000002</v>
      </c>
    </row>
    <row r="336" spans="1:22" ht="15.75">
      <c r="A336" s="2884"/>
      <c r="B336" s="2911"/>
      <c r="C336" s="2910" t="s">
        <v>6382</v>
      </c>
      <c r="D336" s="2910"/>
      <c r="E336" s="2909"/>
      <c r="F336" s="2905">
        <v>0.11</v>
      </c>
      <c r="G336" s="2905">
        <v>0.11</v>
      </c>
      <c r="H336" s="2908">
        <v>0.11</v>
      </c>
      <c r="I336" s="2907">
        <f t="shared" si="210"/>
        <v>0.121</v>
      </c>
      <c r="J336" s="2906">
        <v>0.1</v>
      </c>
      <c r="K336" s="2905"/>
      <c r="L336" s="2904">
        <v>10</v>
      </c>
      <c r="M336" s="2883"/>
      <c r="N336" s="2883"/>
      <c r="O336" s="2903" t="str">
        <f t="shared" si="211"/>
        <v>Fromage blanc</v>
      </c>
      <c r="P336" s="2900">
        <f t="shared" ref="P336:U336" si="220">F336*P156</f>
        <v>27.830000000000002</v>
      </c>
      <c r="Q336" s="2900">
        <f t="shared" si="220"/>
        <v>91.19</v>
      </c>
      <c r="R336" s="2902">
        <f t="shared" si="220"/>
        <v>5.28</v>
      </c>
      <c r="S336" s="2901">
        <f t="shared" si="220"/>
        <v>1.573</v>
      </c>
      <c r="T336" s="2901">
        <f t="shared" si="220"/>
        <v>2.9000000000000004</v>
      </c>
      <c r="U336" s="2900">
        <f t="shared" si="220"/>
        <v>0</v>
      </c>
      <c r="V336" s="2885">
        <f t="shared" si="213"/>
        <v>128.773</v>
      </c>
    </row>
    <row r="337" spans="1:22" ht="15.75">
      <c r="A337" s="2884"/>
      <c r="B337" s="2911"/>
      <c r="C337" s="2910" t="s">
        <v>6381</v>
      </c>
      <c r="D337" s="2910"/>
      <c r="E337" s="2909"/>
      <c r="F337" s="2905">
        <v>0.02</v>
      </c>
      <c r="G337" s="2905">
        <v>0.03</v>
      </c>
      <c r="H337" s="2908">
        <v>3.5000000000000003E-2</v>
      </c>
      <c r="I337" s="2907">
        <f t="shared" si="210"/>
        <v>3.8500000000000006E-2</v>
      </c>
      <c r="J337" s="2906">
        <v>0.04</v>
      </c>
      <c r="K337" s="2905"/>
      <c r="L337" s="2904">
        <v>10</v>
      </c>
      <c r="M337" s="2883"/>
      <c r="N337" s="2883"/>
      <c r="O337" s="2903" t="str">
        <f t="shared" si="211"/>
        <v>Fromage</v>
      </c>
      <c r="P337" s="2900">
        <f t="shared" ref="P337:U337" si="221">F337*P156</f>
        <v>5.0600000000000005</v>
      </c>
      <c r="Q337" s="2900">
        <f t="shared" si="221"/>
        <v>24.869999999999997</v>
      </c>
      <c r="R337" s="2902">
        <f t="shared" si="221"/>
        <v>1.6800000000000002</v>
      </c>
      <c r="S337" s="2901">
        <f t="shared" si="221"/>
        <v>0.50050000000000006</v>
      </c>
      <c r="T337" s="2901">
        <f t="shared" si="221"/>
        <v>1.1599999999999999</v>
      </c>
      <c r="U337" s="2900">
        <f t="shared" si="221"/>
        <v>0</v>
      </c>
      <c r="V337" s="2885">
        <f t="shared" si="213"/>
        <v>33.270499999999998</v>
      </c>
    </row>
    <row r="338" spans="1:22" ht="16.5" thickBot="1">
      <c r="A338" s="2884"/>
      <c r="B338" s="2899"/>
      <c r="C338" s="2898" t="s">
        <v>6380</v>
      </c>
      <c r="D338" s="2898"/>
      <c r="E338" s="2897"/>
      <c r="F338" s="2893">
        <v>0.06</v>
      </c>
      <c r="G338" s="2893">
        <v>0.06</v>
      </c>
      <c r="H338" s="2896">
        <v>0.12</v>
      </c>
      <c r="I338" s="2895">
        <f t="shared" si="210"/>
        <v>0.13200000000000001</v>
      </c>
      <c r="J338" s="2894">
        <v>0.12</v>
      </c>
      <c r="K338" s="2893"/>
      <c r="L338" s="2892">
        <v>10</v>
      </c>
      <c r="M338" s="2891"/>
      <c r="N338" s="2890"/>
      <c r="O338" s="2889" t="str">
        <f t="shared" si="211"/>
        <v>Petit suisse</v>
      </c>
      <c r="P338" s="2887">
        <f t="shared" ref="P338:U338" si="222">F338*P156</f>
        <v>15.18</v>
      </c>
      <c r="Q338" s="2886">
        <f t="shared" si="222"/>
        <v>49.739999999999995</v>
      </c>
      <c r="R338" s="2888">
        <f t="shared" si="222"/>
        <v>5.76</v>
      </c>
      <c r="S338" s="2887">
        <f t="shared" si="222"/>
        <v>1.7160000000000002</v>
      </c>
      <c r="T338" s="2887">
        <f t="shared" si="222"/>
        <v>3.48</v>
      </c>
      <c r="U338" s="2886">
        <f t="shared" si="222"/>
        <v>0</v>
      </c>
      <c r="V338" s="2885">
        <f t="shared" si="213"/>
        <v>75.875999999999991</v>
      </c>
    </row>
    <row r="339" spans="1:22">
      <c r="A339" s="2884"/>
      <c r="B339" s="2884"/>
      <c r="C339" s="2884"/>
      <c r="D339" s="2884"/>
      <c r="E339" s="2884"/>
      <c r="F339" s="2884"/>
      <c r="G339" s="2884"/>
      <c r="H339" s="2884"/>
      <c r="I339" s="2884"/>
      <c r="J339" s="2884"/>
      <c r="K339" s="2884"/>
      <c r="L339" s="2884"/>
      <c r="M339" s="2883"/>
      <c r="N339" s="2883"/>
      <c r="O339" s="2882"/>
      <c r="P339" s="2882"/>
      <c r="Q339" s="2882"/>
      <c r="R339" s="2882"/>
      <c r="S339" s="2882"/>
      <c r="T339" s="2882"/>
      <c r="U339" s="2882"/>
      <c r="V339" s="2882"/>
    </row>
  </sheetData>
  <mergeCells count="237">
    <mergeCell ref="G14:H14"/>
    <mergeCell ref="G15:H15"/>
    <mergeCell ref="G16:H16"/>
    <mergeCell ref="G17:H17"/>
    <mergeCell ref="G18:H18"/>
    <mergeCell ref="G19:H19"/>
    <mergeCell ref="C324:L325"/>
    <mergeCell ref="P324:V325"/>
    <mergeCell ref="C327:L328"/>
    <mergeCell ref="P327:V328"/>
    <mergeCell ref="C296:L297"/>
    <mergeCell ref="P296:V297"/>
    <mergeCell ref="C308:L309"/>
    <mergeCell ref="P308:V309"/>
    <mergeCell ref="C314:L315"/>
    <mergeCell ref="P314:V315"/>
    <mergeCell ref="C286:L287"/>
    <mergeCell ref="P286:V287"/>
    <mergeCell ref="C193:L194"/>
    <mergeCell ref="P193:V194"/>
    <mergeCell ref="C207:L208"/>
    <mergeCell ref="P207:V208"/>
    <mergeCell ref="C215:L216"/>
    <mergeCell ref="P215:V216"/>
    <mergeCell ref="C217:L218"/>
    <mergeCell ref="P217:V218"/>
    <mergeCell ref="C226:L227"/>
    <mergeCell ref="P226:V227"/>
    <mergeCell ref="C233:L234"/>
    <mergeCell ref="P233:V234"/>
    <mergeCell ref="C242:L243"/>
    <mergeCell ref="P242:V243"/>
    <mergeCell ref="C254:L255"/>
    <mergeCell ref="P254:V255"/>
    <mergeCell ref="C271:L272"/>
    <mergeCell ref="P271:V272"/>
    <mergeCell ref="C275:L276"/>
    <mergeCell ref="P275:V276"/>
    <mergeCell ref="C279:L280"/>
    <mergeCell ref="P279:V280"/>
    <mergeCell ref="C173:L174"/>
    <mergeCell ref="P173:V174"/>
    <mergeCell ref="C190:L191"/>
    <mergeCell ref="P190:V191"/>
    <mergeCell ref="L129:L130"/>
    <mergeCell ref="M129:M130"/>
    <mergeCell ref="N129:N130"/>
    <mergeCell ref="O129:O130"/>
    <mergeCell ref="B134:O134"/>
    <mergeCell ref="B136:N136"/>
    <mergeCell ref="B139:O139"/>
    <mergeCell ref="D142:I142"/>
    <mergeCell ref="B144:L146"/>
    <mergeCell ref="P148:P154"/>
    <mergeCell ref="Q148:Q154"/>
    <mergeCell ref="R148:R154"/>
    <mergeCell ref="K149:K155"/>
    <mergeCell ref="L149:L155"/>
    <mergeCell ref="S148:S154"/>
    <mergeCell ref="T148:T154"/>
    <mergeCell ref="U148:U154"/>
    <mergeCell ref="V148:V154"/>
    <mergeCell ref="B149:E155"/>
    <mergeCell ref="F149:F155"/>
    <mergeCell ref="R124:V124"/>
    <mergeCell ref="B129:B130"/>
    <mergeCell ref="C129:C130"/>
    <mergeCell ref="G129:G130"/>
    <mergeCell ref="H129:H130"/>
    <mergeCell ref="I129:I130"/>
    <mergeCell ref="J129:J130"/>
    <mergeCell ref="C158:L159"/>
    <mergeCell ref="P158:V159"/>
    <mergeCell ref="G149:G155"/>
    <mergeCell ref="H149:H155"/>
    <mergeCell ref="I149:I155"/>
    <mergeCell ref="J149:J155"/>
    <mergeCell ref="B117:O118"/>
    <mergeCell ref="B119:B122"/>
    <mergeCell ref="C119:C122"/>
    <mergeCell ref="D119:D122"/>
    <mergeCell ref="E119:E122"/>
    <mergeCell ref="F119:F122"/>
    <mergeCell ref="G119:G122"/>
    <mergeCell ref="H119:J122"/>
    <mergeCell ref="K119:K122"/>
    <mergeCell ref="L119:L122"/>
    <mergeCell ref="M119:O122"/>
    <mergeCell ref="I108:J109"/>
    <mergeCell ref="K108:L109"/>
    <mergeCell ref="M109:O116"/>
    <mergeCell ref="G110:H110"/>
    <mergeCell ref="I110:J110"/>
    <mergeCell ref="G114:H114"/>
    <mergeCell ref="I114:J114"/>
    <mergeCell ref="G115:H115"/>
    <mergeCell ref="I115:J115"/>
    <mergeCell ref="I116:J116"/>
    <mergeCell ref="K116:L116"/>
    <mergeCell ref="R110:V110"/>
    <mergeCell ref="G111:H111"/>
    <mergeCell ref="I111:J111"/>
    <mergeCell ref="G112:H112"/>
    <mergeCell ref="I112:J112"/>
    <mergeCell ref="G113:H113"/>
    <mergeCell ref="I113:J113"/>
    <mergeCell ref="B104:B105"/>
    <mergeCell ref="C104:C105"/>
    <mergeCell ref="G104:G105"/>
    <mergeCell ref="H104:H105"/>
    <mergeCell ref="I104:I105"/>
    <mergeCell ref="J104:J105"/>
    <mergeCell ref="L104:L105"/>
    <mergeCell ref="M104:M105"/>
    <mergeCell ref="N104:N105"/>
    <mergeCell ref="O104:O105"/>
    <mergeCell ref="B106:O107"/>
    <mergeCell ref="B108:B109"/>
    <mergeCell ref="C108:C109"/>
    <mergeCell ref="D108:D109"/>
    <mergeCell ref="E108:E109"/>
    <mergeCell ref="F108:F109"/>
    <mergeCell ref="G108:H109"/>
    <mergeCell ref="R98:V98"/>
    <mergeCell ref="I83:J84"/>
    <mergeCell ref="K83:L84"/>
    <mergeCell ref="M84:O90"/>
    <mergeCell ref="R84:V84"/>
    <mergeCell ref="B92:O93"/>
    <mergeCell ref="B94:B97"/>
    <mergeCell ref="C94:C97"/>
    <mergeCell ref="D94:D97"/>
    <mergeCell ref="E94:E97"/>
    <mergeCell ref="G94:G97"/>
    <mergeCell ref="H94:J97"/>
    <mergeCell ref="K94:K97"/>
    <mergeCell ref="L94:L97"/>
    <mergeCell ref="M94:O97"/>
    <mergeCell ref="H83:H84"/>
    <mergeCell ref="B64:B70"/>
    <mergeCell ref="C64:C70"/>
    <mergeCell ref="D64:D70"/>
    <mergeCell ref="E64:E70"/>
    <mergeCell ref="F64:F70"/>
    <mergeCell ref="G64:G70"/>
    <mergeCell ref="B81:E82"/>
    <mergeCell ref="G81:H82"/>
    <mergeCell ref="I81:J82"/>
    <mergeCell ref="M64:O70"/>
    <mergeCell ref="F94:F97"/>
    <mergeCell ref="B83:B84"/>
    <mergeCell ref="C83:C84"/>
    <mergeCell ref="D83:D84"/>
    <mergeCell ref="E83:E84"/>
    <mergeCell ref="F83:G84"/>
    <mergeCell ref="B77:O77"/>
    <mergeCell ref="B78:B79"/>
    <mergeCell ref="C78:C79"/>
    <mergeCell ref="F78:F79"/>
    <mergeCell ref="G78:G79"/>
    <mergeCell ref="K60:K61"/>
    <mergeCell ref="L60:L61"/>
    <mergeCell ref="B62:O63"/>
    <mergeCell ref="L78:L79"/>
    <mergeCell ref="M78:M79"/>
    <mergeCell ref="N78:N79"/>
    <mergeCell ref="O78:O79"/>
    <mergeCell ref="H78:H79"/>
    <mergeCell ref="I78:I79"/>
    <mergeCell ref="J78:J79"/>
    <mergeCell ref="H64:J70"/>
    <mergeCell ref="K64:K70"/>
    <mergeCell ref="L64:L70"/>
    <mergeCell ref="M57:O58"/>
    <mergeCell ref="B59:O59"/>
    <mergeCell ref="B60:B61"/>
    <mergeCell ref="C60:C61"/>
    <mergeCell ref="I60:I61"/>
    <mergeCell ref="J60:J61"/>
    <mergeCell ref="R71:V71"/>
    <mergeCell ref="B46:O47"/>
    <mergeCell ref="R47:V47"/>
    <mergeCell ref="B48:O49"/>
    <mergeCell ref="B50:B52"/>
    <mergeCell ref="C50:C52"/>
    <mergeCell ref="D50:D52"/>
    <mergeCell ref="E50:E52"/>
    <mergeCell ref="F50:F52"/>
    <mergeCell ref="G50:H52"/>
    <mergeCell ref="I50:J52"/>
    <mergeCell ref="K50:L52"/>
    <mergeCell ref="M52:O55"/>
    <mergeCell ref="B36:E36"/>
    <mergeCell ref="H36:I36"/>
    <mergeCell ref="K36:L36"/>
    <mergeCell ref="B40:O42"/>
    <mergeCell ref="B44:B45"/>
    <mergeCell ref="C44:D45"/>
    <mergeCell ref="E44:L45"/>
    <mergeCell ref="M44:M45"/>
    <mergeCell ref="N44:N45"/>
    <mergeCell ref="O44:O45"/>
    <mergeCell ref="B29:E29"/>
    <mergeCell ref="G29:H29"/>
    <mergeCell ref="M29:N29"/>
    <mergeCell ref="B34:J34"/>
    <mergeCell ref="K34:T34"/>
    <mergeCell ref="B35:E35"/>
    <mergeCell ref="H35:I35"/>
    <mergeCell ref="K35:L35"/>
    <mergeCell ref="M35:N35"/>
    <mergeCell ref="B27:J27"/>
    <mergeCell ref="K27:T27"/>
    <mergeCell ref="L21:M22"/>
    <mergeCell ref="N21:N22"/>
    <mergeCell ref="O21:O22"/>
    <mergeCell ref="G23:H23"/>
    <mergeCell ref="B28:E28"/>
    <mergeCell ref="G28:H28"/>
    <mergeCell ref="L28:N28"/>
    <mergeCell ref="G21:H22"/>
    <mergeCell ref="I21:I22"/>
    <mergeCell ref="J21:J22"/>
    <mergeCell ref="B8:K9"/>
    <mergeCell ref="L8:M9"/>
    <mergeCell ref="N8:N9"/>
    <mergeCell ref="O8:O9"/>
    <mergeCell ref="B11:B12"/>
    <mergeCell ref="C11:C12"/>
    <mergeCell ref="D11:D12"/>
    <mergeCell ref="E11:F12"/>
    <mergeCell ref="G11:G12"/>
    <mergeCell ref="H11:I12"/>
    <mergeCell ref="J11:J12"/>
    <mergeCell ref="L11:M12"/>
    <mergeCell ref="N11:N12"/>
    <mergeCell ref="O11:O12"/>
  </mergeCells>
  <pageMargins left="0.25" right="0.25" top="0.75" bottom="0.75" header="0.3" footer="0.3"/>
  <pageSetup paperSize="9" scale="72"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FD70F6-1561-4132-A0F9-0C0F94B50BB0}">
  <dimension ref="A1:AX131"/>
  <sheetViews>
    <sheetView showZeros="0" showWhiteSpace="0" zoomScaleNormal="100" zoomScalePageLayoutView="58" workbookViewId="0">
      <selection activeCell="AN8" sqref="AN8"/>
    </sheetView>
  </sheetViews>
  <sheetFormatPr baseColWidth="10" defaultRowHeight="15"/>
  <cols>
    <col min="1" max="1" width="3.7109375" style="1487" customWidth="1"/>
    <col min="2" max="2" width="5.42578125" style="1375" customWidth="1"/>
    <col min="3" max="3" width="29.85546875" style="1375" customWidth="1"/>
    <col min="4" max="4" width="5.42578125" style="1375" customWidth="1"/>
    <col min="5" max="5" width="35.5703125" style="1375" customWidth="1"/>
    <col min="6" max="6" width="5.42578125" style="1375" customWidth="1"/>
    <col min="7" max="7" width="33.28515625" style="1375" customWidth="1"/>
    <col min="8" max="8" width="5.42578125" style="1375" customWidth="1"/>
    <col min="9" max="9" width="32.28515625" style="1375" customWidth="1"/>
    <col min="10" max="10" width="3.42578125" style="1375" customWidth="1"/>
    <col min="11" max="11" width="4.140625" style="1375" customWidth="1"/>
    <col min="12" max="12" width="5.42578125" style="1375" customWidth="1"/>
    <col min="13" max="13" width="20.28515625" style="1375" customWidth="1"/>
    <col min="14" max="14" width="5.42578125" style="1375" customWidth="1"/>
    <col min="15" max="15" width="18.7109375" style="1375" customWidth="1"/>
    <col min="16" max="16" width="5.42578125" style="1375" customWidth="1"/>
    <col min="17" max="17" width="18.85546875" style="1375" customWidth="1"/>
    <col min="18" max="18" width="5.42578125" style="1375" customWidth="1"/>
    <col min="19" max="19" width="16.28515625" style="1375" customWidth="1"/>
    <col min="20" max="20" width="2.85546875" style="1375" customWidth="1"/>
    <col min="21" max="21" width="5.42578125" style="1487" customWidth="1"/>
    <col min="22" max="22" width="4.7109375" style="1487" customWidth="1"/>
    <col min="23" max="23" width="34.140625" style="1487" customWidth="1"/>
    <col min="24" max="24" width="5.7109375" style="1487" customWidth="1"/>
    <col min="25" max="25" width="25.7109375" style="1487" customWidth="1"/>
    <col min="26" max="26" width="5.5703125" style="1487" bestFit="1" customWidth="1"/>
    <col min="27" max="27" width="27.42578125" style="1487" customWidth="1"/>
    <col min="28" max="28" width="5.5703125" style="1487" bestFit="1" customWidth="1"/>
    <col min="29" max="29" width="36.7109375" style="1487" customWidth="1"/>
    <col min="30" max="30" width="5.5703125" style="1487" bestFit="1" customWidth="1"/>
    <col min="31" max="31" width="34" style="1487" customWidth="1"/>
    <col min="32" max="32" width="5.5703125" style="1487" bestFit="1" customWidth="1"/>
    <col min="33" max="33" width="25.7109375" style="1487" customWidth="1"/>
    <col min="34" max="40" width="11.42578125" style="1487"/>
    <col min="41" max="41" width="11.42578125" style="2125"/>
    <col min="42" max="42" width="168.42578125" style="2125" customWidth="1"/>
    <col min="43" max="43" width="11.42578125" style="1487"/>
    <col min="44" max="44" width="4.7109375" style="2124" customWidth="1"/>
    <col min="45" max="45" width="40.7109375" style="2124" customWidth="1"/>
    <col min="46" max="46" width="12.7109375" style="2124" customWidth="1"/>
    <col min="47" max="47" width="4.85546875" style="2124" customWidth="1"/>
    <col min="48" max="48" width="4.7109375" style="2124" customWidth="1"/>
    <col min="49" max="49" width="40.7109375" style="2124" customWidth="1"/>
    <col min="50" max="50" width="12.7109375" style="2124" customWidth="1"/>
    <col min="51" max="254" width="11.42578125" style="1487"/>
    <col min="255" max="255" width="5.42578125" style="1487" customWidth="1"/>
    <col min="256" max="256" width="43.5703125" style="1487" customWidth="1"/>
    <col min="257" max="257" width="5.42578125" style="1487" customWidth="1"/>
    <col min="258" max="258" width="43.5703125" style="1487" customWidth="1"/>
    <col min="259" max="259" width="5.42578125" style="1487" customWidth="1"/>
    <col min="260" max="260" width="43.5703125" style="1487" customWidth="1"/>
    <col min="261" max="261" width="5.42578125" style="1487" customWidth="1"/>
    <col min="262" max="262" width="43.5703125" style="1487" customWidth="1"/>
    <col min="263" max="263" width="3.42578125" style="1487" customWidth="1"/>
    <col min="264" max="264" width="13.7109375" style="1487" customWidth="1"/>
    <col min="265" max="265" width="5.42578125" style="1487" customWidth="1"/>
    <col min="266" max="266" width="43.5703125" style="1487" customWidth="1"/>
    <col min="267" max="267" width="5.42578125" style="1487" customWidth="1"/>
    <col min="268" max="268" width="43.5703125" style="1487" customWidth="1"/>
    <col min="269" max="269" width="5.42578125" style="1487" customWidth="1"/>
    <col min="270" max="270" width="43.5703125" style="1487" customWidth="1"/>
    <col min="271" max="271" width="5.42578125" style="1487" customWidth="1"/>
    <col min="272" max="272" width="43.5703125" style="1487" customWidth="1"/>
    <col min="273" max="273" width="2.85546875" style="1487" customWidth="1"/>
    <col min="274" max="510" width="11.42578125" style="1487"/>
    <col min="511" max="511" width="5.42578125" style="1487" customWidth="1"/>
    <col min="512" max="512" width="43.5703125" style="1487" customWidth="1"/>
    <col min="513" max="513" width="5.42578125" style="1487" customWidth="1"/>
    <col min="514" max="514" width="43.5703125" style="1487" customWidth="1"/>
    <col min="515" max="515" width="5.42578125" style="1487" customWidth="1"/>
    <col min="516" max="516" width="43.5703125" style="1487" customWidth="1"/>
    <col min="517" max="517" width="5.42578125" style="1487" customWidth="1"/>
    <col min="518" max="518" width="43.5703125" style="1487" customWidth="1"/>
    <col min="519" max="519" width="3.42578125" style="1487" customWidth="1"/>
    <col min="520" max="520" width="13.7109375" style="1487" customWidth="1"/>
    <col min="521" max="521" width="5.42578125" style="1487" customWidth="1"/>
    <col min="522" max="522" width="43.5703125" style="1487" customWidth="1"/>
    <col min="523" max="523" width="5.42578125" style="1487" customWidth="1"/>
    <col min="524" max="524" width="43.5703125" style="1487" customWidth="1"/>
    <col min="525" max="525" width="5.42578125" style="1487" customWidth="1"/>
    <col min="526" max="526" width="43.5703125" style="1487" customWidth="1"/>
    <col min="527" max="527" width="5.42578125" style="1487" customWidth="1"/>
    <col min="528" max="528" width="43.5703125" style="1487" customWidth="1"/>
    <col min="529" max="529" width="2.85546875" style="1487" customWidth="1"/>
    <col min="530" max="766" width="11.42578125" style="1487"/>
    <col min="767" max="767" width="5.42578125" style="1487" customWidth="1"/>
    <col min="768" max="768" width="43.5703125" style="1487" customWidth="1"/>
    <col min="769" max="769" width="5.42578125" style="1487" customWidth="1"/>
    <col min="770" max="770" width="43.5703125" style="1487" customWidth="1"/>
    <col min="771" max="771" width="5.42578125" style="1487" customWidth="1"/>
    <col min="772" max="772" width="43.5703125" style="1487" customWidth="1"/>
    <col min="773" max="773" width="5.42578125" style="1487" customWidth="1"/>
    <col min="774" max="774" width="43.5703125" style="1487" customWidth="1"/>
    <col min="775" max="775" width="3.42578125" style="1487" customWidth="1"/>
    <col min="776" max="776" width="13.7109375" style="1487" customWidth="1"/>
    <col min="777" max="777" width="5.42578125" style="1487" customWidth="1"/>
    <col min="778" max="778" width="43.5703125" style="1487" customWidth="1"/>
    <col min="779" max="779" width="5.42578125" style="1487" customWidth="1"/>
    <col min="780" max="780" width="43.5703125" style="1487" customWidth="1"/>
    <col min="781" max="781" width="5.42578125" style="1487" customWidth="1"/>
    <col min="782" max="782" width="43.5703125" style="1487" customWidth="1"/>
    <col min="783" max="783" width="5.42578125" style="1487" customWidth="1"/>
    <col min="784" max="784" width="43.5703125" style="1487" customWidth="1"/>
    <col min="785" max="785" width="2.85546875" style="1487" customWidth="1"/>
    <col min="786" max="1022" width="11.42578125" style="1487"/>
    <col min="1023" max="1023" width="5.42578125" style="1487" customWidth="1"/>
    <col min="1024" max="1024" width="43.5703125" style="1487" customWidth="1"/>
    <col min="1025" max="1025" width="5.42578125" style="1487" customWidth="1"/>
    <col min="1026" max="1026" width="43.5703125" style="1487" customWidth="1"/>
    <col min="1027" max="1027" width="5.42578125" style="1487" customWidth="1"/>
    <col min="1028" max="1028" width="43.5703125" style="1487" customWidth="1"/>
    <col min="1029" max="1029" width="5.42578125" style="1487" customWidth="1"/>
    <col min="1030" max="1030" width="43.5703125" style="1487" customWidth="1"/>
    <col min="1031" max="1031" width="3.42578125" style="1487" customWidth="1"/>
    <col min="1032" max="1032" width="13.7109375" style="1487" customWidth="1"/>
    <col min="1033" max="1033" width="5.42578125" style="1487" customWidth="1"/>
    <col min="1034" max="1034" width="43.5703125" style="1487" customWidth="1"/>
    <col min="1035" max="1035" width="5.42578125" style="1487" customWidth="1"/>
    <col min="1036" max="1036" width="43.5703125" style="1487" customWidth="1"/>
    <col min="1037" max="1037" width="5.42578125" style="1487" customWidth="1"/>
    <col min="1038" max="1038" width="43.5703125" style="1487" customWidth="1"/>
    <col min="1039" max="1039" width="5.42578125" style="1487" customWidth="1"/>
    <col min="1040" max="1040" width="43.5703125" style="1487" customWidth="1"/>
    <col min="1041" max="1041" width="2.85546875" style="1487" customWidth="1"/>
    <col min="1042" max="1278" width="11.42578125" style="1487"/>
    <col min="1279" max="1279" width="5.42578125" style="1487" customWidth="1"/>
    <col min="1280" max="1280" width="43.5703125" style="1487" customWidth="1"/>
    <col min="1281" max="1281" width="5.42578125" style="1487" customWidth="1"/>
    <col min="1282" max="1282" width="43.5703125" style="1487" customWidth="1"/>
    <col min="1283" max="1283" width="5.42578125" style="1487" customWidth="1"/>
    <col min="1284" max="1284" width="43.5703125" style="1487" customWidth="1"/>
    <col min="1285" max="1285" width="5.42578125" style="1487" customWidth="1"/>
    <col min="1286" max="1286" width="43.5703125" style="1487" customWidth="1"/>
    <col min="1287" max="1287" width="3.42578125" style="1487" customWidth="1"/>
    <col min="1288" max="1288" width="13.7109375" style="1487" customWidth="1"/>
    <col min="1289" max="1289" width="5.42578125" style="1487" customWidth="1"/>
    <col min="1290" max="1290" width="43.5703125" style="1487" customWidth="1"/>
    <col min="1291" max="1291" width="5.42578125" style="1487" customWidth="1"/>
    <col min="1292" max="1292" width="43.5703125" style="1487" customWidth="1"/>
    <col min="1293" max="1293" width="5.42578125" style="1487" customWidth="1"/>
    <col min="1294" max="1294" width="43.5703125" style="1487" customWidth="1"/>
    <col min="1295" max="1295" width="5.42578125" style="1487" customWidth="1"/>
    <col min="1296" max="1296" width="43.5703125" style="1487" customWidth="1"/>
    <col min="1297" max="1297" width="2.85546875" style="1487" customWidth="1"/>
    <col min="1298" max="1534" width="11.42578125" style="1487"/>
    <col min="1535" max="1535" width="5.42578125" style="1487" customWidth="1"/>
    <col min="1536" max="1536" width="43.5703125" style="1487" customWidth="1"/>
    <col min="1537" max="1537" width="5.42578125" style="1487" customWidth="1"/>
    <col min="1538" max="1538" width="43.5703125" style="1487" customWidth="1"/>
    <col min="1539" max="1539" width="5.42578125" style="1487" customWidth="1"/>
    <col min="1540" max="1540" width="43.5703125" style="1487" customWidth="1"/>
    <col min="1541" max="1541" width="5.42578125" style="1487" customWidth="1"/>
    <col min="1542" max="1542" width="43.5703125" style="1487" customWidth="1"/>
    <col min="1543" max="1543" width="3.42578125" style="1487" customWidth="1"/>
    <col min="1544" max="1544" width="13.7109375" style="1487" customWidth="1"/>
    <col min="1545" max="1545" width="5.42578125" style="1487" customWidth="1"/>
    <col min="1546" max="1546" width="43.5703125" style="1487" customWidth="1"/>
    <col min="1547" max="1547" width="5.42578125" style="1487" customWidth="1"/>
    <col min="1548" max="1548" width="43.5703125" style="1487" customWidth="1"/>
    <col min="1549" max="1549" width="5.42578125" style="1487" customWidth="1"/>
    <col min="1550" max="1550" width="43.5703125" style="1487" customWidth="1"/>
    <col min="1551" max="1551" width="5.42578125" style="1487" customWidth="1"/>
    <col min="1552" max="1552" width="43.5703125" style="1487" customWidth="1"/>
    <col min="1553" max="1553" width="2.85546875" style="1487" customWidth="1"/>
    <col min="1554" max="1790" width="11.42578125" style="1487"/>
    <col min="1791" max="1791" width="5.42578125" style="1487" customWidth="1"/>
    <col min="1792" max="1792" width="43.5703125" style="1487" customWidth="1"/>
    <col min="1793" max="1793" width="5.42578125" style="1487" customWidth="1"/>
    <col min="1794" max="1794" width="43.5703125" style="1487" customWidth="1"/>
    <col min="1795" max="1795" width="5.42578125" style="1487" customWidth="1"/>
    <col min="1796" max="1796" width="43.5703125" style="1487" customWidth="1"/>
    <col min="1797" max="1797" width="5.42578125" style="1487" customWidth="1"/>
    <col min="1798" max="1798" width="43.5703125" style="1487" customWidth="1"/>
    <col min="1799" max="1799" width="3.42578125" style="1487" customWidth="1"/>
    <col min="1800" max="1800" width="13.7109375" style="1487" customWidth="1"/>
    <col min="1801" max="1801" width="5.42578125" style="1487" customWidth="1"/>
    <col min="1802" max="1802" width="43.5703125" style="1487" customWidth="1"/>
    <col min="1803" max="1803" width="5.42578125" style="1487" customWidth="1"/>
    <col min="1804" max="1804" width="43.5703125" style="1487" customWidth="1"/>
    <col min="1805" max="1805" width="5.42578125" style="1487" customWidth="1"/>
    <col min="1806" max="1806" width="43.5703125" style="1487" customWidth="1"/>
    <col min="1807" max="1807" width="5.42578125" style="1487" customWidth="1"/>
    <col min="1808" max="1808" width="43.5703125" style="1487" customWidth="1"/>
    <col min="1809" max="1809" width="2.85546875" style="1487" customWidth="1"/>
    <col min="1810" max="2046" width="11.42578125" style="1487"/>
    <col min="2047" max="2047" width="5.42578125" style="1487" customWidth="1"/>
    <col min="2048" max="2048" width="43.5703125" style="1487" customWidth="1"/>
    <col min="2049" max="2049" width="5.42578125" style="1487" customWidth="1"/>
    <col min="2050" max="2050" width="43.5703125" style="1487" customWidth="1"/>
    <col min="2051" max="2051" width="5.42578125" style="1487" customWidth="1"/>
    <col min="2052" max="2052" width="43.5703125" style="1487" customWidth="1"/>
    <col min="2053" max="2053" width="5.42578125" style="1487" customWidth="1"/>
    <col min="2054" max="2054" width="43.5703125" style="1487" customWidth="1"/>
    <col min="2055" max="2055" width="3.42578125" style="1487" customWidth="1"/>
    <col min="2056" max="2056" width="13.7109375" style="1487" customWidth="1"/>
    <col min="2057" max="2057" width="5.42578125" style="1487" customWidth="1"/>
    <col min="2058" max="2058" width="43.5703125" style="1487" customWidth="1"/>
    <col min="2059" max="2059" width="5.42578125" style="1487" customWidth="1"/>
    <col min="2060" max="2060" width="43.5703125" style="1487" customWidth="1"/>
    <col min="2061" max="2061" width="5.42578125" style="1487" customWidth="1"/>
    <col min="2062" max="2062" width="43.5703125" style="1487" customWidth="1"/>
    <col min="2063" max="2063" width="5.42578125" style="1487" customWidth="1"/>
    <col min="2064" max="2064" width="43.5703125" style="1487" customWidth="1"/>
    <col min="2065" max="2065" width="2.85546875" style="1487" customWidth="1"/>
    <col min="2066" max="2302" width="11.42578125" style="1487"/>
    <col min="2303" max="2303" width="5.42578125" style="1487" customWidth="1"/>
    <col min="2304" max="2304" width="43.5703125" style="1487" customWidth="1"/>
    <col min="2305" max="2305" width="5.42578125" style="1487" customWidth="1"/>
    <col min="2306" max="2306" width="43.5703125" style="1487" customWidth="1"/>
    <col min="2307" max="2307" width="5.42578125" style="1487" customWidth="1"/>
    <col min="2308" max="2308" width="43.5703125" style="1487" customWidth="1"/>
    <col min="2309" max="2309" width="5.42578125" style="1487" customWidth="1"/>
    <col min="2310" max="2310" width="43.5703125" style="1487" customWidth="1"/>
    <col min="2311" max="2311" width="3.42578125" style="1487" customWidth="1"/>
    <col min="2312" max="2312" width="13.7109375" style="1487" customWidth="1"/>
    <col min="2313" max="2313" width="5.42578125" style="1487" customWidth="1"/>
    <col min="2314" max="2314" width="43.5703125" style="1487" customWidth="1"/>
    <col min="2315" max="2315" width="5.42578125" style="1487" customWidth="1"/>
    <col min="2316" max="2316" width="43.5703125" style="1487" customWidth="1"/>
    <col min="2317" max="2317" width="5.42578125" style="1487" customWidth="1"/>
    <col min="2318" max="2318" width="43.5703125" style="1487" customWidth="1"/>
    <col min="2319" max="2319" width="5.42578125" style="1487" customWidth="1"/>
    <col min="2320" max="2320" width="43.5703125" style="1487" customWidth="1"/>
    <col min="2321" max="2321" width="2.85546875" style="1487" customWidth="1"/>
    <col min="2322" max="2558" width="11.42578125" style="1487"/>
    <col min="2559" max="2559" width="5.42578125" style="1487" customWidth="1"/>
    <col min="2560" max="2560" width="43.5703125" style="1487" customWidth="1"/>
    <col min="2561" max="2561" width="5.42578125" style="1487" customWidth="1"/>
    <col min="2562" max="2562" width="43.5703125" style="1487" customWidth="1"/>
    <col min="2563" max="2563" width="5.42578125" style="1487" customWidth="1"/>
    <col min="2564" max="2564" width="43.5703125" style="1487" customWidth="1"/>
    <col min="2565" max="2565" width="5.42578125" style="1487" customWidth="1"/>
    <col min="2566" max="2566" width="43.5703125" style="1487" customWidth="1"/>
    <col min="2567" max="2567" width="3.42578125" style="1487" customWidth="1"/>
    <col min="2568" max="2568" width="13.7109375" style="1487" customWidth="1"/>
    <col min="2569" max="2569" width="5.42578125" style="1487" customWidth="1"/>
    <col min="2570" max="2570" width="43.5703125" style="1487" customWidth="1"/>
    <col min="2571" max="2571" width="5.42578125" style="1487" customWidth="1"/>
    <col min="2572" max="2572" width="43.5703125" style="1487" customWidth="1"/>
    <col min="2573" max="2573" width="5.42578125" style="1487" customWidth="1"/>
    <col min="2574" max="2574" width="43.5703125" style="1487" customWidth="1"/>
    <col min="2575" max="2575" width="5.42578125" style="1487" customWidth="1"/>
    <col min="2576" max="2576" width="43.5703125" style="1487" customWidth="1"/>
    <col min="2577" max="2577" width="2.85546875" style="1487" customWidth="1"/>
    <col min="2578" max="2814" width="11.42578125" style="1487"/>
    <col min="2815" max="2815" width="5.42578125" style="1487" customWidth="1"/>
    <col min="2816" max="2816" width="43.5703125" style="1487" customWidth="1"/>
    <col min="2817" max="2817" width="5.42578125" style="1487" customWidth="1"/>
    <col min="2818" max="2818" width="43.5703125" style="1487" customWidth="1"/>
    <col min="2819" max="2819" width="5.42578125" style="1487" customWidth="1"/>
    <col min="2820" max="2820" width="43.5703125" style="1487" customWidth="1"/>
    <col min="2821" max="2821" width="5.42578125" style="1487" customWidth="1"/>
    <col min="2822" max="2822" width="43.5703125" style="1487" customWidth="1"/>
    <col min="2823" max="2823" width="3.42578125" style="1487" customWidth="1"/>
    <col min="2824" max="2824" width="13.7109375" style="1487" customWidth="1"/>
    <col min="2825" max="2825" width="5.42578125" style="1487" customWidth="1"/>
    <col min="2826" max="2826" width="43.5703125" style="1487" customWidth="1"/>
    <col min="2827" max="2827" width="5.42578125" style="1487" customWidth="1"/>
    <col min="2828" max="2828" width="43.5703125" style="1487" customWidth="1"/>
    <col min="2829" max="2829" width="5.42578125" style="1487" customWidth="1"/>
    <col min="2830" max="2830" width="43.5703125" style="1487" customWidth="1"/>
    <col min="2831" max="2831" width="5.42578125" style="1487" customWidth="1"/>
    <col min="2832" max="2832" width="43.5703125" style="1487" customWidth="1"/>
    <col min="2833" max="2833" width="2.85546875" style="1487" customWidth="1"/>
    <col min="2834" max="3070" width="11.42578125" style="1487"/>
    <col min="3071" max="3071" width="5.42578125" style="1487" customWidth="1"/>
    <col min="3072" max="3072" width="43.5703125" style="1487" customWidth="1"/>
    <col min="3073" max="3073" width="5.42578125" style="1487" customWidth="1"/>
    <col min="3074" max="3074" width="43.5703125" style="1487" customWidth="1"/>
    <col min="3075" max="3075" width="5.42578125" style="1487" customWidth="1"/>
    <col min="3076" max="3076" width="43.5703125" style="1487" customWidth="1"/>
    <col min="3077" max="3077" width="5.42578125" style="1487" customWidth="1"/>
    <col min="3078" max="3078" width="43.5703125" style="1487" customWidth="1"/>
    <col min="3079" max="3079" width="3.42578125" style="1487" customWidth="1"/>
    <col min="3080" max="3080" width="13.7109375" style="1487" customWidth="1"/>
    <col min="3081" max="3081" width="5.42578125" style="1487" customWidth="1"/>
    <col min="3082" max="3082" width="43.5703125" style="1487" customWidth="1"/>
    <col min="3083" max="3083" width="5.42578125" style="1487" customWidth="1"/>
    <col min="3084" max="3084" width="43.5703125" style="1487" customWidth="1"/>
    <col min="3085" max="3085" width="5.42578125" style="1487" customWidth="1"/>
    <col min="3086" max="3086" width="43.5703125" style="1487" customWidth="1"/>
    <col min="3087" max="3087" width="5.42578125" style="1487" customWidth="1"/>
    <col min="3088" max="3088" width="43.5703125" style="1487" customWidth="1"/>
    <col min="3089" max="3089" width="2.85546875" style="1487" customWidth="1"/>
    <col min="3090" max="3326" width="11.42578125" style="1487"/>
    <col min="3327" max="3327" width="5.42578125" style="1487" customWidth="1"/>
    <col min="3328" max="3328" width="43.5703125" style="1487" customWidth="1"/>
    <col min="3329" max="3329" width="5.42578125" style="1487" customWidth="1"/>
    <col min="3330" max="3330" width="43.5703125" style="1487" customWidth="1"/>
    <col min="3331" max="3331" width="5.42578125" style="1487" customWidth="1"/>
    <col min="3332" max="3332" width="43.5703125" style="1487" customWidth="1"/>
    <col min="3333" max="3333" width="5.42578125" style="1487" customWidth="1"/>
    <col min="3334" max="3334" width="43.5703125" style="1487" customWidth="1"/>
    <col min="3335" max="3335" width="3.42578125" style="1487" customWidth="1"/>
    <col min="3336" max="3336" width="13.7109375" style="1487" customWidth="1"/>
    <col min="3337" max="3337" width="5.42578125" style="1487" customWidth="1"/>
    <col min="3338" max="3338" width="43.5703125" style="1487" customWidth="1"/>
    <col min="3339" max="3339" width="5.42578125" style="1487" customWidth="1"/>
    <col min="3340" max="3340" width="43.5703125" style="1487" customWidth="1"/>
    <col min="3341" max="3341" width="5.42578125" style="1487" customWidth="1"/>
    <col min="3342" max="3342" width="43.5703125" style="1487" customWidth="1"/>
    <col min="3343" max="3343" width="5.42578125" style="1487" customWidth="1"/>
    <col min="3344" max="3344" width="43.5703125" style="1487" customWidth="1"/>
    <col min="3345" max="3345" width="2.85546875" style="1487" customWidth="1"/>
    <col min="3346" max="3582" width="11.42578125" style="1487"/>
    <col min="3583" max="3583" width="5.42578125" style="1487" customWidth="1"/>
    <col min="3584" max="3584" width="43.5703125" style="1487" customWidth="1"/>
    <col min="3585" max="3585" width="5.42578125" style="1487" customWidth="1"/>
    <col min="3586" max="3586" width="43.5703125" style="1487" customWidth="1"/>
    <col min="3587" max="3587" width="5.42578125" style="1487" customWidth="1"/>
    <col min="3588" max="3588" width="43.5703125" style="1487" customWidth="1"/>
    <col min="3589" max="3589" width="5.42578125" style="1487" customWidth="1"/>
    <col min="3590" max="3590" width="43.5703125" style="1487" customWidth="1"/>
    <col min="3591" max="3591" width="3.42578125" style="1487" customWidth="1"/>
    <col min="3592" max="3592" width="13.7109375" style="1487" customWidth="1"/>
    <col min="3593" max="3593" width="5.42578125" style="1487" customWidth="1"/>
    <col min="3594" max="3594" width="43.5703125" style="1487" customWidth="1"/>
    <col min="3595" max="3595" width="5.42578125" style="1487" customWidth="1"/>
    <col min="3596" max="3596" width="43.5703125" style="1487" customWidth="1"/>
    <col min="3597" max="3597" width="5.42578125" style="1487" customWidth="1"/>
    <col min="3598" max="3598" width="43.5703125" style="1487" customWidth="1"/>
    <col min="3599" max="3599" width="5.42578125" style="1487" customWidth="1"/>
    <col min="3600" max="3600" width="43.5703125" style="1487" customWidth="1"/>
    <col min="3601" max="3601" width="2.85546875" style="1487" customWidth="1"/>
    <col min="3602" max="3838" width="11.42578125" style="1487"/>
    <col min="3839" max="3839" width="5.42578125" style="1487" customWidth="1"/>
    <col min="3840" max="3840" width="43.5703125" style="1487" customWidth="1"/>
    <col min="3841" max="3841" width="5.42578125" style="1487" customWidth="1"/>
    <col min="3842" max="3842" width="43.5703125" style="1487" customWidth="1"/>
    <col min="3843" max="3843" width="5.42578125" style="1487" customWidth="1"/>
    <col min="3844" max="3844" width="43.5703125" style="1487" customWidth="1"/>
    <col min="3845" max="3845" width="5.42578125" style="1487" customWidth="1"/>
    <col min="3846" max="3846" width="43.5703125" style="1487" customWidth="1"/>
    <col min="3847" max="3847" width="3.42578125" style="1487" customWidth="1"/>
    <col min="3848" max="3848" width="13.7109375" style="1487" customWidth="1"/>
    <col min="3849" max="3849" width="5.42578125" style="1487" customWidth="1"/>
    <col min="3850" max="3850" width="43.5703125" style="1487" customWidth="1"/>
    <col min="3851" max="3851" width="5.42578125" style="1487" customWidth="1"/>
    <col min="3852" max="3852" width="43.5703125" style="1487" customWidth="1"/>
    <col min="3853" max="3853" width="5.42578125" style="1487" customWidth="1"/>
    <col min="3854" max="3854" width="43.5703125" style="1487" customWidth="1"/>
    <col min="3855" max="3855" width="5.42578125" style="1487" customWidth="1"/>
    <col min="3856" max="3856" width="43.5703125" style="1487" customWidth="1"/>
    <col min="3857" max="3857" width="2.85546875" style="1487" customWidth="1"/>
    <col min="3858" max="4094" width="11.42578125" style="1487"/>
    <col min="4095" max="4095" width="5.42578125" style="1487" customWidth="1"/>
    <col min="4096" max="4096" width="43.5703125" style="1487" customWidth="1"/>
    <col min="4097" max="4097" width="5.42578125" style="1487" customWidth="1"/>
    <col min="4098" max="4098" width="43.5703125" style="1487" customWidth="1"/>
    <col min="4099" max="4099" width="5.42578125" style="1487" customWidth="1"/>
    <col min="4100" max="4100" width="43.5703125" style="1487" customWidth="1"/>
    <col min="4101" max="4101" width="5.42578125" style="1487" customWidth="1"/>
    <col min="4102" max="4102" width="43.5703125" style="1487" customWidth="1"/>
    <col min="4103" max="4103" width="3.42578125" style="1487" customWidth="1"/>
    <col min="4104" max="4104" width="13.7109375" style="1487" customWidth="1"/>
    <col min="4105" max="4105" width="5.42578125" style="1487" customWidth="1"/>
    <col min="4106" max="4106" width="43.5703125" style="1487" customWidth="1"/>
    <col min="4107" max="4107" width="5.42578125" style="1487" customWidth="1"/>
    <col min="4108" max="4108" width="43.5703125" style="1487" customWidth="1"/>
    <col min="4109" max="4109" width="5.42578125" style="1487" customWidth="1"/>
    <col min="4110" max="4110" width="43.5703125" style="1487" customWidth="1"/>
    <col min="4111" max="4111" width="5.42578125" style="1487" customWidth="1"/>
    <col min="4112" max="4112" width="43.5703125" style="1487" customWidth="1"/>
    <col min="4113" max="4113" width="2.85546875" style="1487" customWidth="1"/>
    <col min="4114" max="4350" width="11.42578125" style="1487"/>
    <col min="4351" max="4351" width="5.42578125" style="1487" customWidth="1"/>
    <col min="4352" max="4352" width="43.5703125" style="1487" customWidth="1"/>
    <col min="4353" max="4353" width="5.42578125" style="1487" customWidth="1"/>
    <col min="4354" max="4354" width="43.5703125" style="1487" customWidth="1"/>
    <col min="4355" max="4355" width="5.42578125" style="1487" customWidth="1"/>
    <col min="4356" max="4356" width="43.5703125" style="1487" customWidth="1"/>
    <col min="4357" max="4357" width="5.42578125" style="1487" customWidth="1"/>
    <col min="4358" max="4358" width="43.5703125" style="1487" customWidth="1"/>
    <col min="4359" max="4359" width="3.42578125" style="1487" customWidth="1"/>
    <col min="4360" max="4360" width="13.7109375" style="1487" customWidth="1"/>
    <col min="4361" max="4361" width="5.42578125" style="1487" customWidth="1"/>
    <col min="4362" max="4362" width="43.5703125" style="1487" customWidth="1"/>
    <col min="4363" max="4363" width="5.42578125" style="1487" customWidth="1"/>
    <col min="4364" max="4364" width="43.5703125" style="1487" customWidth="1"/>
    <col min="4365" max="4365" width="5.42578125" style="1487" customWidth="1"/>
    <col min="4366" max="4366" width="43.5703125" style="1487" customWidth="1"/>
    <col min="4367" max="4367" width="5.42578125" style="1487" customWidth="1"/>
    <col min="4368" max="4368" width="43.5703125" style="1487" customWidth="1"/>
    <col min="4369" max="4369" width="2.85546875" style="1487" customWidth="1"/>
    <col min="4370" max="4606" width="11.42578125" style="1487"/>
    <col min="4607" max="4607" width="5.42578125" style="1487" customWidth="1"/>
    <col min="4608" max="4608" width="43.5703125" style="1487" customWidth="1"/>
    <col min="4609" max="4609" width="5.42578125" style="1487" customWidth="1"/>
    <col min="4610" max="4610" width="43.5703125" style="1487" customWidth="1"/>
    <col min="4611" max="4611" width="5.42578125" style="1487" customWidth="1"/>
    <col min="4612" max="4612" width="43.5703125" style="1487" customWidth="1"/>
    <col min="4613" max="4613" width="5.42578125" style="1487" customWidth="1"/>
    <col min="4614" max="4614" width="43.5703125" style="1487" customWidth="1"/>
    <col min="4615" max="4615" width="3.42578125" style="1487" customWidth="1"/>
    <col min="4616" max="4616" width="13.7109375" style="1487" customWidth="1"/>
    <col min="4617" max="4617" width="5.42578125" style="1487" customWidth="1"/>
    <col min="4618" max="4618" width="43.5703125" style="1487" customWidth="1"/>
    <col min="4619" max="4619" width="5.42578125" style="1487" customWidth="1"/>
    <col min="4620" max="4620" width="43.5703125" style="1487" customWidth="1"/>
    <col min="4621" max="4621" width="5.42578125" style="1487" customWidth="1"/>
    <col min="4622" max="4622" width="43.5703125" style="1487" customWidth="1"/>
    <col min="4623" max="4623" width="5.42578125" style="1487" customWidth="1"/>
    <col min="4624" max="4624" width="43.5703125" style="1487" customWidth="1"/>
    <col min="4625" max="4625" width="2.85546875" style="1487" customWidth="1"/>
    <col min="4626" max="4862" width="11.42578125" style="1487"/>
    <col min="4863" max="4863" width="5.42578125" style="1487" customWidth="1"/>
    <col min="4864" max="4864" width="43.5703125" style="1487" customWidth="1"/>
    <col min="4865" max="4865" width="5.42578125" style="1487" customWidth="1"/>
    <col min="4866" max="4866" width="43.5703125" style="1487" customWidth="1"/>
    <col min="4867" max="4867" width="5.42578125" style="1487" customWidth="1"/>
    <col min="4868" max="4868" width="43.5703125" style="1487" customWidth="1"/>
    <col min="4869" max="4869" width="5.42578125" style="1487" customWidth="1"/>
    <col min="4870" max="4870" width="43.5703125" style="1487" customWidth="1"/>
    <col min="4871" max="4871" width="3.42578125" style="1487" customWidth="1"/>
    <col min="4872" max="4872" width="13.7109375" style="1487" customWidth="1"/>
    <col min="4873" max="4873" width="5.42578125" style="1487" customWidth="1"/>
    <col min="4874" max="4874" width="43.5703125" style="1487" customWidth="1"/>
    <col min="4875" max="4875" width="5.42578125" style="1487" customWidth="1"/>
    <col min="4876" max="4876" width="43.5703125" style="1487" customWidth="1"/>
    <col min="4877" max="4877" width="5.42578125" style="1487" customWidth="1"/>
    <col min="4878" max="4878" width="43.5703125" style="1487" customWidth="1"/>
    <col min="4879" max="4879" width="5.42578125" style="1487" customWidth="1"/>
    <col min="4880" max="4880" width="43.5703125" style="1487" customWidth="1"/>
    <col min="4881" max="4881" width="2.85546875" style="1487" customWidth="1"/>
    <col min="4882" max="5118" width="11.42578125" style="1487"/>
    <col min="5119" max="5119" width="5.42578125" style="1487" customWidth="1"/>
    <col min="5120" max="5120" width="43.5703125" style="1487" customWidth="1"/>
    <col min="5121" max="5121" width="5.42578125" style="1487" customWidth="1"/>
    <col min="5122" max="5122" width="43.5703125" style="1487" customWidth="1"/>
    <col min="5123" max="5123" width="5.42578125" style="1487" customWidth="1"/>
    <col min="5124" max="5124" width="43.5703125" style="1487" customWidth="1"/>
    <col min="5125" max="5125" width="5.42578125" style="1487" customWidth="1"/>
    <col min="5126" max="5126" width="43.5703125" style="1487" customWidth="1"/>
    <col min="5127" max="5127" width="3.42578125" style="1487" customWidth="1"/>
    <col min="5128" max="5128" width="13.7109375" style="1487" customWidth="1"/>
    <col min="5129" max="5129" width="5.42578125" style="1487" customWidth="1"/>
    <col min="5130" max="5130" width="43.5703125" style="1487" customWidth="1"/>
    <col min="5131" max="5131" width="5.42578125" style="1487" customWidth="1"/>
    <col min="5132" max="5132" width="43.5703125" style="1487" customWidth="1"/>
    <col min="5133" max="5133" width="5.42578125" style="1487" customWidth="1"/>
    <col min="5134" max="5134" width="43.5703125" style="1487" customWidth="1"/>
    <col min="5135" max="5135" width="5.42578125" style="1487" customWidth="1"/>
    <col min="5136" max="5136" width="43.5703125" style="1487" customWidth="1"/>
    <col min="5137" max="5137" width="2.85546875" style="1487" customWidth="1"/>
    <col min="5138" max="5374" width="11.42578125" style="1487"/>
    <col min="5375" max="5375" width="5.42578125" style="1487" customWidth="1"/>
    <col min="5376" max="5376" width="43.5703125" style="1487" customWidth="1"/>
    <col min="5377" max="5377" width="5.42578125" style="1487" customWidth="1"/>
    <col min="5378" max="5378" width="43.5703125" style="1487" customWidth="1"/>
    <col min="5379" max="5379" width="5.42578125" style="1487" customWidth="1"/>
    <col min="5380" max="5380" width="43.5703125" style="1487" customWidth="1"/>
    <col min="5381" max="5381" width="5.42578125" style="1487" customWidth="1"/>
    <col min="5382" max="5382" width="43.5703125" style="1487" customWidth="1"/>
    <col min="5383" max="5383" width="3.42578125" style="1487" customWidth="1"/>
    <col min="5384" max="5384" width="13.7109375" style="1487" customWidth="1"/>
    <col min="5385" max="5385" width="5.42578125" style="1487" customWidth="1"/>
    <col min="5386" max="5386" width="43.5703125" style="1487" customWidth="1"/>
    <col min="5387" max="5387" width="5.42578125" style="1487" customWidth="1"/>
    <col min="5388" max="5388" width="43.5703125" style="1487" customWidth="1"/>
    <col min="5389" max="5389" width="5.42578125" style="1487" customWidth="1"/>
    <col min="5390" max="5390" width="43.5703125" style="1487" customWidth="1"/>
    <col min="5391" max="5391" width="5.42578125" style="1487" customWidth="1"/>
    <col min="5392" max="5392" width="43.5703125" style="1487" customWidth="1"/>
    <col min="5393" max="5393" width="2.85546875" style="1487" customWidth="1"/>
    <col min="5394" max="5630" width="11.42578125" style="1487"/>
    <col min="5631" max="5631" width="5.42578125" style="1487" customWidth="1"/>
    <col min="5632" max="5632" width="43.5703125" style="1487" customWidth="1"/>
    <col min="5633" max="5633" width="5.42578125" style="1487" customWidth="1"/>
    <col min="5634" max="5634" width="43.5703125" style="1487" customWidth="1"/>
    <col min="5635" max="5635" width="5.42578125" style="1487" customWidth="1"/>
    <col min="5636" max="5636" width="43.5703125" style="1487" customWidth="1"/>
    <col min="5637" max="5637" width="5.42578125" style="1487" customWidth="1"/>
    <col min="5638" max="5638" width="43.5703125" style="1487" customWidth="1"/>
    <col min="5639" max="5639" width="3.42578125" style="1487" customWidth="1"/>
    <col min="5640" max="5640" width="13.7109375" style="1487" customWidth="1"/>
    <col min="5641" max="5641" width="5.42578125" style="1487" customWidth="1"/>
    <col min="5642" max="5642" width="43.5703125" style="1487" customWidth="1"/>
    <col min="5643" max="5643" width="5.42578125" style="1487" customWidth="1"/>
    <col min="5644" max="5644" width="43.5703125" style="1487" customWidth="1"/>
    <col min="5645" max="5645" width="5.42578125" style="1487" customWidth="1"/>
    <col min="5646" max="5646" width="43.5703125" style="1487" customWidth="1"/>
    <col min="5647" max="5647" width="5.42578125" style="1487" customWidth="1"/>
    <col min="5648" max="5648" width="43.5703125" style="1487" customWidth="1"/>
    <col min="5649" max="5649" width="2.85546875" style="1487" customWidth="1"/>
    <col min="5650" max="5886" width="11.42578125" style="1487"/>
    <col min="5887" max="5887" width="5.42578125" style="1487" customWidth="1"/>
    <col min="5888" max="5888" width="43.5703125" style="1487" customWidth="1"/>
    <col min="5889" max="5889" width="5.42578125" style="1487" customWidth="1"/>
    <col min="5890" max="5890" width="43.5703125" style="1487" customWidth="1"/>
    <col min="5891" max="5891" width="5.42578125" style="1487" customWidth="1"/>
    <col min="5892" max="5892" width="43.5703125" style="1487" customWidth="1"/>
    <col min="5893" max="5893" width="5.42578125" style="1487" customWidth="1"/>
    <col min="5894" max="5894" width="43.5703125" style="1487" customWidth="1"/>
    <col min="5895" max="5895" width="3.42578125" style="1487" customWidth="1"/>
    <col min="5896" max="5896" width="13.7109375" style="1487" customWidth="1"/>
    <col min="5897" max="5897" width="5.42578125" style="1487" customWidth="1"/>
    <col min="5898" max="5898" width="43.5703125" style="1487" customWidth="1"/>
    <col min="5899" max="5899" width="5.42578125" style="1487" customWidth="1"/>
    <col min="5900" max="5900" width="43.5703125" style="1487" customWidth="1"/>
    <col min="5901" max="5901" width="5.42578125" style="1487" customWidth="1"/>
    <col min="5902" max="5902" width="43.5703125" style="1487" customWidth="1"/>
    <col min="5903" max="5903" width="5.42578125" style="1487" customWidth="1"/>
    <col min="5904" max="5904" width="43.5703125" style="1487" customWidth="1"/>
    <col min="5905" max="5905" width="2.85546875" style="1487" customWidth="1"/>
    <col min="5906" max="6142" width="11.42578125" style="1487"/>
    <col min="6143" max="6143" width="5.42578125" style="1487" customWidth="1"/>
    <col min="6144" max="6144" width="43.5703125" style="1487" customWidth="1"/>
    <col min="6145" max="6145" width="5.42578125" style="1487" customWidth="1"/>
    <col min="6146" max="6146" width="43.5703125" style="1487" customWidth="1"/>
    <col min="6147" max="6147" width="5.42578125" style="1487" customWidth="1"/>
    <col min="6148" max="6148" width="43.5703125" style="1487" customWidth="1"/>
    <col min="6149" max="6149" width="5.42578125" style="1487" customWidth="1"/>
    <col min="6150" max="6150" width="43.5703125" style="1487" customWidth="1"/>
    <col min="6151" max="6151" width="3.42578125" style="1487" customWidth="1"/>
    <col min="6152" max="6152" width="13.7109375" style="1487" customWidth="1"/>
    <col min="6153" max="6153" width="5.42578125" style="1487" customWidth="1"/>
    <col min="6154" max="6154" width="43.5703125" style="1487" customWidth="1"/>
    <col min="6155" max="6155" width="5.42578125" style="1487" customWidth="1"/>
    <col min="6156" max="6156" width="43.5703125" style="1487" customWidth="1"/>
    <col min="6157" max="6157" width="5.42578125" style="1487" customWidth="1"/>
    <col min="6158" max="6158" width="43.5703125" style="1487" customWidth="1"/>
    <col min="6159" max="6159" width="5.42578125" style="1487" customWidth="1"/>
    <col min="6160" max="6160" width="43.5703125" style="1487" customWidth="1"/>
    <col min="6161" max="6161" width="2.85546875" style="1487" customWidth="1"/>
    <col min="6162" max="6398" width="11.42578125" style="1487"/>
    <col min="6399" max="6399" width="5.42578125" style="1487" customWidth="1"/>
    <col min="6400" max="6400" width="43.5703125" style="1487" customWidth="1"/>
    <col min="6401" max="6401" width="5.42578125" style="1487" customWidth="1"/>
    <col min="6402" max="6402" width="43.5703125" style="1487" customWidth="1"/>
    <col min="6403" max="6403" width="5.42578125" style="1487" customWidth="1"/>
    <col min="6404" max="6404" width="43.5703125" style="1487" customWidth="1"/>
    <col min="6405" max="6405" width="5.42578125" style="1487" customWidth="1"/>
    <col min="6406" max="6406" width="43.5703125" style="1487" customWidth="1"/>
    <col min="6407" max="6407" width="3.42578125" style="1487" customWidth="1"/>
    <col min="6408" max="6408" width="13.7109375" style="1487" customWidth="1"/>
    <col min="6409" max="6409" width="5.42578125" style="1487" customWidth="1"/>
    <col min="6410" max="6410" width="43.5703125" style="1487" customWidth="1"/>
    <col min="6411" max="6411" width="5.42578125" style="1487" customWidth="1"/>
    <col min="6412" max="6412" width="43.5703125" style="1487" customWidth="1"/>
    <col min="6413" max="6413" width="5.42578125" style="1487" customWidth="1"/>
    <col min="6414" max="6414" width="43.5703125" style="1487" customWidth="1"/>
    <col min="6415" max="6415" width="5.42578125" style="1487" customWidth="1"/>
    <col min="6416" max="6416" width="43.5703125" style="1487" customWidth="1"/>
    <col min="6417" max="6417" width="2.85546875" style="1487" customWidth="1"/>
    <col min="6418" max="6654" width="11.42578125" style="1487"/>
    <col min="6655" max="6655" width="5.42578125" style="1487" customWidth="1"/>
    <col min="6656" max="6656" width="43.5703125" style="1487" customWidth="1"/>
    <col min="6657" max="6657" width="5.42578125" style="1487" customWidth="1"/>
    <col min="6658" max="6658" width="43.5703125" style="1487" customWidth="1"/>
    <col min="6659" max="6659" width="5.42578125" style="1487" customWidth="1"/>
    <col min="6660" max="6660" width="43.5703125" style="1487" customWidth="1"/>
    <col min="6661" max="6661" width="5.42578125" style="1487" customWidth="1"/>
    <col min="6662" max="6662" width="43.5703125" style="1487" customWidth="1"/>
    <col min="6663" max="6663" width="3.42578125" style="1487" customWidth="1"/>
    <col min="6664" max="6664" width="13.7109375" style="1487" customWidth="1"/>
    <col min="6665" max="6665" width="5.42578125" style="1487" customWidth="1"/>
    <col min="6666" max="6666" width="43.5703125" style="1487" customWidth="1"/>
    <col min="6667" max="6667" width="5.42578125" style="1487" customWidth="1"/>
    <col min="6668" max="6668" width="43.5703125" style="1487" customWidth="1"/>
    <col min="6669" max="6669" width="5.42578125" style="1487" customWidth="1"/>
    <col min="6670" max="6670" width="43.5703125" style="1487" customWidth="1"/>
    <col min="6671" max="6671" width="5.42578125" style="1487" customWidth="1"/>
    <col min="6672" max="6672" width="43.5703125" style="1487" customWidth="1"/>
    <col min="6673" max="6673" width="2.85546875" style="1487" customWidth="1"/>
    <col min="6674" max="6910" width="11.42578125" style="1487"/>
    <col min="6911" max="6911" width="5.42578125" style="1487" customWidth="1"/>
    <col min="6912" max="6912" width="43.5703125" style="1487" customWidth="1"/>
    <col min="6913" max="6913" width="5.42578125" style="1487" customWidth="1"/>
    <col min="6914" max="6914" width="43.5703125" style="1487" customWidth="1"/>
    <col min="6915" max="6915" width="5.42578125" style="1487" customWidth="1"/>
    <col min="6916" max="6916" width="43.5703125" style="1487" customWidth="1"/>
    <col min="6917" max="6917" width="5.42578125" style="1487" customWidth="1"/>
    <col min="6918" max="6918" width="43.5703125" style="1487" customWidth="1"/>
    <col min="6919" max="6919" width="3.42578125" style="1487" customWidth="1"/>
    <col min="6920" max="6920" width="13.7109375" style="1487" customWidth="1"/>
    <col min="6921" max="6921" width="5.42578125" style="1487" customWidth="1"/>
    <col min="6922" max="6922" width="43.5703125" style="1487" customWidth="1"/>
    <col min="6923" max="6923" width="5.42578125" style="1487" customWidth="1"/>
    <col min="6924" max="6924" width="43.5703125" style="1487" customWidth="1"/>
    <col min="6925" max="6925" width="5.42578125" style="1487" customWidth="1"/>
    <col min="6926" max="6926" width="43.5703125" style="1487" customWidth="1"/>
    <col min="6927" max="6927" width="5.42578125" style="1487" customWidth="1"/>
    <col min="6928" max="6928" width="43.5703125" style="1487" customWidth="1"/>
    <col min="6929" max="6929" width="2.85546875" style="1487" customWidth="1"/>
    <col min="6930" max="7166" width="11.42578125" style="1487"/>
    <col min="7167" max="7167" width="5.42578125" style="1487" customWidth="1"/>
    <col min="7168" max="7168" width="43.5703125" style="1487" customWidth="1"/>
    <col min="7169" max="7169" width="5.42578125" style="1487" customWidth="1"/>
    <col min="7170" max="7170" width="43.5703125" style="1487" customWidth="1"/>
    <col min="7171" max="7171" width="5.42578125" style="1487" customWidth="1"/>
    <col min="7172" max="7172" width="43.5703125" style="1487" customWidth="1"/>
    <col min="7173" max="7173" width="5.42578125" style="1487" customWidth="1"/>
    <col min="7174" max="7174" width="43.5703125" style="1487" customWidth="1"/>
    <col min="7175" max="7175" width="3.42578125" style="1487" customWidth="1"/>
    <col min="7176" max="7176" width="13.7109375" style="1487" customWidth="1"/>
    <col min="7177" max="7177" width="5.42578125" style="1487" customWidth="1"/>
    <col min="7178" max="7178" width="43.5703125" style="1487" customWidth="1"/>
    <col min="7179" max="7179" width="5.42578125" style="1487" customWidth="1"/>
    <col min="7180" max="7180" width="43.5703125" style="1487" customWidth="1"/>
    <col min="7181" max="7181" width="5.42578125" style="1487" customWidth="1"/>
    <col min="7182" max="7182" width="43.5703125" style="1487" customWidth="1"/>
    <col min="7183" max="7183" width="5.42578125" style="1487" customWidth="1"/>
    <col min="7184" max="7184" width="43.5703125" style="1487" customWidth="1"/>
    <col min="7185" max="7185" width="2.85546875" style="1487" customWidth="1"/>
    <col min="7186" max="7422" width="11.42578125" style="1487"/>
    <col min="7423" max="7423" width="5.42578125" style="1487" customWidth="1"/>
    <col min="7424" max="7424" width="43.5703125" style="1487" customWidth="1"/>
    <col min="7425" max="7425" width="5.42578125" style="1487" customWidth="1"/>
    <col min="7426" max="7426" width="43.5703125" style="1487" customWidth="1"/>
    <col min="7427" max="7427" width="5.42578125" style="1487" customWidth="1"/>
    <col min="7428" max="7428" width="43.5703125" style="1487" customWidth="1"/>
    <col min="7429" max="7429" width="5.42578125" style="1487" customWidth="1"/>
    <col min="7430" max="7430" width="43.5703125" style="1487" customWidth="1"/>
    <col min="7431" max="7431" width="3.42578125" style="1487" customWidth="1"/>
    <col min="7432" max="7432" width="13.7109375" style="1487" customWidth="1"/>
    <col min="7433" max="7433" width="5.42578125" style="1487" customWidth="1"/>
    <col min="7434" max="7434" width="43.5703125" style="1487" customWidth="1"/>
    <col min="7435" max="7435" width="5.42578125" style="1487" customWidth="1"/>
    <col min="7436" max="7436" width="43.5703125" style="1487" customWidth="1"/>
    <col min="7437" max="7437" width="5.42578125" style="1487" customWidth="1"/>
    <col min="7438" max="7438" width="43.5703125" style="1487" customWidth="1"/>
    <col min="7439" max="7439" width="5.42578125" style="1487" customWidth="1"/>
    <col min="7440" max="7440" width="43.5703125" style="1487" customWidth="1"/>
    <col min="7441" max="7441" width="2.85546875" style="1487" customWidth="1"/>
    <col min="7442" max="7678" width="11.42578125" style="1487"/>
    <col min="7679" max="7679" width="5.42578125" style="1487" customWidth="1"/>
    <col min="7680" max="7680" width="43.5703125" style="1487" customWidth="1"/>
    <col min="7681" max="7681" width="5.42578125" style="1487" customWidth="1"/>
    <col min="7682" max="7682" width="43.5703125" style="1487" customWidth="1"/>
    <col min="7683" max="7683" width="5.42578125" style="1487" customWidth="1"/>
    <col min="7684" max="7684" width="43.5703125" style="1487" customWidth="1"/>
    <col min="7685" max="7685" width="5.42578125" style="1487" customWidth="1"/>
    <col min="7686" max="7686" width="43.5703125" style="1487" customWidth="1"/>
    <col min="7687" max="7687" width="3.42578125" style="1487" customWidth="1"/>
    <col min="7688" max="7688" width="13.7109375" style="1487" customWidth="1"/>
    <col min="7689" max="7689" width="5.42578125" style="1487" customWidth="1"/>
    <col min="7690" max="7690" width="43.5703125" style="1487" customWidth="1"/>
    <col min="7691" max="7691" width="5.42578125" style="1487" customWidth="1"/>
    <col min="7692" max="7692" width="43.5703125" style="1487" customWidth="1"/>
    <col min="7693" max="7693" width="5.42578125" style="1487" customWidth="1"/>
    <col min="7694" max="7694" width="43.5703125" style="1487" customWidth="1"/>
    <col min="7695" max="7695" width="5.42578125" style="1487" customWidth="1"/>
    <col min="7696" max="7696" width="43.5703125" style="1487" customWidth="1"/>
    <col min="7697" max="7697" width="2.85546875" style="1487" customWidth="1"/>
    <col min="7698" max="7934" width="11.42578125" style="1487"/>
    <col min="7935" max="7935" width="5.42578125" style="1487" customWidth="1"/>
    <col min="7936" max="7936" width="43.5703125" style="1487" customWidth="1"/>
    <col min="7937" max="7937" width="5.42578125" style="1487" customWidth="1"/>
    <col min="7938" max="7938" width="43.5703125" style="1487" customWidth="1"/>
    <col min="7939" max="7939" width="5.42578125" style="1487" customWidth="1"/>
    <col min="7940" max="7940" width="43.5703125" style="1487" customWidth="1"/>
    <col min="7941" max="7941" width="5.42578125" style="1487" customWidth="1"/>
    <col min="7942" max="7942" width="43.5703125" style="1487" customWidth="1"/>
    <col min="7943" max="7943" width="3.42578125" style="1487" customWidth="1"/>
    <col min="7944" max="7944" width="13.7109375" style="1487" customWidth="1"/>
    <col min="7945" max="7945" width="5.42578125" style="1487" customWidth="1"/>
    <col min="7946" max="7946" width="43.5703125" style="1487" customWidth="1"/>
    <col min="7947" max="7947" width="5.42578125" style="1487" customWidth="1"/>
    <col min="7948" max="7948" width="43.5703125" style="1487" customWidth="1"/>
    <col min="7949" max="7949" width="5.42578125" style="1487" customWidth="1"/>
    <col min="7950" max="7950" width="43.5703125" style="1487" customWidth="1"/>
    <col min="7951" max="7951" width="5.42578125" style="1487" customWidth="1"/>
    <col min="7952" max="7952" width="43.5703125" style="1487" customWidth="1"/>
    <col min="7953" max="7953" width="2.85546875" style="1487" customWidth="1"/>
    <col min="7954" max="8190" width="11.42578125" style="1487"/>
    <col min="8191" max="8191" width="5.42578125" style="1487" customWidth="1"/>
    <col min="8192" max="8192" width="43.5703125" style="1487" customWidth="1"/>
    <col min="8193" max="8193" width="5.42578125" style="1487" customWidth="1"/>
    <col min="8194" max="8194" width="43.5703125" style="1487" customWidth="1"/>
    <col min="8195" max="8195" width="5.42578125" style="1487" customWidth="1"/>
    <col min="8196" max="8196" width="43.5703125" style="1487" customWidth="1"/>
    <col min="8197" max="8197" width="5.42578125" style="1487" customWidth="1"/>
    <col min="8198" max="8198" width="43.5703125" style="1487" customWidth="1"/>
    <col min="8199" max="8199" width="3.42578125" style="1487" customWidth="1"/>
    <col min="8200" max="8200" width="13.7109375" style="1487" customWidth="1"/>
    <col min="8201" max="8201" width="5.42578125" style="1487" customWidth="1"/>
    <col min="8202" max="8202" width="43.5703125" style="1487" customWidth="1"/>
    <col min="8203" max="8203" width="5.42578125" style="1487" customWidth="1"/>
    <col min="8204" max="8204" width="43.5703125" style="1487" customWidth="1"/>
    <col min="8205" max="8205" width="5.42578125" style="1487" customWidth="1"/>
    <col min="8206" max="8206" width="43.5703125" style="1487" customWidth="1"/>
    <col min="8207" max="8207" width="5.42578125" style="1487" customWidth="1"/>
    <col min="8208" max="8208" width="43.5703125" style="1487" customWidth="1"/>
    <col min="8209" max="8209" width="2.85546875" style="1487" customWidth="1"/>
    <col min="8210" max="8446" width="11.42578125" style="1487"/>
    <col min="8447" max="8447" width="5.42578125" style="1487" customWidth="1"/>
    <col min="8448" max="8448" width="43.5703125" style="1487" customWidth="1"/>
    <col min="8449" max="8449" width="5.42578125" style="1487" customWidth="1"/>
    <col min="8450" max="8450" width="43.5703125" style="1487" customWidth="1"/>
    <col min="8451" max="8451" width="5.42578125" style="1487" customWidth="1"/>
    <col min="8452" max="8452" width="43.5703125" style="1487" customWidth="1"/>
    <col min="8453" max="8453" width="5.42578125" style="1487" customWidth="1"/>
    <col min="8454" max="8454" width="43.5703125" style="1487" customWidth="1"/>
    <col min="8455" max="8455" width="3.42578125" style="1487" customWidth="1"/>
    <col min="8456" max="8456" width="13.7109375" style="1487" customWidth="1"/>
    <col min="8457" max="8457" width="5.42578125" style="1487" customWidth="1"/>
    <col min="8458" max="8458" width="43.5703125" style="1487" customWidth="1"/>
    <col min="8459" max="8459" width="5.42578125" style="1487" customWidth="1"/>
    <col min="8460" max="8460" width="43.5703125" style="1487" customWidth="1"/>
    <col min="8461" max="8461" width="5.42578125" style="1487" customWidth="1"/>
    <col min="8462" max="8462" width="43.5703125" style="1487" customWidth="1"/>
    <col min="8463" max="8463" width="5.42578125" style="1487" customWidth="1"/>
    <col min="8464" max="8464" width="43.5703125" style="1487" customWidth="1"/>
    <col min="8465" max="8465" width="2.85546875" style="1487" customWidth="1"/>
    <col min="8466" max="8702" width="11.42578125" style="1487"/>
    <col min="8703" max="8703" width="5.42578125" style="1487" customWidth="1"/>
    <col min="8704" max="8704" width="43.5703125" style="1487" customWidth="1"/>
    <col min="8705" max="8705" width="5.42578125" style="1487" customWidth="1"/>
    <col min="8706" max="8706" width="43.5703125" style="1487" customWidth="1"/>
    <col min="8707" max="8707" width="5.42578125" style="1487" customWidth="1"/>
    <col min="8708" max="8708" width="43.5703125" style="1487" customWidth="1"/>
    <col min="8709" max="8709" width="5.42578125" style="1487" customWidth="1"/>
    <col min="8710" max="8710" width="43.5703125" style="1487" customWidth="1"/>
    <col min="8711" max="8711" width="3.42578125" style="1487" customWidth="1"/>
    <col min="8712" max="8712" width="13.7109375" style="1487" customWidth="1"/>
    <col min="8713" max="8713" width="5.42578125" style="1487" customWidth="1"/>
    <col min="8714" max="8714" width="43.5703125" style="1487" customWidth="1"/>
    <col min="8715" max="8715" width="5.42578125" style="1487" customWidth="1"/>
    <col min="8716" max="8716" width="43.5703125" style="1487" customWidth="1"/>
    <col min="8717" max="8717" width="5.42578125" style="1487" customWidth="1"/>
    <col min="8718" max="8718" width="43.5703125" style="1487" customWidth="1"/>
    <col min="8719" max="8719" width="5.42578125" style="1487" customWidth="1"/>
    <col min="8720" max="8720" width="43.5703125" style="1487" customWidth="1"/>
    <col min="8721" max="8721" width="2.85546875" style="1487" customWidth="1"/>
    <col min="8722" max="8958" width="11.42578125" style="1487"/>
    <col min="8959" max="8959" width="5.42578125" style="1487" customWidth="1"/>
    <col min="8960" max="8960" width="43.5703125" style="1487" customWidth="1"/>
    <col min="8961" max="8961" width="5.42578125" style="1487" customWidth="1"/>
    <col min="8962" max="8962" width="43.5703125" style="1487" customWidth="1"/>
    <col min="8963" max="8963" width="5.42578125" style="1487" customWidth="1"/>
    <col min="8964" max="8964" width="43.5703125" style="1487" customWidth="1"/>
    <col min="8965" max="8965" width="5.42578125" style="1487" customWidth="1"/>
    <col min="8966" max="8966" width="43.5703125" style="1487" customWidth="1"/>
    <col min="8967" max="8967" width="3.42578125" style="1487" customWidth="1"/>
    <col min="8968" max="8968" width="13.7109375" style="1487" customWidth="1"/>
    <col min="8969" max="8969" width="5.42578125" style="1487" customWidth="1"/>
    <col min="8970" max="8970" width="43.5703125" style="1487" customWidth="1"/>
    <col min="8971" max="8971" width="5.42578125" style="1487" customWidth="1"/>
    <col min="8972" max="8972" width="43.5703125" style="1487" customWidth="1"/>
    <col min="8973" max="8973" width="5.42578125" style="1487" customWidth="1"/>
    <col min="8974" max="8974" width="43.5703125" style="1487" customWidth="1"/>
    <col min="8975" max="8975" width="5.42578125" style="1487" customWidth="1"/>
    <col min="8976" max="8976" width="43.5703125" style="1487" customWidth="1"/>
    <col min="8977" max="8977" width="2.85546875" style="1487" customWidth="1"/>
    <col min="8978" max="9214" width="11.42578125" style="1487"/>
    <col min="9215" max="9215" width="5.42578125" style="1487" customWidth="1"/>
    <col min="9216" max="9216" width="43.5703125" style="1487" customWidth="1"/>
    <col min="9217" max="9217" width="5.42578125" style="1487" customWidth="1"/>
    <col min="9218" max="9218" width="43.5703125" style="1487" customWidth="1"/>
    <col min="9219" max="9219" width="5.42578125" style="1487" customWidth="1"/>
    <col min="9220" max="9220" width="43.5703125" style="1487" customWidth="1"/>
    <col min="9221" max="9221" width="5.42578125" style="1487" customWidth="1"/>
    <col min="9222" max="9222" width="43.5703125" style="1487" customWidth="1"/>
    <col min="9223" max="9223" width="3.42578125" style="1487" customWidth="1"/>
    <col min="9224" max="9224" width="13.7109375" style="1487" customWidth="1"/>
    <col min="9225" max="9225" width="5.42578125" style="1487" customWidth="1"/>
    <col min="9226" max="9226" width="43.5703125" style="1487" customWidth="1"/>
    <col min="9227" max="9227" width="5.42578125" style="1487" customWidth="1"/>
    <col min="9228" max="9228" width="43.5703125" style="1487" customWidth="1"/>
    <col min="9229" max="9229" width="5.42578125" style="1487" customWidth="1"/>
    <col min="9230" max="9230" width="43.5703125" style="1487" customWidth="1"/>
    <col min="9231" max="9231" width="5.42578125" style="1487" customWidth="1"/>
    <col min="9232" max="9232" width="43.5703125" style="1487" customWidth="1"/>
    <col min="9233" max="9233" width="2.85546875" style="1487" customWidth="1"/>
    <col min="9234" max="9470" width="11.42578125" style="1487"/>
    <col min="9471" max="9471" width="5.42578125" style="1487" customWidth="1"/>
    <col min="9472" max="9472" width="43.5703125" style="1487" customWidth="1"/>
    <col min="9473" max="9473" width="5.42578125" style="1487" customWidth="1"/>
    <col min="9474" max="9474" width="43.5703125" style="1487" customWidth="1"/>
    <col min="9475" max="9475" width="5.42578125" style="1487" customWidth="1"/>
    <col min="9476" max="9476" width="43.5703125" style="1487" customWidth="1"/>
    <col min="9477" max="9477" width="5.42578125" style="1487" customWidth="1"/>
    <col min="9478" max="9478" width="43.5703125" style="1487" customWidth="1"/>
    <col min="9479" max="9479" width="3.42578125" style="1487" customWidth="1"/>
    <col min="9480" max="9480" width="13.7109375" style="1487" customWidth="1"/>
    <col min="9481" max="9481" width="5.42578125" style="1487" customWidth="1"/>
    <col min="9482" max="9482" width="43.5703125" style="1487" customWidth="1"/>
    <col min="9483" max="9483" width="5.42578125" style="1487" customWidth="1"/>
    <col min="9484" max="9484" width="43.5703125" style="1487" customWidth="1"/>
    <col min="9485" max="9485" width="5.42578125" style="1487" customWidth="1"/>
    <col min="9486" max="9486" width="43.5703125" style="1487" customWidth="1"/>
    <col min="9487" max="9487" width="5.42578125" style="1487" customWidth="1"/>
    <col min="9488" max="9488" width="43.5703125" style="1487" customWidth="1"/>
    <col min="9489" max="9489" width="2.85546875" style="1487" customWidth="1"/>
    <col min="9490" max="9726" width="11.42578125" style="1487"/>
    <col min="9727" max="9727" width="5.42578125" style="1487" customWidth="1"/>
    <col min="9728" max="9728" width="43.5703125" style="1487" customWidth="1"/>
    <col min="9729" max="9729" width="5.42578125" style="1487" customWidth="1"/>
    <col min="9730" max="9730" width="43.5703125" style="1487" customWidth="1"/>
    <col min="9731" max="9731" width="5.42578125" style="1487" customWidth="1"/>
    <col min="9732" max="9732" width="43.5703125" style="1487" customWidth="1"/>
    <col min="9733" max="9733" width="5.42578125" style="1487" customWidth="1"/>
    <col min="9734" max="9734" width="43.5703125" style="1487" customWidth="1"/>
    <col min="9735" max="9735" width="3.42578125" style="1487" customWidth="1"/>
    <col min="9736" max="9736" width="13.7109375" style="1487" customWidth="1"/>
    <col min="9737" max="9737" width="5.42578125" style="1487" customWidth="1"/>
    <col min="9738" max="9738" width="43.5703125" style="1487" customWidth="1"/>
    <col min="9739" max="9739" width="5.42578125" style="1487" customWidth="1"/>
    <col min="9740" max="9740" width="43.5703125" style="1487" customWidth="1"/>
    <col min="9741" max="9741" width="5.42578125" style="1487" customWidth="1"/>
    <col min="9742" max="9742" width="43.5703125" style="1487" customWidth="1"/>
    <col min="9743" max="9743" width="5.42578125" style="1487" customWidth="1"/>
    <col min="9744" max="9744" width="43.5703125" style="1487" customWidth="1"/>
    <col min="9745" max="9745" width="2.85546875" style="1487" customWidth="1"/>
    <col min="9746" max="9982" width="11.42578125" style="1487"/>
    <col min="9983" max="9983" width="5.42578125" style="1487" customWidth="1"/>
    <col min="9984" max="9984" width="43.5703125" style="1487" customWidth="1"/>
    <col min="9985" max="9985" width="5.42578125" style="1487" customWidth="1"/>
    <col min="9986" max="9986" width="43.5703125" style="1487" customWidth="1"/>
    <col min="9987" max="9987" width="5.42578125" style="1487" customWidth="1"/>
    <col min="9988" max="9988" width="43.5703125" style="1487" customWidth="1"/>
    <col min="9989" max="9989" width="5.42578125" style="1487" customWidth="1"/>
    <col min="9990" max="9990" width="43.5703125" style="1487" customWidth="1"/>
    <col min="9991" max="9991" width="3.42578125" style="1487" customWidth="1"/>
    <col min="9992" max="9992" width="13.7109375" style="1487" customWidth="1"/>
    <col min="9993" max="9993" width="5.42578125" style="1487" customWidth="1"/>
    <col min="9994" max="9994" width="43.5703125" style="1487" customWidth="1"/>
    <col min="9995" max="9995" width="5.42578125" style="1487" customWidth="1"/>
    <col min="9996" max="9996" width="43.5703125" style="1487" customWidth="1"/>
    <col min="9997" max="9997" width="5.42578125" style="1487" customWidth="1"/>
    <col min="9998" max="9998" width="43.5703125" style="1487" customWidth="1"/>
    <col min="9999" max="9999" width="5.42578125" style="1487" customWidth="1"/>
    <col min="10000" max="10000" width="43.5703125" style="1487" customWidth="1"/>
    <col min="10001" max="10001" width="2.85546875" style="1487" customWidth="1"/>
    <col min="10002" max="10238" width="11.42578125" style="1487"/>
    <col min="10239" max="10239" width="5.42578125" style="1487" customWidth="1"/>
    <col min="10240" max="10240" width="43.5703125" style="1487" customWidth="1"/>
    <col min="10241" max="10241" width="5.42578125" style="1487" customWidth="1"/>
    <col min="10242" max="10242" width="43.5703125" style="1487" customWidth="1"/>
    <col min="10243" max="10243" width="5.42578125" style="1487" customWidth="1"/>
    <col min="10244" max="10244" width="43.5703125" style="1487" customWidth="1"/>
    <col min="10245" max="10245" width="5.42578125" style="1487" customWidth="1"/>
    <col min="10246" max="10246" width="43.5703125" style="1487" customWidth="1"/>
    <col min="10247" max="10247" width="3.42578125" style="1487" customWidth="1"/>
    <col min="10248" max="10248" width="13.7109375" style="1487" customWidth="1"/>
    <col min="10249" max="10249" width="5.42578125" style="1487" customWidth="1"/>
    <col min="10250" max="10250" width="43.5703125" style="1487" customWidth="1"/>
    <col min="10251" max="10251" width="5.42578125" style="1487" customWidth="1"/>
    <col min="10252" max="10252" width="43.5703125" style="1487" customWidth="1"/>
    <col min="10253" max="10253" width="5.42578125" style="1487" customWidth="1"/>
    <col min="10254" max="10254" width="43.5703125" style="1487" customWidth="1"/>
    <col min="10255" max="10255" width="5.42578125" style="1487" customWidth="1"/>
    <col min="10256" max="10256" width="43.5703125" style="1487" customWidth="1"/>
    <col min="10257" max="10257" width="2.85546875" style="1487" customWidth="1"/>
    <col min="10258" max="10494" width="11.42578125" style="1487"/>
    <col min="10495" max="10495" width="5.42578125" style="1487" customWidth="1"/>
    <col min="10496" max="10496" width="43.5703125" style="1487" customWidth="1"/>
    <col min="10497" max="10497" width="5.42578125" style="1487" customWidth="1"/>
    <col min="10498" max="10498" width="43.5703125" style="1487" customWidth="1"/>
    <col min="10499" max="10499" width="5.42578125" style="1487" customWidth="1"/>
    <col min="10500" max="10500" width="43.5703125" style="1487" customWidth="1"/>
    <col min="10501" max="10501" width="5.42578125" style="1487" customWidth="1"/>
    <col min="10502" max="10502" width="43.5703125" style="1487" customWidth="1"/>
    <col min="10503" max="10503" width="3.42578125" style="1487" customWidth="1"/>
    <col min="10504" max="10504" width="13.7109375" style="1487" customWidth="1"/>
    <col min="10505" max="10505" width="5.42578125" style="1487" customWidth="1"/>
    <col min="10506" max="10506" width="43.5703125" style="1487" customWidth="1"/>
    <col min="10507" max="10507" width="5.42578125" style="1487" customWidth="1"/>
    <col min="10508" max="10508" width="43.5703125" style="1487" customWidth="1"/>
    <col min="10509" max="10509" width="5.42578125" style="1487" customWidth="1"/>
    <col min="10510" max="10510" width="43.5703125" style="1487" customWidth="1"/>
    <col min="10511" max="10511" width="5.42578125" style="1487" customWidth="1"/>
    <col min="10512" max="10512" width="43.5703125" style="1487" customWidth="1"/>
    <col min="10513" max="10513" width="2.85546875" style="1487" customWidth="1"/>
    <col min="10514" max="10750" width="11.42578125" style="1487"/>
    <col min="10751" max="10751" width="5.42578125" style="1487" customWidth="1"/>
    <col min="10752" max="10752" width="43.5703125" style="1487" customWidth="1"/>
    <col min="10753" max="10753" width="5.42578125" style="1487" customWidth="1"/>
    <col min="10754" max="10754" width="43.5703125" style="1487" customWidth="1"/>
    <col min="10755" max="10755" width="5.42578125" style="1487" customWidth="1"/>
    <col min="10756" max="10756" width="43.5703125" style="1487" customWidth="1"/>
    <col min="10757" max="10757" width="5.42578125" style="1487" customWidth="1"/>
    <col min="10758" max="10758" width="43.5703125" style="1487" customWidth="1"/>
    <col min="10759" max="10759" width="3.42578125" style="1487" customWidth="1"/>
    <col min="10760" max="10760" width="13.7109375" style="1487" customWidth="1"/>
    <col min="10761" max="10761" width="5.42578125" style="1487" customWidth="1"/>
    <col min="10762" max="10762" width="43.5703125" style="1487" customWidth="1"/>
    <col min="10763" max="10763" width="5.42578125" style="1487" customWidth="1"/>
    <col min="10764" max="10764" width="43.5703125" style="1487" customWidth="1"/>
    <col min="10765" max="10765" width="5.42578125" style="1487" customWidth="1"/>
    <col min="10766" max="10766" width="43.5703125" style="1487" customWidth="1"/>
    <col min="10767" max="10767" width="5.42578125" style="1487" customWidth="1"/>
    <col min="10768" max="10768" width="43.5703125" style="1487" customWidth="1"/>
    <col min="10769" max="10769" width="2.85546875" style="1487" customWidth="1"/>
    <col min="10770" max="11006" width="11.42578125" style="1487"/>
    <col min="11007" max="11007" width="5.42578125" style="1487" customWidth="1"/>
    <col min="11008" max="11008" width="43.5703125" style="1487" customWidth="1"/>
    <col min="11009" max="11009" width="5.42578125" style="1487" customWidth="1"/>
    <col min="11010" max="11010" width="43.5703125" style="1487" customWidth="1"/>
    <col min="11011" max="11011" width="5.42578125" style="1487" customWidth="1"/>
    <col min="11012" max="11012" width="43.5703125" style="1487" customWidth="1"/>
    <col min="11013" max="11013" width="5.42578125" style="1487" customWidth="1"/>
    <col min="11014" max="11014" width="43.5703125" style="1487" customWidth="1"/>
    <col min="11015" max="11015" width="3.42578125" style="1487" customWidth="1"/>
    <col min="11016" max="11016" width="13.7109375" style="1487" customWidth="1"/>
    <col min="11017" max="11017" width="5.42578125" style="1487" customWidth="1"/>
    <col min="11018" max="11018" width="43.5703125" style="1487" customWidth="1"/>
    <col min="11019" max="11019" width="5.42578125" style="1487" customWidth="1"/>
    <col min="11020" max="11020" width="43.5703125" style="1487" customWidth="1"/>
    <col min="11021" max="11021" width="5.42578125" style="1487" customWidth="1"/>
    <col min="11022" max="11022" width="43.5703125" style="1487" customWidth="1"/>
    <col min="11023" max="11023" width="5.42578125" style="1487" customWidth="1"/>
    <col min="11024" max="11024" width="43.5703125" style="1487" customWidth="1"/>
    <col min="11025" max="11025" width="2.85546875" style="1487" customWidth="1"/>
    <col min="11026" max="11262" width="11.42578125" style="1487"/>
    <col min="11263" max="11263" width="5.42578125" style="1487" customWidth="1"/>
    <col min="11264" max="11264" width="43.5703125" style="1487" customWidth="1"/>
    <col min="11265" max="11265" width="5.42578125" style="1487" customWidth="1"/>
    <col min="11266" max="11266" width="43.5703125" style="1487" customWidth="1"/>
    <col min="11267" max="11267" width="5.42578125" style="1487" customWidth="1"/>
    <col min="11268" max="11268" width="43.5703125" style="1487" customWidth="1"/>
    <col min="11269" max="11269" width="5.42578125" style="1487" customWidth="1"/>
    <col min="11270" max="11270" width="43.5703125" style="1487" customWidth="1"/>
    <col min="11271" max="11271" width="3.42578125" style="1487" customWidth="1"/>
    <col min="11272" max="11272" width="13.7109375" style="1487" customWidth="1"/>
    <col min="11273" max="11273" width="5.42578125" style="1487" customWidth="1"/>
    <col min="11274" max="11274" width="43.5703125" style="1487" customWidth="1"/>
    <col min="11275" max="11275" width="5.42578125" style="1487" customWidth="1"/>
    <col min="11276" max="11276" width="43.5703125" style="1487" customWidth="1"/>
    <col min="11277" max="11277" width="5.42578125" style="1487" customWidth="1"/>
    <col min="11278" max="11278" width="43.5703125" style="1487" customWidth="1"/>
    <col min="11279" max="11279" width="5.42578125" style="1487" customWidth="1"/>
    <col min="11280" max="11280" width="43.5703125" style="1487" customWidth="1"/>
    <col min="11281" max="11281" width="2.85546875" style="1487" customWidth="1"/>
    <col min="11282" max="11518" width="11.42578125" style="1487"/>
    <col min="11519" max="11519" width="5.42578125" style="1487" customWidth="1"/>
    <col min="11520" max="11520" width="43.5703125" style="1487" customWidth="1"/>
    <col min="11521" max="11521" width="5.42578125" style="1487" customWidth="1"/>
    <col min="11522" max="11522" width="43.5703125" style="1487" customWidth="1"/>
    <col min="11523" max="11523" width="5.42578125" style="1487" customWidth="1"/>
    <col min="11524" max="11524" width="43.5703125" style="1487" customWidth="1"/>
    <col min="11525" max="11525" width="5.42578125" style="1487" customWidth="1"/>
    <col min="11526" max="11526" width="43.5703125" style="1487" customWidth="1"/>
    <col min="11527" max="11527" width="3.42578125" style="1487" customWidth="1"/>
    <col min="11528" max="11528" width="13.7109375" style="1487" customWidth="1"/>
    <col min="11529" max="11529" width="5.42578125" style="1487" customWidth="1"/>
    <col min="11530" max="11530" width="43.5703125" style="1487" customWidth="1"/>
    <col min="11531" max="11531" width="5.42578125" style="1487" customWidth="1"/>
    <col min="11532" max="11532" width="43.5703125" style="1487" customWidth="1"/>
    <col min="11533" max="11533" width="5.42578125" style="1487" customWidth="1"/>
    <col min="11534" max="11534" width="43.5703125" style="1487" customWidth="1"/>
    <col min="11535" max="11535" width="5.42578125" style="1487" customWidth="1"/>
    <col min="11536" max="11536" width="43.5703125" style="1487" customWidth="1"/>
    <col min="11537" max="11537" width="2.85546875" style="1487" customWidth="1"/>
    <col min="11538" max="11774" width="11.42578125" style="1487"/>
    <col min="11775" max="11775" width="5.42578125" style="1487" customWidth="1"/>
    <col min="11776" max="11776" width="43.5703125" style="1487" customWidth="1"/>
    <col min="11777" max="11777" width="5.42578125" style="1487" customWidth="1"/>
    <col min="11778" max="11778" width="43.5703125" style="1487" customWidth="1"/>
    <col min="11779" max="11779" width="5.42578125" style="1487" customWidth="1"/>
    <col min="11780" max="11780" width="43.5703125" style="1487" customWidth="1"/>
    <col min="11781" max="11781" width="5.42578125" style="1487" customWidth="1"/>
    <col min="11782" max="11782" width="43.5703125" style="1487" customWidth="1"/>
    <col min="11783" max="11783" width="3.42578125" style="1487" customWidth="1"/>
    <col min="11784" max="11784" width="13.7109375" style="1487" customWidth="1"/>
    <col min="11785" max="11785" width="5.42578125" style="1487" customWidth="1"/>
    <col min="11786" max="11786" width="43.5703125" style="1487" customWidth="1"/>
    <col min="11787" max="11787" width="5.42578125" style="1487" customWidth="1"/>
    <col min="11788" max="11788" width="43.5703125" style="1487" customWidth="1"/>
    <col min="11789" max="11789" width="5.42578125" style="1487" customWidth="1"/>
    <col min="11790" max="11790" width="43.5703125" style="1487" customWidth="1"/>
    <col min="11791" max="11791" width="5.42578125" style="1487" customWidth="1"/>
    <col min="11792" max="11792" width="43.5703125" style="1487" customWidth="1"/>
    <col min="11793" max="11793" width="2.85546875" style="1487" customWidth="1"/>
    <col min="11794" max="12030" width="11.42578125" style="1487"/>
    <col min="12031" max="12031" width="5.42578125" style="1487" customWidth="1"/>
    <col min="12032" max="12032" width="43.5703125" style="1487" customWidth="1"/>
    <col min="12033" max="12033" width="5.42578125" style="1487" customWidth="1"/>
    <col min="12034" max="12034" width="43.5703125" style="1487" customWidth="1"/>
    <col min="12035" max="12035" width="5.42578125" style="1487" customWidth="1"/>
    <col min="12036" max="12036" width="43.5703125" style="1487" customWidth="1"/>
    <col min="12037" max="12037" width="5.42578125" style="1487" customWidth="1"/>
    <col min="12038" max="12038" width="43.5703125" style="1487" customWidth="1"/>
    <col min="12039" max="12039" width="3.42578125" style="1487" customWidth="1"/>
    <col min="12040" max="12040" width="13.7109375" style="1487" customWidth="1"/>
    <col min="12041" max="12041" width="5.42578125" style="1487" customWidth="1"/>
    <col min="12042" max="12042" width="43.5703125" style="1487" customWidth="1"/>
    <col min="12043" max="12043" width="5.42578125" style="1487" customWidth="1"/>
    <col min="12044" max="12044" width="43.5703125" style="1487" customWidth="1"/>
    <col min="12045" max="12045" width="5.42578125" style="1487" customWidth="1"/>
    <col min="12046" max="12046" width="43.5703125" style="1487" customWidth="1"/>
    <col min="12047" max="12047" width="5.42578125" style="1487" customWidth="1"/>
    <col min="12048" max="12048" width="43.5703125" style="1487" customWidth="1"/>
    <col min="12049" max="12049" width="2.85546875" style="1487" customWidth="1"/>
    <col min="12050" max="12286" width="11.42578125" style="1487"/>
    <col min="12287" max="12287" width="5.42578125" style="1487" customWidth="1"/>
    <col min="12288" max="12288" width="43.5703125" style="1487" customWidth="1"/>
    <col min="12289" max="12289" width="5.42578125" style="1487" customWidth="1"/>
    <col min="12290" max="12290" width="43.5703125" style="1487" customWidth="1"/>
    <col min="12291" max="12291" width="5.42578125" style="1487" customWidth="1"/>
    <col min="12292" max="12292" width="43.5703125" style="1487" customWidth="1"/>
    <col min="12293" max="12293" width="5.42578125" style="1487" customWidth="1"/>
    <col min="12294" max="12294" width="43.5703125" style="1487" customWidth="1"/>
    <col min="12295" max="12295" width="3.42578125" style="1487" customWidth="1"/>
    <col min="12296" max="12296" width="13.7109375" style="1487" customWidth="1"/>
    <col min="12297" max="12297" width="5.42578125" style="1487" customWidth="1"/>
    <col min="12298" max="12298" width="43.5703125" style="1487" customWidth="1"/>
    <col min="12299" max="12299" width="5.42578125" style="1487" customWidth="1"/>
    <col min="12300" max="12300" width="43.5703125" style="1487" customWidth="1"/>
    <col min="12301" max="12301" width="5.42578125" style="1487" customWidth="1"/>
    <col min="12302" max="12302" width="43.5703125" style="1487" customWidth="1"/>
    <col min="12303" max="12303" width="5.42578125" style="1487" customWidth="1"/>
    <col min="12304" max="12304" width="43.5703125" style="1487" customWidth="1"/>
    <col min="12305" max="12305" width="2.85546875" style="1487" customWidth="1"/>
    <col min="12306" max="12542" width="11.42578125" style="1487"/>
    <col min="12543" max="12543" width="5.42578125" style="1487" customWidth="1"/>
    <col min="12544" max="12544" width="43.5703125" style="1487" customWidth="1"/>
    <col min="12545" max="12545" width="5.42578125" style="1487" customWidth="1"/>
    <col min="12546" max="12546" width="43.5703125" style="1487" customWidth="1"/>
    <col min="12547" max="12547" width="5.42578125" style="1487" customWidth="1"/>
    <col min="12548" max="12548" width="43.5703125" style="1487" customWidth="1"/>
    <col min="12549" max="12549" width="5.42578125" style="1487" customWidth="1"/>
    <col min="12550" max="12550" width="43.5703125" style="1487" customWidth="1"/>
    <col min="12551" max="12551" width="3.42578125" style="1487" customWidth="1"/>
    <col min="12552" max="12552" width="13.7109375" style="1487" customWidth="1"/>
    <col min="12553" max="12553" width="5.42578125" style="1487" customWidth="1"/>
    <col min="12554" max="12554" width="43.5703125" style="1487" customWidth="1"/>
    <col min="12555" max="12555" width="5.42578125" style="1487" customWidth="1"/>
    <col min="12556" max="12556" width="43.5703125" style="1487" customWidth="1"/>
    <col min="12557" max="12557" width="5.42578125" style="1487" customWidth="1"/>
    <col min="12558" max="12558" width="43.5703125" style="1487" customWidth="1"/>
    <col min="12559" max="12559" width="5.42578125" style="1487" customWidth="1"/>
    <col min="12560" max="12560" width="43.5703125" style="1487" customWidth="1"/>
    <col min="12561" max="12561" width="2.85546875" style="1487" customWidth="1"/>
    <col min="12562" max="12798" width="11.42578125" style="1487"/>
    <col min="12799" max="12799" width="5.42578125" style="1487" customWidth="1"/>
    <col min="12800" max="12800" width="43.5703125" style="1487" customWidth="1"/>
    <col min="12801" max="12801" width="5.42578125" style="1487" customWidth="1"/>
    <col min="12802" max="12802" width="43.5703125" style="1487" customWidth="1"/>
    <col min="12803" max="12803" width="5.42578125" style="1487" customWidth="1"/>
    <col min="12804" max="12804" width="43.5703125" style="1487" customWidth="1"/>
    <col min="12805" max="12805" width="5.42578125" style="1487" customWidth="1"/>
    <col min="12806" max="12806" width="43.5703125" style="1487" customWidth="1"/>
    <col min="12807" max="12807" width="3.42578125" style="1487" customWidth="1"/>
    <col min="12808" max="12808" width="13.7109375" style="1487" customWidth="1"/>
    <col min="12809" max="12809" width="5.42578125" style="1487" customWidth="1"/>
    <col min="12810" max="12810" width="43.5703125" style="1487" customWidth="1"/>
    <col min="12811" max="12811" width="5.42578125" style="1487" customWidth="1"/>
    <col min="12812" max="12812" width="43.5703125" style="1487" customWidth="1"/>
    <col min="12813" max="12813" width="5.42578125" style="1487" customWidth="1"/>
    <col min="12814" max="12814" width="43.5703125" style="1487" customWidth="1"/>
    <col min="12815" max="12815" width="5.42578125" style="1487" customWidth="1"/>
    <col min="12816" max="12816" width="43.5703125" style="1487" customWidth="1"/>
    <col min="12817" max="12817" width="2.85546875" style="1487" customWidth="1"/>
    <col min="12818" max="13054" width="11.42578125" style="1487"/>
    <col min="13055" max="13055" width="5.42578125" style="1487" customWidth="1"/>
    <col min="13056" max="13056" width="43.5703125" style="1487" customWidth="1"/>
    <col min="13057" max="13057" width="5.42578125" style="1487" customWidth="1"/>
    <col min="13058" max="13058" width="43.5703125" style="1487" customWidth="1"/>
    <col min="13059" max="13059" width="5.42578125" style="1487" customWidth="1"/>
    <col min="13060" max="13060" width="43.5703125" style="1487" customWidth="1"/>
    <col min="13061" max="13061" width="5.42578125" style="1487" customWidth="1"/>
    <col min="13062" max="13062" width="43.5703125" style="1487" customWidth="1"/>
    <col min="13063" max="13063" width="3.42578125" style="1487" customWidth="1"/>
    <col min="13064" max="13064" width="13.7109375" style="1487" customWidth="1"/>
    <col min="13065" max="13065" width="5.42578125" style="1487" customWidth="1"/>
    <col min="13066" max="13066" width="43.5703125" style="1487" customWidth="1"/>
    <col min="13067" max="13067" width="5.42578125" style="1487" customWidth="1"/>
    <col min="13068" max="13068" width="43.5703125" style="1487" customWidth="1"/>
    <col min="13069" max="13069" width="5.42578125" style="1487" customWidth="1"/>
    <col min="13070" max="13070" width="43.5703125" style="1487" customWidth="1"/>
    <col min="13071" max="13071" width="5.42578125" style="1487" customWidth="1"/>
    <col min="13072" max="13072" width="43.5703125" style="1487" customWidth="1"/>
    <col min="13073" max="13073" width="2.85546875" style="1487" customWidth="1"/>
    <col min="13074" max="13310" width="11.42578125" style="1487"/>
    <col min="13311" max="13311" width="5.42578125" style="1487" customWidth="1"/>
    <col min="13312" max="13312" width="43.5703125" style="1487" customWidth="1"/>
    <col min="13313" max="13313" width="5.42578125" style="1487" customWidth="1"/>
    <col min="13314" max="13314" width="43.5703125" style="1487" customWidth="1"/>
    <col min="13315" max="13315" width="5.42578125" style="1487" customWidth="1"/>
    <col min="13316" max="13316" width="43.5703125" style="1487" customWidth="1"/>
    <col min="13317" max="13317" width="5.42578125" style="1487" customWidth="1"/>
    <col min="13318" max="13318" width="43.5703125" style="1487" customWidth="1"/>
    <col min="13319" max="13319" width="3.42578125" style="1487" customWidth="1"/>
    <col min="13320" max="13320" width="13.7109375" style="1487" customWidth="1"/>
    <col min="13321" max="13321" width="5.42578125" style="1487" customWidth="1"/>
    <col min="13322" max="13322" width="43.5703125" style="1487" customWidth="1"/>
    <col min="13323" max="13323" width="5.42578125" style="1487" customWidth="1"/>
    <col min="13324" max="13324" width="43.5703125" style="1487" customWidth="1"/>
    <col min="13325" max="13325" width="5.42578125" style="1487" customWidth="1"/>
    <col min="13326" max="13326" width="43.5703125" style="1487" customWidth="1"/>
    <col min="13327" max="13327" width="5.42578125" style="1487" customWidth="1"/>
    <col min="13328" max="13328" width="43.5703125" style="1487" customWidth="1"/>
    <col min="13329" max="13329" width="2.85546875" style="1487" customWidth="1"/>
    <col min="13330" max="13566" width="11.42578125" style="1487"/>
    <col min="13567" max="13567" width="5.42578125" style="1487" customWidth="1"/>
    <col min="13568" max="13568" width="43.5703125" style="1487" customWidth="1"/>
    <col min="13569" max="13569" width="5.42578125" style="1487" customWidth="1"/>
    <col min="13570" max="13570" width="43.5703125" style="1487" customWidth="1"/>
    <col min="13571" max="13571" width="5.42578125" style="1487" customWidth="1"/>
    <col min="13572" max="13572" width="43.5703125" style="1487" customWidth="1"/>
    <col min="13573" max="13573" width="5.42578125" style="1487" customWidth="1"/>
    <col min="13574" max="13574" width="43.5703125" style="1487" customWidth="1"/>
    <col min="13575" max="13575" width="3.42578125" style="1487" customWidth="1"/>
    <col min="13576" max="13576" width="13.7109375" style="1487" customWidth="1"/>
    <col min="13577" max="13577" width="5.42578125" style="1487" customWidth="1"/>
    <col min="13578" max="13578" width="43.5703125" style="1487" customWidth="1"/>
    <col min="13579" max="13579" width="5.42578125" style="1487" customWidth="1"/>
    <col min="13580" max="13580" width="43.5703125" style="1487" customWidth="1"/>
    <col min="13581" max="13581" width="5.42578125" style="1487" customWidth="1"/>
    <col min="13582" max="13582" width="43.5703125" style="1487" customWidth="1"/>
    <col min="13583" max="13583" width="5.42578125" style="1487" customWidth="1"/>
    <col min="13584" max="13584" width="43.5703125" style="1487" customWidth="1"/>
    <col min="13585" max="13585" width="2.85546875" style="1487" customWidth="1"/>
    <col min="13586" max="13822" width="11.42578125" style="1487"/>
    <col min="13823" max="13823" width="5.42578125" style="1487" customWidth="1"/>
    <col min="13824" max="13824" width="43.5703125" style="1487" customWidth="1"/>
    <col min="13825" max="13825" width="5.42578125" style="1487" customWidth="1"/>
    <col min="13826" max="13826" width="43.5703125" style="1487" customWidth="1"/>
    <col min="13827" max="13827" width="5.42578125" style="1487" customWidth="1"/>
    <col min="13828" max="13828" width="43.5703125" style="1487" customWidth="1"/>
    <col min="13829" max="13829" width="5.42578125" style="1487" customWidth="1"/>
    <col min="13830" max="13830" width="43.5703125" style="1487" customWidth="1"/>
    <col min="13831" max="13831" width="3.42578125" style="1487" customWidth="1"/>
    <col min="13832" max="13832" width="13.7109375" style="1487" customWidth="1"/>
    <col min="13833" max="13833" width="5.42578125" style="1487" customWidth="1"/>
    <col min="13834" max="13834" width="43.5703125" style="1487" customWidth="1"/>
    <col min="13835" max="13835" width="5.42578125" style="1487" customWidth="1"/>
    <col min="13836" max="13836" width="43.5703125" style="1487" customWidth="1"/>
    <col min="13837" max="13837" width="5.42578125" style="1487" customWidth="1"/>
    <col min="13838" max="13838" width="43.5703125" style="1487" customWidth="1"/>
    <col min="13839" max="13839" width="5.42578125" style="1487" customWidth="1"/>
    <col min="13840" max="13840" width="43.5703125" style="1487" customWidth="1"/>
    <col min="13841" max="13841" width="2.85546875" style="1487" customWidth="1"/>
    <col min="13842" max="14078" width="11.42578125" style="1487"/>
    <col min="14079" max="14079" width="5.42578125" style="1487" customWidth="1"/>
    <col min="14080" max="14080" width="43.5703125" style="1487" customWidth="1"/>
    <col min="14081" max="14081" width="5.42578125" style="1487" customWidth="1"/>
    <col min="14082" max="14082" width="43.5703125" style="1487" customWidth="1"/>
    <col min="14083" max="14083" width="5.42578125" style="1487" customWidth="1"/>
    <col min="14084" max="14084" width="43.5703125" style="1487" customWidth="1"/>
    <col min="14085" max="14085" width="5.42578125" style="1487" customWidth="1"/>
    <col min="14086" max="14086" width="43.5703125" style="1487" customWidth="1"/>
    <col min="14087" max="14087" width="3.42578125" style="1487" customWidth="1"/>
    <col min="14088" max="14088" width="13.7109375" style="1487" customWidth="1"/>
    <col min="14089" max="14089" width="5.42578125" style="1487" customWidth="1"/>
    <col min="14090" max="14090" width="43.5703125" style="1487" customWidth="1"/>
    <col min="14091" max="14091" width="5.42578125" style="1487" customWidth="1"/>
    <col min="14092" max="14092" width="43.5703125" style="1487" customWidth="1"/>
    <col min="14093" max="14093" width="5.42578125" style="1487" customWidth="1"/>
    <col min="14094" max="14094" width="43.5703125" style="1487" customWidth="1"/>
    <col min="14095" max="14095" width="5.42578125" style="1487" customWidth="1"/>
    <col min="14096" max="14096" width="43.5703125" style="1487" customWidth="1"/>
    <col min="14097" max="14097" width="2.85546875" style="1487" customWidth="1"/>
    <col min="14098" max="14334" width="11.42578125" style="1487"/>
    <col min="14335" max="14335" width="5.42578125" style="1487" customWidth="1"/>
    <col min="14336" max="14336" width="43.5703125" style="1487" customWidth="1"/>
    <col min="14337" max="14337" width="5.42578125" style="1487" customWidth="1"/>
    <col min="14338" max="14338" width="43.5703125" style="1487" customWidth="1"/>
    <col min="14339" max="14339" width="5.42578125" style="1487" customWidth="1"/>
    <col min="14340" max="14340" width="43.5703125" style="1487" customWidth="1"/>
    <col min="14341" max="14341" width="5.42578125" style="1487" customWidth="1"/>
    <col min="14342" max="14342" width="43.5703125" style="1487" customWidth="1"/>
    <col min="14343" max="14343" width="3.42578125" style="1487" customWidth="1"/>
    <col min="14344" max="14344" width="13.7109375" style="1487" customWidth="1"/>
    <col min="14345" max="14345" width="5.42578125" style="1487" customWidth="1"/>
    <col min="14346" max="14346" width="43.5703125" style="1487" customWidth="1"/>
    <col min="14347" max="14347" width="5.42578125" style="1487" customWidth="1"/>
    <col min="14348" max="14348" width="43.5703125" style="1487" customWidth="1"/>
    <col min="14349" max="14349" width="5.42578125" style="1487" customWidth="1"/>
    <col min="14350" max="14350" width="43.5703125" style="1487" customWidth="1"/>
    <col min="14351" max="14351" width="5.42578125" style="1487" customWidth="1"/>
    <col min="14352" max="14352" width="43.5703125" style="1487" customWidth="1"/>
    <col min="14353" max="14353" width="2.85546875" style="1487" customWidth="1"/>
    <col min="14354" max="14590" width="11.42578125" style="1487"/>
    <col min="14591" max="14591" width="5.42578125" style="1487" customWidth="1"/>
    <col min="14592" max="14592" width="43.5703125" style="1487" customWidth="1"/>
    <col min="14593" max="14593" width="5.42578125" style="1487" customWidth="1"/>
    <col min="14594" max="14594" width="43.5703125" style="1487" customWidth="1"/>
    <col min="14595" max="14595" width="5.42578125" style="1487" customWidth="1"/>
    <col min="14596" max="14596" width="43.5703125" style="1487" customWidth="1"/>
    <col min="14597" max="14597" width="5.42578125" style="1487" customWidth="1"/>
    <col min="14598" max="14598" width="43.5703125" style="1487" customWidth="1"/>
    <col min="14599" max="14599" width="3.42578125" style="1487" customWidth="1"/>
    <col min="14600" max="14600" width="13.7109375" style="1487" customWidth="1"/>
    <col min="14601" max="14601" width="5.42578125" style="1487" customWidth="1"/>
    <col min="14602" max="14602" width="43.5703125" style="1487" customWidth="1"/>
    <col min="14603" max="14603" width="5.42578125" style="1487" customWidth="1"/>
    <col min="14604" max="14604" width="43.5703125" style="1487" customWidth="1"/>
    <col min="14605" max="14605" width="5.42578125" style="1487" customWidth="1"/>
    <col min="14606" max="14606" width="43.5703125" style="1487" customWidth="1"/>
    <col min="14607" max="14607" width="5.42578125" style="1487" customWidth="1"/>
    <col min="14608" max="14608" width="43.5703125" style="1487" customWidth="1"/>
    <col min="14609" max="14609" width="2.85546875" style="1487" customWidth="1"/>
    <col min="14610" max="14846" width="11.42578125" style="1487"/>
    <col min="14847" max="14847" width="5.42578125" style="1487" customWidth="1"/>
    <col min="14848" max="14848" width="43.5703125" style="1487" customWidth="1"/>
    <col min="14849" max="14849" width="5.42578125" style="1487" customWidth="1"/>
    <col min="14850" max="14850" width="43.5703125" style="1487" customWidth="1"/>
    <col min="14851" max="14851" width="5.42578125" style="1487" customWidth="1"/>
    <col min="14852" max="14852" width="43.5703125" style="1487" customWidth="1"/>
    <col min="14853" max="14853" width="5.42578125" style="1487" customWidth="1"/>
    <col min="14854" max="14854" width="43.5703125" style="1487" customWidth="1"/>
    <col min="14855" max="14855" width="3.42578125" style="1487" customWidth="1"/>
    <col min="14856" max="14856" width="13.7109375" style="1487" customWidth="1"/>
    <col min="14857" max="14857" width="5.42578125" style="1487" customWidth="1"/>
    <col min="14858" max="14858" width="43.5703125" style="1487" customWidth="1"/>
    <col min="14859" max="14859" width="5.42578125" style="1487" customWidth="1"/>
    <col min="14860" max="14860" width="43.5703125" style="1487" customWidth="1"/>
    <col min="14861" max="14861" width="5.42578125" style="1487" customWidth="1"/>
    <col min="14862" max="14862" width="43.5703125" style="1487" customWidth="1"/>
    <col min="14863" max="14863" width="5.42578125" style="1487" customWidth="1"/>
    <col min="14864" max="14864" width="43.5703125" style="1487" customWidth="1"/>
    <col min="14865" max="14865" width="2.85546875" style="1487" customWidth="1"/>
    <col min="14866" max="15102" width="11.42578125" style="1487"/>
    <col min="15103" max="15103" width="5.42578125" style="1487" customWidth="1"/>
    <col min="15104" max="15104" width="43.5703125" style="1487" customWidth="1"/>
    <col min="15105" max="15105" width="5.42578125" style="1487" customWidth="1"/>
    <col min="15106" max="15106" width="43.5703125" style="1487" customWidth="1"/>
    <col min="15107" max="15107" width="5.42578125" style="1487" customWidth="1"/>
    <col min="15108" max="15108" width="43.5703125" style="1487" customWidth="1"/>
    <col min="15109" max="15109" width="5.42578125" style="1487" customWidth="1"/>
    <col min="15110" max="15110" width="43.5703125" style="1487" customWidth="1"/>
    <col min="15111" max="15111" width="3.42578125" style="1487" customWidth="1"/>
    <col min="15112" max="15112" width="13.7109375" style="1487" customWidth="1"/>
    <col min="15113" max="15113" width="5.42578125" style="1487" customWidth="1"/>
    <col min="15114" max="15114" width="43.5703125" style="1487" customWidth="1"/>
    <col min="15115" max="15115" width="5.42578125" style="1487" customWidth="1"/>
    <col min="15116" max="15116" width="43.5703125" style="1487" customWidth="1"/>
    <col min="15117" max="15117" width="5.42578125" style="1487" customWidth="1"/>
    <col min="15118" max="15118" width="43.5703125" style="1487" customWidth="1"/>
    <col min="15119" max="15119" width="5.42578125" style="1487" customWidth="1"/>
    <col min="15120" max="15120" width="43.5703125" style="1487" customWidth="1"/>
    <col min="15121" max="15121" width="2.85546875" style="1487" customWidth="1"/>
    <col min="15122" max="15358" width="11.42578125" style="1487"/>
    <col min="15359" max="15359" width="5.42578125" style="1487" customWidth="1"/>
    <col min="15360" max="15360" width="43.5703125" style="1487" customWidth="1"/>
    <col min="15361" max="15361" width="5.42578125" style="1487" customWidth="1"/>
    <col min="15362" max="15362" width="43.5703125" style="1487" customWidth="1"/>
    <col min="15363" max="15363" width="5.42578125" style="1487" customWidth="1"/>
    <col min="15364" max="15364" width="43.5703125" style="1487" customWidth="1"/>
    <col min="15365" max="15365" width="5.42578125" style="1487" customWidth="1"/>
    <col min="15366" max="15366" width="43.5703125" style="1487" customWidth="1"/>
    <col min="15367" max="15367" width="3.42578125" style="1487" customWidth="1"/>
    <col min="15368" max="15368" width="13.7109375" style="1487" customWidth="1"/>
    <col min="15369" max="15369" width="5.42578125" style="1487" customWidth="1"/>
    <col min="15370" max="15370" width="43.5703125" style="1487" customWidth="1"/>
    <col min="15371" max="15371" width="5.42578125" style="1487" customWidth="1"/>
    <col min="15372" max="15372" width="43.5703125" style="1487" customWidth="1"/>
    <col min="15373" max="15373" width="5.42578125" style="1487" customWidth="1"/>
    <col min="15374" max="15374" width="43.5703125" style="1487" customWidth="1"/>
    <col min="15375" max="15375" width="5.42578125" style="1487" customWidth="1"/>
    <col min="15376" max="15376" width="43.5703125" style="1487" customWidth="1"/>
    <col min="15377" max="15377" width="2.85546875" style="1487" customWidth="1"/>
    <col min="15378" max="15614" width="11.42578125" style="1487"/>
    <col min="15615" max="15615" width="5.42578125" style="1487" customWidth="1"/>
    <col min="15616" max="15616" width="43.5703125" style="1487" customWidth="1"/>
    <col min="15617" max="15617" width="5.42578125" style="1487" customWidth="1"/>
    <col min="15618" max="15618" width="43.5703125" style="1487" customWidth="1"/>
    <col min="15619" max="15619" width="5.42578125" style="1487" customWidth="1"/>
    <col min="15620" max="15620" width="43.5703125" style="1487" customWidth="1"/>
    <col min="15621" max="15621" width="5.42578125" style="1487" customWidth="1"/>
    <col min="15622" max="15622" width="43.5703125" style="1487" customWidth="1"/>
    <col min="15623" max="15623" width="3.42578125" style="1487" customWidth="1"/>
    <col min="15624" max="15624" width="13.7109375" style="1487" customWidth="1"/>
    <col min="15625" max="15625" width="5.42578125" style="1487" customWidth="1"/>
    <col min="15626" max="15626" width="43.5703125" style="1487" customWidth="1"/>
    <col min="15627" max="15627" width="5.42578125" style="1487" customWidth="1"/>
    <col min="15628" max="15628" width="43.5703125" style="1487" customWidth="1"/>
    <col min="15629" max="15629" width="5.42578125" style="1487" customWidth="1"/>
    <col min="15630" max="15630" width="43.5703125" style="1487" customWidth="1"/>
    <col min="15631" max="15631" width="5.42578125" style="1487" customWidth="1"/>
    <col min="15632" max="15632" width="43.5703125" style="1487" customWidth="1"/>
    <col min="15633" max="15633" width="2.85546875" style="1487" customWidth="1"/>
    <col min="15634" max="15870" width="11.42578125" style="1487"/>
    <col min="15871" max="15871" width="5.42578125" style="1487" customWidth="1"/>
    <col min="15872" max="15872" width="43.5703125" style="1487" customWidth="1"/>
    <col min="15873" max="15873" width="5.42578125" style="1487" customWidth="1"/>
    <col min="15874" max="15874" width="43.5703125" style="1487" customWidth="1"/>
    <col min="15875" max="15875" width="5.42578125" style="1487" customWidth="1"/>
    <col min="15876" max="15876" width="43.5703125" style="1487" customWidth="1"/>
    <col min="15877" max="15877" width="5.42578125" style="1487" customWidth="1"/>
    <col min="15878" max="15878" width="43.5703125" style="1487" customWidth="1"/>
    <col min="15879" max="15879" width="3.42578125" style="1487" customWidth="1"/>
    <col min="15880" max="15880" width="13.7109375" style="1487" customWidth="1"/>
    <col min="15881" max="15881" width="5.42578125" style="1487" customWidth="1"/>
    <col min="15882" max="15882" width="43.5703125" style="1487" customWidth="1"/>
    <col min="15883" max="15883" width="5.42578125" style="1487" customWidth="1"/>
    <col min="15884" max="15884" width="43.5703125" style="1487" customWidth="1"/>
    <col min="15885" max="15885" width="5.42578125" style="1487" customWidth="1"/>
    <col min="15886" max="15886" width="43.5703125" style="1487" customWidth="1"/>
    <col min="15887" max="15887" width="5.42578125" style="1487" customWidth="1"/>
    <col min="15888" max="15888" width="43.5703125" style="1487" customWidth="1"/>
    <col min="15889" max="15889" width="2.85546875" style="1487" customWidth="1"/>
    <col min="15890" max="16126" width="11.42578125" style="1487"/>
    <col min="16127" max="16127" width="5.42578125" style="1487" customWidth="1"/>
    <col min="16128" max="16128" width="43.5703125" style="1487" customWidth="1"/>
    <col min="16129" max="16129" width="5.42578125" style="1487" customWidth="1"/>
    <col min="16130" max="16130" width="43.5703125" style="1487" customWidth="1"/>
    <col min="16131" max="16131" width="5.42578125" style="1487" customWidth="1"/>
    <col min="16132" max="16132" width="43.5703125" style="1487" customWidth="1"/>
    <col min="16133" max="16133" width="5.42578125" style="1487" customWidth="1"/>
    <col min="16134" max="16134" width="43.5703125" style="1487" customWidth="1"/>
    <col min="16135" max="16135" width="3.42578125" style="1487" customWidth="1"/>
    <col min="16136" max="16136" width="13.7109375" style="1487" customWidth="1"/>
    <col min="16137" max="16137" width="5.42578125" style="1487" customWidth="1"/>
    <col min="16138" max="16138" width="43.5703125" style="1487" customWidth="1"/>
    <col min="16139" max="16139" width="5.42578125" style="1487" customWidth="1"/>
    <col min="16140" max="16140" width="43.5703125" style="1487" customWidth="1"/>
    <col min="16141" max="16141" width="5.42578125" style="1487" customWidth="1"/>
    <col min="16142" max="16142" width="43.5703125" style="1487" customWidth="1"/>
    <col min="16143" max="16143" width="5.42578125" style="1487" customWidth="1"/>
    <col min="16144" max="16144" width="43.5703125" style="1487" customWidth="1"/>
    <col min="16145" max="16145" width="2.85546875" style="1487" customWidth="1"/>
    <col min="16146" max="16384" width="11.42578125" style="1487"/>
  </cols>
  <sheetData>
    <row r="1" spans="1:50" ht="26.25">
      <c r="B1" s="2192" t="s">
        <v>1971</v>
      </c>
      <c r="C1" s="2192"/>
      <c r="D1" s="2192"/>
      <c r="E1" s="2192"/>
      <c r="F1" s="2192"/>
      <c r="G1" s="2192"/>
      <c r="H1" s="2192"/>
      <c r="I1" s="2193" t="str">
        <f ca="1">"Page "&amp;_xlfn.SHEET()&amp;" sur "&amp;_xlfn.SHEETS()</f>
        <v>Page 17 sur 22</v>
      </c>
      <c r="J1" s="2192"/>
      <c r="K1" s="2192"/>
      <c r="L1" s="2192"/>
      <c r="M1" s="2192"/>
      <c r="N1" s="2192"/>
      <c r="O1" s="2192"/>
      <c r="P1" s="2192"/>
      <c r="Q1" s="2192"/>
      <c r="R1" s="2192"/>
      <c r="S1" s="2192"/>
      <c r="T1" s="2192"/>
      <c r="U1" s="2192"/>
      <c r="V1" s="2192"/>
      <c r="W1" s="2192"/>
      <c r="X1" s="2192"/>
      <c r="Y1" s="2192"/>
      <c r="Z1" s="2192"/>
      <c r="AA1" s="2192"/>
      <c r="AB1" s="2192"/>
      <c r="AC1" s="2192"/>
      <c r="AD1" s="2192"/>
      <c r="AE1" s="2192"/>
      <c r="AF1" s="2192"/>
      <c r="AG1" s="2192"/>
      <c r="AH1" s="2192"/>
      <c r="AI1" s="2192"/>
      <c r="AJ1" s="2192"/>
      <c r="AK1" s="2192"/>
      <c r="AL1" s="2192"/>
      <c r="AM1" s="2192"/>
      <c r="AN1" s="2192"/>
      <c r="AO1" s="2192"/>
      <c r="AP1" s="2192"/>
      <c r="AQ1" s="2192"/>
      <c r="AR1" s="2192"/>
      <c r="AS1" s="2192"/>
      <c r="AT1" s="2192"/>
      <c r="AU1" s="2192"/>
      <c r="AV1" s="2192"/>
      <c r="AW1" s="2192"/>
      <c r="AX1" s="2192"/>
    </row>
    <row r="2" spans="1:50" ht="19.5" customHeight="1" thickBot="1">
      <c r="B2" s="1487"/>
      <c r="C2" s="1487"/>
      <c r="D2" s="1487"/>
      <c r="E2" s="1487"/>
      <c r="F2" s="1487"/>
      <c r="G2" s="1487"/>
      <c r="H2" s="1487"/>
      <c r="I2" s="1487"/>
      <c r="J2" s="1487"/>
      <c r="K2" s="1487"/>
      <c r="L2" s="1487"/>
      <c r="M2" s="1487"/>
      <c r="N2" s="1487"/>
      <c r="O2" s="1487"/>
      <c r="P2" s="1487"/>
      <c r="Q2" s="1487"/>
      <c r="R2" s="1487"/>
      <c r="S2" s="1487"/>
      <c r="T2" s="1487"/>
      <c r="W2" s="4895" t="s">
        <v>529</v>
      </c>
      <c r="X2" s="4895"/>
      <c r="Y2" s="4895"/>
      <c r="Z2" s="4895"/>
      <c r="AA2" s="4895"/>
      <c r="AB2" s="4895"/>
      <c r="AC2" s="4895"/>
      <c r="AD2" s="4895"/>
      <c r="AE2" s="4895"/>
      <c r="AF2" s="4895"/>
      <c r="AG2" s="4895"/>
      <c r="AH2" s="4895"/>
      <c r="AI2" s="4895"/>
      <c r="AJ2" s="4895"/>
      <c r="AK2" s="4895"/>
      <c r="AL2" s="4895"/>
      <c r="AM2" s="4895"/>
      <c r="AN2" s="2128"/>
      <c r="AO2" s="2131"/>
      <c r="AP2" s="2191" t="s">
        <v>1970</v>
      </c>
      <c r="AR2" s="2166"/>
      <c r="AS2" s="2166"/>
      <c r="AT2" s="2166"/>
      <c r="AU2" s="2166"/>
      <c r="AV2" s="2166"/>
      <c r="AW2" s="2166"/>
      <c r="AX2" s="2166"/>
    </row>
    <row r="3" spans="1:50" ht="33.75" customHeight="1">
      <c r="B3" s="4890" t="s">
        <v>1969</v>
      </c>
      <c r="C3" s="4890"/>
      <c r="D3" s="4890"/>
      <c r="E3" s="4890"/>
      <c r="F3" s="4890"/>
      <c r="G3" s="4890"/>
      <c r="H3" s="4890"/>
      <c r="I3" s="4890"/>
      <c r="J3" s="4890"/>
      <c r="K3" s="1487"/>
      <c r="L3" s="4891" t="s">
        <v>1968</v>
      </c>
      <c r="M3" s="4891"/>
      <c r="N3" s="4891"/>
      <c r="O3" s="4891"/>
      <c r="P3" s="4891"/>
      <c r="Q3" s="4891"/>
      <c r="R3" s="4891"/>
      <c r="S3" s="4891"/>
      <c r="T3" s="4891"/>
      <c r="V3" s="2128"/>
      <c r="W3" s="2190" t="s">
        <v>1967</v>
      </c>
      <c r="Y3" s="2128"/>
      <c r="Z3" s="2128"/>
      <c r="AA3" s="2128"/>
      <c r="AB3" s="2128"/>
      <c r="AC3" s="2128"/>
      <c r="AD3" s="2128"/>
      <c r="AE3" s="2128"/>
      <c r="AF3" s="2128"/>
      <c r="AG3" s="2128"/>
      <c r="AH3" s="2189" t="s">
        <v>1966</v>
      </c>
      <c r="AI3" s="2188"/>
      <c r="AJ3" s="2188"/>
      <c r="AK3" s="2188"/>
      <c r="AL3" s="2188"/>
      <c r="AM3" s="2188"/>
      <c r="AN3" s="2128"/>
      <c r="AO3" s="2131"/>
      <c r="AP3" s="2131"/>
      <c r="AR3" s="4892" t="s">
        <v>1965</v>
      </c>
      <c r="AS3" s="4893"/>
      <c r="AT3" s="4894"/>
      <c r="AV3" s="4892" t="s">
        <v>1964</v>
      </c>
      <c r="AW3" s="4893"/>
      <c r="AX3" s="4894"/>
    </row>
    <row r="4" spans="1:50" ht="40.5" customHeight="1">
      <c r="B4" s="2187"/>
      <c r="C4" s="2181" t="s">
        <v>2</v>
      </c>
      <c r="D4" s="2187"/>
      <c r="E4" s="2181" t="s">
        <v>771</v>
      </c>
      <c r="F4" s="2187"/>
      <c r="G4" s="2181" t="s">
        <v>54</v>
      </c>
      <c r="H4" s="2187"/>
      <c r="I4" s="2183" t="s">
        <v>1291</v>
      </c>
      <c r="J4" s="2157"/>
      <c r="K4" s="1487"/>
      <c r="L4" s="2187"/>
      <c r="M4" s="2160" t="s">
        <v>2</v>
      </c>
      <c r="N4" s="2187"/>
      <c r="O4" s="2160" t="s">
        <v>52</v>
      </c>
      <c r="P4" s="2187"/>
      <c r="Q4" s="2160" t="s">
        <v>30</v>
      </c>
      <c r="R4" s="2187"/>
      <c r="S4" s="2165" t="s">
        <v>1291</v>
      </c>
      <c r="T4" s="2157"/>
      <c r="V4" s="2146"/>
      <c r="W4" s="2147" t="s">
        <v>2</v>
      </c>
      <c r="X4" s="2146"/>
      <c r="Y4" s="2158" t="s">
        <v>52</v>
      </c>
      <c r="Z4" s="2146"/>
      <c r="AA4" s="2158" t="s">
        <v>874</v>
      </c>
      <c r="AB4" s="2146"/>
      <c r="AC4" s="2158" t="s">
        <v>53</v>
      </c>
      <c r="AD4" s="2146"/>
      <c r="AE4" s="2147" t="s">
        <v>1291</v>
      </c>
      <c r="AF4" s="2146"/>
      <c r="AG4" s="2147" t="s">
        <v>1213</v>
      </c>
      <c r="AH4" s="2149">
        <v>1</v>
      </c>
      <c r="AI4" s="2151" t="s">
        <v>1963</v>
      </c>
      <c r="AJ4" s="2150"/>
      <c r="AK4" s="2149">
        <f>AH59+1</f>
        <v>57</v>
      </c>
      <c r="AL4" s="2151" t="s">
        <v>1962</v>
      </c>
      <c r="AM4" s="2128"/>
      <c r="AN4" s="2128"/>
      <c r="AO4" s="2130" t="s">
        <v>108</v>
      </c>
      <c r="AP4" s="2142" t="s">
        <v>1961</v>
      </c>
      <c r="AR4" s="4888" t="s">
        <v>82</v>
      </c>
      <c r="AS4" s="4888"/>
      <c r="AT4" s="4888"/>
      <c r="AV4" s="4888" t="s">
        <v>82</v>
      </c>
      <c r="AW4" s="4888"/>
      <c r="AX4" s="4888"/>
    </row>
    <row r="5" spans="1:50" ht="33.75" customHeight="1">
      <c r="A5" s="2186"/>
      <c r="B5" s="2144">
        <v>1</v>
      </c>
      <c r="C5" s="2145" t="s">
        <v>1952</v>
      </c>
      <c r="D5" s="2144">
        <f>B22+1</f>
        <v>16</v>
      </c>
      <c r="E5" s="2145" t="s">
        <v>1553</v>
      </c>
      <c r="F5" s="2144">
        <f>D26+1</f>
        <v>32</v>
      </c>
      <c r="G5" s="2145" t="s">
        <v>1682</v>
      </c>
      <c r="H5" s="2144">
        <f>F24+1</f>
        <v>51</v>
      </c>
      <c r="I5" s="2145" t="s">
        <v>1771</v>
      </c>
      <c r="J5" s="2157"/>
      <c r="K5" s="1487"/>
      <c r="L5" s="2144">
        <v>1</v>
      </c>
      <c r="M5" s="2145" t="s">
        <v>1960</v>
      </c>
      <c r="N5" s="2144">
        <f>L52+1</f>
        <v>46</v>
      </c>
      <c r="O5" s="2145" t="s">
        <v>1828</v>
      </c>
      <c r="P5" s="2144">
        <f>N52+1</f>
        <v>91</v>
      </c>
      <c r="Q5" s="2145" t="s">
        <v>1674</v>
      </c>
      <c r="R5" s="2144">
        <f>P52+1</f>
        <v>130</v>
      </c>
      <c r="S5" s="2145" t="s">
        <v>1890</v>
      </c>
      <c r="T5" s="2157"/>
      <c r="V5" s="2144">
        <v>1</v>
      </c>
      <c r="W5" s="2145" t="s">
        <v>1960</v>
      </c>
      <c r="X5" s="2144">
        <f>V62+1</f>
        <v>56</v>
      </c>
      <c r="Y5" s="2145" t="s">
        <v>1959</v>
      </c>
      <c r="Z5" s="2144">
        <f>X63+1</f>
        <v>113</v>
      </c>
      <c r="AA5" s="2145" t="s">
        <v>1958</v>
      </c>
      <c r="AB5" s="2144">
        <f>Z62+1</f>
        <v>163</v>
      </c>
      <c r="AC5" s="2145" t="s">
        <v>1883</v>
      </c>
      <c r="AD5" s="2144">
        <f>AB62+1</f>
        <v>217</v>
      </c>
      <c r="AE5" s="2145" t="s">
        <v>1568</v>
      </c>
      <c r="AF5" s="2144">
        <f>AD57+1</f>
        <v>268</v>
      </c>
      <c r="AG5" s="2145" t="s">
        <v>1957</v>
      </c>
      <c r="AH5" s="2149">
        <f>LARGE(AH4:AH4,1)+1</f>
        <v>2</v>
      </c>
      <c r="AI5" s="2151" t="s">
        <v>1956</v>
      </c>
      <c r="AJ5" s="2150"/>
      <c r="AK5" s="2149">
        <f>LARGE(AK4:AK4,1)+1</f>
        <v>58</v>
      </c>
      <c r="AL5" s="2151" t="s">
        <v>1955</v>
      </c>
      <c r="AM5" s="2128"/>
      <c r="AN5" s="2128"/>
      <c r="AO5" s="2131"/>
      <c r="AP5" s="2134" t="s">
        <v>2</v>
      </c>
      <c r="AR5" s="2127"/>
      <c r="AS5" s="4896" t="s">
        <v>1954</v>
      </c>
      <c r="AT5" s="4896"/>
      <c r="AV5" s="2127"/>
      <c r="AW5" s="4897" t="s">
        <v>1953</v>
      </c>
      <c r="AX5" s="4897"/>
    </row>
    <row r="6" spans="1:50" ht="30" customHeight="1">
      <c r="A6" s="2185"/>
      <c r="B6" s="2144">
        <f>LARGE(B5:B5,1)+1</f>
        <v>2</v>
      </c>
      <c r="C6" s="2145" t="s">
        <v>1932</v>
      </c>
      <c r="D6" s="2144">
        <f>LARGE(D5:D5,1)+1</f>
        <v>17</v>
      </c>
      <c r="E6" s="2145" t="s">
        <v>1542</v>
      </c>
      <c r="F6" s="2144">
        <f>LARGE(F5:F5,1)+1</f>
        <v>33</v>
      </c>
      <c r="G6" s="2145" t="s">
        <v>1673</v>
      </c>
      <c r="H6" s="2144">
        <f>LARGE(H5:H5,1)+1</f>
        <v>52</v>
      </c>
      <c r="I6" s="2145" t="s">
        <v>1761</v>
      </c>
      <c r="J6" s="2157"/>
      <c r="K6" s="1487"/>
      <c r="L6" s="2144">
        <f>LARGE(L5:L5,1)+1</f>
        <v>2</v>
      </c>
      <c r="M6" s="2145" t="s">
        <v>1946</v>
      </c>
      <c r="N6" s="2144">
        <f>LARGE(N5:N5,1)+1</f>
        <v>47</v>
      </c>
      <c r="O6" s="2145" t="s">
        <v>1816</v>
      </c>
      <c r="P6" s="2144">
        <f>LARGE(P5:P5,1)+1</f>
        <v>92</v>
      </c>
      <c r="Q6" s="2145" t="s">
        <v>1663</v>
      </c>
      <c r="R6" s="2144">
        <f>LARGE(R5:R5,1)+1</f>
        <v>131</v>
      </c>
      <c r="S6" s="2145" t="s">
        <v>1848</v>
      </c>
      <c r="T6" s="2157"/>
      <c r="V6" s="2144">
        <f>LARGE(V5:V5,1)+1</f>
        <v>2</v>
      </c>
      <c r="W6" s="2145" t="s">
        <v>1952</v>
      </c>
      <c r="X6" s="2144">
        <f>LARGE(X5:X5,1)+1</f>
        <v>57</v>
      </c>
      <c r="Y6" s="2145" t="s">
        <v>1657</v>
      </c>
      <c r="Z6" s="2144">
        <f>LARGE(Z5:Z5,1)+1</f>
        <v>114</v>
      </c>
      <c r="AA6" s="2145" t="s">
        <v>1920</v>
      </c>
      <c r="AB6" s="2144">
        <f>LARGE(AB5:AB5,1)+1</f>
        <v>164</v>
      </c>
      <c r="AC6" s="2145" t="s">
        <v>1832</v>
      </c>
      <c r="AD6" s="2144">
        <f>LARGE(AD5:AD5,1)+1</f>
        <v>218</v>
      </c>
      <c r="AE6" s="2145" t="s">
        <v>1951</v>
      </c>
      <c r="AF6" s="2144">
        <f>LARGE(AF5:AF5,1)+1</f>
        <v>269</v>
      </c>
      <c r="AG6" s="2145" t="s">
        <v>1842</v>
      </c>
      <c r="AH6" s="2149">
        <f>LARGE(AH4:AH5,1)+1</f>
        <v>3</v>
      </c>
      <c r="AI6" s="2151" t="s">
        <v>1950</v>
      </c>
      <c r="AJ6" s="2150"/>
      <c r="AK6" s="2149">
        <f>LARGE(AK4:AK5,1)+1</f>
        <v>59</v>
      </c>
      <c r="AL6" s="2151" t="s">
        <v>1949</v>
      </c>
      <c r="AM6" s="2128"/>
      <c r="AN6" s="2128"/>
      <c r="AO6" s="2131"/>
      <c r="AP6" s="2133" t="s">
        <v>1948</v>
      </c>
      <c r="AR6" s="2127">
        <v>1</v>
      </c>
      <c r="AS6" s="2126" t="s">
        <v>1547</v>
      </c>
      <c r="AT6" s="2126"/>
      <c r="AV6" s="2127"/>
      <c r="AW6" s="4897"/>
      <c r="AX6" s="4897"/>
    </row>
    <row r="7" spans="1:50" ht="18.75">
      <c r="B7" s="2144">
        <f>LARGE(B5:B6,1)+1</f>
        <v>3</v>
      </c>
      <c r="C7" s="2145" t="s">
        <v>1926</v>
      </c>
      <c r="D7" s="2144">
        <f>LARGE(D5:D6,1)+1</f>
        <v>18</v>
      </c>
      <c r="E7" s="2145" t="s">
        <v>1511</v>
      </c>
      <c r="F7" s="2144">
        <f>LARGE(F5:F6,1)+1</f>
        <v>34</v>
      </c>
      <c r="G7" s="2145" t="s">
        <v>1641</v>
      </c>
      <c r="H7" s="2144">
        <f>LARGE(H5:H6,1)+1</f>
        <v>53</v>
      </c>
      <c r="I7" s="2145" t="s">
        <v>1745</v>
      </c>
      <c r="J7" s="2157"/>
      <c r="K7" s="1487"/>
      <c r="L7" s="2144">
        <f>LARGE(L5:L6,1)+1</f>
        <v>3</v>
      </c>
      <c r="M7" s="2145" t="s">
        <v>1882</v>
      </c>
      <c r="N7" s="2144">
        <f>LARGE(N5:N6,1)+1</f>
        <v>48</v>
      </c>
      <c r="O7" s="2145" t="s">
        <v>1804</v>
      </c>
      <c r="P7" s="2144">
        <f>LARGE(P5:P6,1)+1</f>
        <v>93</v>
      </c>
      <c r="Q7" s="2145" t="s">
        <v>1653</v>
      </c>
      <c r="R7" s="2144">
        <f>LARGE(R5:R6,1)+1</f>
        <v>132</v>
      </c>
      <c r="S7" s="2145" t="s">
        <v>1947</v>
      </c>
      <c r="T7" s="2157"/>
      <c r="V7" s="2144">
        <f>LARGE(V5:V6,1)+1</f>
        <v>3</v>
      </c>
      <c r="W7" s="2145" t="s">
        <v>1946</v>
      </c>
      <c r="X7" s="2144">
        <f>LARGE(X5:X6,1)+1</f>
        <v>58</v>
      </c>
      <c r="Y7" s="2145" t="s">
        <v>1646</v>
      </c>
      <c r="Z7" s="2144">
        <f>LARGE(Z5:Z6,1)+1</f>
        <v>115</v>
      </c>
      <c r="AA7" s="2145" t="s">
        <v>1724</v>
      </c>
      <c r="AB7" s="2144">
        <f>LARGE(AB5:AB6,1)+1</f>
        <v>165</v>
      </c>
      <c r="AC7" s="2145" t="s">
        <v>1877</v>
      </c>
      <c r="AD7" s="2144">
        <f>LARGE(AD5:AD6,1)+1</f>
        <v>219</v>
      </c>
      <c r="AE7" s="2145" t="s">
        <v>1555</v>
      </c>
      <c r="AF7" s="2144">
        <f>LARGE(AF5:AF6,1)+1</f>
        <v>270</v>
      </c>
      <c r="AG7" s="2145" t="s">
        <v>1830</v>
      </c>
      <c r="AH7" s="2149">
        <f>LARGE(AH4:AH6,1)+1</f>
        <v>4</v>
      </c>
      <c r="AI7" s="2151" t="s">
        <v>1945</v>
      </c>
      <c r="AJ7" s="2150"/>
      <c r="AK7" s="2149">
        <f>LARGE(AK4:AK6,1)+1</f>
        <v>60</v>
      </c>
      <c r="AL7" s="2151" t="s">
        <v>1944</v>
      </c>
      <c r="AM7" s="2128"/>
      <c r="AN7" s="2128"/>
      <c r="AO7" s="2131"/>
      <c r="AP7" s="2133" t="s">
        <v>1943</v>
      </c>
      <c r="AR7" s="2127">
        <v>2</v>
      </c>
      <c r="AS7" s="2126" t="s">
        <v>1942</v>
      </c>
      <c r="AT7" s="2126"/>
      <c r="AV7" s="2140" t="s">
        <v>422</v>
      </c>
      <c r="AW7" s="2139" t="s">
        <v>1941</v>
      </c>
      <c r="AX7" s="2126"/>
    </row>
    <row r="8" spans="1:50" ht="46.5" customHeight="1">
      <c r="B8" s="2144">
        <f>LARGE(B5:B7,1)+1</f>
        <v>4</v>
      </c>
      <c r="C8" s="2145" t="s">
        <v>1919</v>
      </c>
      <c r="D8" s="2144">
        <f>LARGE(D5:D7,1)+1</f>
        <v>19</v>
      </c>
      <c r="E8" s="2145" t="s">
        <v>1511</v>
      </c>
      <c r="F8" s="2144">
        <f>LARGE(F5:F7,1)+1</f>
        <v>35</v>
      </c>
      <c r="G8" s="2145" t="s">
        <v>1529</v>
      </c>
      <c r="H8" s="2144">
        <f>LARGE(H5:H7,1)+1</f>
        <v>54</v>
      </c>
      <c r="I8" s="2145" t="s">
        <v>1728</v>
      </c>
      <c r="J8" s="2157"/>
      <c r="K8" s="1487"/>
      <c r="L8" s="2144">
        <f>LARGE(L5:L7,1)+1</f>
        <v>4</v>
      </c>
      <c r="M8" s="2145" t="s">
        <v>1876</v>
      </c>
      <c r="N8" s="2144">
        <f>LARGE(N5:N7,1)+1</f>
        <v>49</v>
      </c>
      <c r="O8" s="2145" t="s">
        <v>1792</v>
      </c>
      <c r="P8" s="2144"/>
      <c r="Q8" s="2160" t="s">
        <v>872</v>
      </c>
      <c r="R8" s="2144">
        <f>LARGE(R5:R7,1)+1</f>
        <v>133</v>
      </c>
      <c r="S8" s="2145" t="s">
        <v>1736</v>
      </c>
      <c r="T8" s="2157"/>
      <c r="V8" s="2144">
        <f>LARGE(V5:V7,1)+1</f>
        <v>4</v>
      </c>
      <c r="W8" s="2145" t="s">
        <v>1940</v>
      </c>
      <c r="X8" s="2144">
        <f>LARGE(X5:X7,1)+1</f>
        <v>59</v>
      </c>
      <c r="Y8" s="2145" t="s">
        <v>1861</v>
      </c>
      <c r="Z8" s="2144">
        <f>LARGE(Z5:Z7,1)+1</f>
        <v>116</v>
      </c>
      <c r="AA8" s="2145" t="s">
        <v>1939</v>
      </c>
      <c r="AB8" s="2144">
        <f>LARGE(AB5:AB7,1)+1</f>
        <v>166</v>
      </c>
      <c r="AC8" s="2145" t="s">
        <v>1938</v>
      </c>
      <c r="AD8" s="2144">
        <f>LARGE(AD5:AD7,1)+1</f>
        <v>220</v>
      </c>
      <c r="AE8" s="2145" t="s">
        <v>1544</v>
      </c>
      <c r="AF8" s="2144">
        <f>LARGE(AF5:AF7,1)+1</f>
        <v>271</v>
      </c>
      <c r="AG8" s="2145" t="s">
        <v>1818</v>
      </c>
      <c r="AH8" s="2149">
        <f>LARGE(AH4:AH7,1)+1</f>
        <v>5</v>
      </c>
      <c r="AI8" s="2151" t="s">
        <v>1937</v>
      </c>
      <c r="AJ8" s="2150"/>
      <c r="AK8" s="2149">
        <f>LARGE(AK4:AK7,1)+1</f>
        <v>61</v>
      </c>
      <c r="AL8" s="2151" t="s">
        <v>1936</v>
      </c>
      <c r="AM8" s="2128"/>
      <c r="AN8" s="2128"/>
      <c r="AO8" s="2131"/>
      <c r="AP8" s="2133" t="s">
        <v>1935</v>
      </c>
      <c r="AR8" s="2127">
        <v>3</v>
      </c>
      <c r="AS8" s="2126" t="s">
        <v>1934</v>
      </c>
      <c r="AT8" s="2126"/>
      <c r="AV8" s="2127">
        <v>1</v>
      </c>
      <c r="AW8" s="2126" t="s">
        <v>1933</v>
      </c>
      <c r="AX8" s="2126"/>
    </row>
    <row r="9" spans="1:50" ht="27" customHeight="1">
      <c r="B9" s="2144">
        <f>LARGE(B5:B8,1)+1</f>
        <v>5</v>
      </c>
      <c r="C9" s="2145" t="s">
        <v>1912</v>
      </c>
      <c r="D9" s="2144">
        <f>LARGE(D5:D8,1)+1</f>
        <v>20</v>
      </c>
      <c r="E9" s="2145" t="s">
        <v>1465</v>
      </c>
      <c r="F9" s="2144">
        <f>LARGE(F5:F8,1)+1</f>
        <v>36</v>
      </c>
      <c r="G9" s="2145" t="s">
        <v>1491</v>
      </c>
      <c r="H9" s="2144"/>
      <c r="I9" s="2183" t="s">
        <v>31</v>
      </c>
      <c r="J9" s="2157"/>
      <c r="K9" s="1487"/>
      <c r="L9" s="2144"/>
      <c r="M9" s="2160" t="s">
        <v>27</v>
      </c>
      <c r="N9" s="2144">
        <f>LARGE(N5:N8,1)+1</f>
        <v>50</v>
      </c>
      <c r="O9" s="2145" t="s">
        <v>1773</v>
      </c>
      <c r="P9" s="2144">
        <f>LARGE(P5:P8,1)+1</f>
        <v>94</v>
      </c>
      <c r="Q9" s="2145" t="s">
        <v>1598</v>
      </c>
      <c r="R9" s="2144">
        <f>LARGE(R5:R8,1)+1</f>
        <v>134</v>
      </c>
      <c r="S9" s="2145" t="s">
        <v>1710</v>
      </c>
      <c r="T9" s="2157"/>
      <c r="V9" s="2144">
        <f>LARGE(V5:V8,1)+1</f>
        <v>5</v>
      </c>
      <c r="W9" s="2145" t="s">
        <v>1932</v>
      </c>
      <c r="X9" s="2144">
        <f>LARGE(X5:X8,1)+1</f>
        <v>60</v>
      </c>
      <c r="Y9" s="2145" t="s">
        <v>1635</v>
      </c>
      <c r="Z9" s="2144">
        <f>LARGE(Z5:Z8,1)+1</f>
        <v>117</v>
      </c>
      <c r="AA9" s="2145" t="s">
        <v>1931</v>
      </c>
      <c r="AB9" s="2144">
        <f>LARGE(AB5:AB8,1)+1</f>
        <v>167</v>
      </c>
      <c r="AC9" s="2145" t="s">
        <v>1820</v>
      </c>
      <c r="AD9" s="2144">
        <f>LARGE(AD5:AD8,1)+1</f>
        <v>221</v>
      </c>
      <c r="AE9" s="2145" t="s">
        <v>1533</v>
      </c>
      <c r="AF9" s="2144">
        <f>LARGE(AF5:AF8,1)+1</f>
        <v>272</v>
      </c>
      <c r="AG9" s="2145" t="s">
        <v>1806</v>
      </c>
      <c r="AH9" s="2149">
        <f>LARGE(AH4:AH8,1)+1</f>
        <v>6</v>
      </c>
      <c r="AI9" s="2151" t="s">
        <v>1930</v>
      </c>
      <c r="AJ9" s="2150"/>
      <c r="AK9" s="2149">
        <f>LARGE(AK4:AK8,1)+1</f>
        <v>62</v>
      </c>
      <c r="AL9" s="2151" t="s">
        <v>1929</v>
      </c>
      <c r="AM9" s="2128"/>
      <c r="AN9" s="2128"/>
      <c r="AO9" s="2131"/>
      <c r="AP9" s="2133" t="s">
        <v>1928</v>
      </c>
      <c r="AR9" s="2127">
        <v>4</v>
      </c>
      <c r="AS9" s="2126" t="s">
        <v>1927</v>
      </c>
      <c r="AT9" s="2126"/>
      <c r="AV9" s="2127">
        <v>2</v>
      </c>
      <c r="AW9" s="2126" t="s">
        <v>1514</v>
      </c>
      <c r="AX9" s="2126"/>
    </row>
    <row r="10" spans="1:50" ht="27" customHeight="1">
      <c r="B10" s="2144">
        <f>LARGE(B5:B9,1)+1</f>
        <v>6</v>
      </c>
      <c r="C10" s="2145" t="s">
        <v>1904</v>
      </c>
      <c r="D10" s="2182"/>
      <c r="E10" s="2181" t="s">
        <v>874</v>
      </c>
      <c r="F10" s="2144">
        <f>LARGE(F5:F9,1)+1</f>
        <v>37</v>
      </c>
      <c r="G10" s="2145" t="s">
        <v>1483</v>
      </c>
      <c r="H10" s="2144">
        <f>LARGE(H5:H9,1)+1</f>
        <v>55</v>
      </c>
      <c r="I10" s="2145" t="s">
        <v>1585</v>
      </c>
      <c r="J10" s="2157"/>
      <c r="K10" s="1487"/>
      <c r="L10" s="2144">
        <f>LARGE(L5:L9,1)+1</f>
        <v>5</v>
      </c>
      <c r="M10" s="2145" t="s">
        <v>1858</v>
      </c>
      <c r="N10" s="2144">
        <f>LARGE(N5:N9,1)+1</f>
        <v>51</v>
      </c>
      <c r="O10" s="2145" t="s">
        <v>1738</v>
      </c>
      <c r="P10" s="2144"/>
      <c r="Q10" s="2160" t="s">
        <v>642</v>
      </c>
      <c r="R10" s="2144">
        <f>LARGE(R5:R9,1)+1</f>
        <v>135</v>
      </c>
      <c r="S10" s="2145" t="s">
        <v>1701</v>
      </c>
      <c r="T10" s="2157"/>
      <c r="V10" s="2144">
        <f>LARGE(V5:V9,1)+1</f>
        <v>6</v>
      </c>
      <c r="W10" s="2145" t="s">
        <v>1926</v>
      </c>
      <c r="X10" s="2144">
        <f>LARGE(X5:X9,1)+1</f>
        <v>61</v>
      </c>
      <c r="Y10" s="2145" t="s">
        <v>1624</v>
      </c>
      <c r="Z10" s="2144">
        <f>LARGE(Z5:Z9,1)+1</f>
        <v>118</v>
      </c>
      <c r="AA10" s="2145" t="s">
        <v>1714</v>
      </c>
      <c r="AB10" s="2144">
        <f>LARGE(AB5:AB9,1)+1</f>
        <v>168</v>
      </c>
      <c r="AC10" s="2145" t="s">
        <v>1867</v>
      </c>
      <c r="AD10" s="2144">
        <f>LARGE(AD5:AD9,1)+1</f>
        <v>222</v>
      </c>
      <c r="AE10" s="2145" t="s">
        <v>1521</v>
      </c>
      <c r="AF10" s="2144">
        <f>LARGE(AF5:AF9,1)+1</f>
        <v>273</v>
      </c>
      <c r="AG10" s="2145" t="s">
        <v>1899</v>
      </c>
      <c r="AH10" s="2149">
        <f>LARGE(AH4:AH9,1)+1</f>
        <v>7</v>
      </c>
      <c r="AI10" s="2151" t="s">
        <v>1925</v>
      </c>
      <c r="AJ10" s="2150"/>
      <c r="AK10" s="2149">
        <f>LARGE(AK4:AK9,1)+1</f>
        <v>63</v>
      </c>
      <c r="AL10" s="2151" t="s">
        <v>1924</v>
      </c>
      <c r="AM10" s="2128"/>
      <c r="AN10" s="2128"/>
      <c r="AO10" s="2131"/>
      <c r="AP10" s="2133" t="s">
        <v>1923</v>
      </c>
      <c r="AR10" s="2127">
        <v>5</v>
      </c>
      <c r="AS10" s="2126" t="s">
        <v>1922</v>
      </c>
      <c r="AT10" s="2126"/>
      <c r="AV10" s="2127">
        <v>3</v>
      </c>
      <c r="AW10" s="2126" t="s">
        <v>1921</v>
      </c>
      <c r="AX10" s="2126"/>
    </row>
    <row r="11" spans="1:50" ht="23.25" customHeight="1">
      <c r="B11" s="2144">
        <f>LARGE(B5:B10,1)+1</f>
        <v>7</v>
      </c>
      <c r="C11" s="2145" t="s">
        <v>1898</v>
      </c>
      <c r="D11" s="2144">
        <f>LARGE(D5:D10,1)+1</f>
        <v>21</v>
      </c>
      <c r="E11" s="2145" t="s">
        <v>1920</v>
      </c>
      <c r="F11" s="2144">
        <f>LARGE(F5:F10,1)+1</f>
        <v>38</v>
      </c>
      <c r="G11" s="2145" t="s">
        <v>1473</v>
      </c>
      <c r="H11" s="2144">
        <f>LARGE(H5:H10,1)+1</f>
        <v>56</v>
      </c>
      <c r="I11" s="2145" t="s">
        <v>1551</v>
      </c>
      <c r="J11" s="2157"/>
      <c r="K11" s="1487"/>
      <c r="L11" s="2144">
        <f>LARGE(L5:L10,1)+1</f>
        <v>6</v>
      </c>
      <c r="M11" s="2145" t="s">
        <v>1841</v>
      </c>
      <c r="N11" s="2144">
        <f>LARGE(N5:N10,1)+1</f>
        <v>52</v>
      </c>
      <c r="O11" s="2145" t="s">
        <v>1723</v>
      </c>
      <c r="P11" s="2144">
        <f>LARGE(P5:P10,1)+1</f>
        <v>95</v>
      </c>
      <c r="Q11" s="2145" t="s">
        <v>1474</v>
      </c>
      <c r="R11" s="2144">
        <f>LARGE(R5:R10,1)+1</f>
        <v>136</v>
      </c>
      <c r="S11" s="2145" t="s">
        <v>1690</v>
      </c>
      <c r="T11" s="2157"/>
      <c r="V11" s="2144">
        <f>LARGE(V5:V10,1)+1</f>
        <v>7</v>
      </c>
      <c r="W11" s="2145" t="s">
        <v>1919</v>
      </c>
      <c r="X11" s="2144">
        <f>LARGE(X5:X10,1)+1</f>
        <v>62</v>
      </c>
      <c r="Y11" s="2145" t="s">
        <v>1614</v>
      </c>
      <c r="Z11" s="2144">
        <f>LARGE(Z5:Z10,1)+1</f>
        <v>119</v>
      </c>
      <c r="AA11" s="2145" t="s">
        <v>1623</v>
      </c>
      <c r="AB11" s="2144">
        <f>LARGE(AB5:AB10,1)+1</f>
        <v>169</v>
      </c>
      <c r="AC11" s="2145" t="s">
        <v>1859</v>
      </c>
      <c r="AD11" s="2144">
        <f>LARGE(AD5:AD10,1)+1</f>
        <v>223</v>
      </c>
      <c r="AE11" s="2145" t="s">
        <v>1900</v>
      </c>
      <c r="AF11" s="2144">
        <f>LARGE(AF5:AF10,1)+1</f>
        <v>274</v>
      </c>
      <c r="AG11" s="2145" t="s">
        <v>1918</v>
      </c>
      <c r="AH11" s="2149">
        <f>LARGE(AH4:AH10,1)+1</f>
        <v>8</v>
      </c>
      <c r="AI11" s="2151" t="s">
        <v>1917</v>
      </c>
      <c r="AJ11" s="2150"/>
      <c r="AK11" s="2149">
        <f>LARGE(AK4:AK10,1)+1</f>
        <v>64</v>
      </c>
      <c r="AL11" s="2151" t="s">
        <v>1916</v>
      </c>
      <c r="AM11" s="2128"/>
      <c r="AN11" s="2128"/>
      <c r="AO11" s="2131"/>
      <c r="AP11" s="2133" t="s">
        <v>1915</v>
      </c>
      <c r="AR11" s="2127">
        <v>6</v>
      </c>
      <c r="AS11" s="2126" t="s">
        <v>1914</v>
      </c>
      <c r="AT11" s="2126"/>
      <c r="AV11" s="2127">
        <v>4</v>
      </c>
      <c r="AW11" s="4884" t="s">
        <v>1913</v>
      </c>
      <c r="AX11" s="4884"/>
    </row>
    <row r="12" spans="1:50" ht="23.25" customHeight="1">
      <c r="B12" s="2182"/>
      <c r="C12" s="2181" t="s">
        <v>27</v>
      </c>
      <c r="D12" s="2144"/>
      <c r="E12" s="2181" t="s">
        <v>18</v>
      </c>
      <c r="F12" s="2144">
        <f>LARGE(F5:F11,1)+1</f>
        <v>39</v>
      </c>
      <c r="G12" s="2145" t="s">
        <v>1463</v>
      </c>
      <c r="H12" s="2144">
        <f>LARGE(H5:H11,1)+1</f>
        <v>57</v>
      </c>
      <c r="I12" s="2145" t="s">
        <v>1509</v>
      </c>
      <c r="J12" s="2157"/>
      <c r="K12" s="1487"/>
      <c r="L12" s="2144">
        <f>LARGE(L5:L11,1)+1</f>
        <v>7</v>
      </c>
      <c r="M12" s="2145" t="s">
        <v>1829</v>
      </c>
      <c r="N12" s="2144"/>
      <c r="O12" s="2160" t="s">
        <v>771</v>
      </c>
      <c r="P12" s="2144">
        <f>LARGE(P5:P11,1)+1</f>
        <v>96</v>
      </c>
      <c r="Q12" s="2145" t="s">
        <v>1464</v>
      </c>
      <c r="R12" s="2144"/>
      <c r="S12" s="2165" t="s">
        <v>31</v>
      </c>
      <c r="T12" s="2157"/>
      <c r="V12" s="2144">
        <f>LARGE(V5:V11,1)+1</f>
        <v>8</v>
      </c>
      <c r="W12" s="2145" t="s">
        <v>1912</v>
      </c>
      <c r="X12" s="2144">
        <f>LARGE(X5:X11,1)+1</f>
        <v>63</v>
      </c>
      <c r="Y12" s="2145" t="s">
        <v>1602</v>
      </c>
      <c r="Z12" s="2144">
        <f>LARGE(Z5:Z11,1)+1</f>
        <v>120</v>
      </c>
      <c r="AA12" s="2145" t="s">
        <v>1911</v>
      </c>
      <c r="AB12" s="2144">
        <f>LARGE(AB5:AB11,1)+1</f>
        <v>170</v>
      </c>
      <c r="AC12" s="2145" t="s">
        <v>1910</v>
      </c>
      <c r="AD12" s="2144">
        <f>LARGE(AD5:AD11,1)+1</f>
        <v>224</v>
      </c>
      <c r="AE12" s="2145" t="s">
        <v>1892</v>
      </c>
      <c r="AF12" s="2144">
        <f>LARGE(AF5:AF11,1)+1</f>
        <v>275</v>
      </c>
      <c r="AG12" s="2145" t="s">
        <v>1909</v>
      </c>
      <c r="AH12" s="2149">
        <f>LARGE(AH4:AH11,1)+1</f>
        <v>9</v>
      </c>
      <c r="AI12" s="2151" t="s">
        <v>1908</v>
      </c>
      <c r="AJ12" s="2150"/>
      <c r="AK12" s="2149">
        <f>LARGE(AK4:AK11,1)+1</f>
        <v>65</v>
      </c>
      <c r="AL12" s="2151" t="s">
        <v>1907</v>
      </c>
      <c r="AM12" s="2128"/>
      <c r="AN12" s="2128"/>
      <c r="AO12" s="2131"/>
      <c r="AP12" s="2133" t="s">
        <v>1906</v>
      </c>
      <c r="AR12" s="2127">
        <v>7</v>
      </c>
      <c r="AS12" s="2126" t="s">
        <v>1905</v>
      </c>
      <c r="AT12" s="2126"/>
      <c r="AV12" s="2127"/>
      <c r="AW12" s="4884"/>
      <c r="AX12" s="4884"/>
    </row>
    <row r="13" spans="1:50" ht="26.25" customHeight="1">
      <c r="B13" s="2144">
        <f>LARGE(B5:B12,1)+1</f>
        <v>8</v>
      </c>
      <c r="C13" s="2145" t="s">
        <v>1849</v>
      </c>
      <c r="D13" s="2144">
        <f>LARGE(D5:D12,1)+1</f>
        <v>22</v>
      </c>
      <c r="E13" s="2145" t="s">
        <v>1754</v>
      </c>
      <c r="F13" s="2144"/>
      <c r="G13" s="2181" t="s">
        <v>1291</v>
      </c>
      <c r="H13" s="2144"/>
      <c r="I13" s="2183" t="s">
        <v>1213</v>
      </c>
      <c r="J13" s="2157"/>
      <c r="K13" s="1487"/>
      <c r="L13" s="2144">
        <f>LARGE(L5:L12,1)+1</f>
        <v>8</v>
      </c>
      <c r="M13" s="2145" t="s">
        <v>1817</v>
      </c>
      <c r="N13" s="2144">
        <f>LARGE(N5:N12,1)+1</f>
        <v>53</v>
      </c>
      <c r="O13" s="2145" t="s">
        <v>1692</v>
      </c>
      <c r="P13" s="2144">
        <f>LARGE(P5:P12,1)+1</f>
        <v>97</v>
      </c>
      <c r="Q13" s="2145" t="s">
        <v>1456</v>
      </c>
      <c r="R13" s="2144">
        <f>LARGE(R5:R12,1)+1</f>
        <v>137</v>
      </c>
      <c r="S13" s="2145" t="s">
        <v>1630</v>
      </c>
      <c r="T13" s="2157"/>
      <c r="V13" s="2144">
        <f>LARGE(V5:V12,1)+1</f>
        <v>9</v>
      </c>
      <c r="W13" s="2145" t="s">
        <v>1904</v>
      </c>
      <c r="X13" s="2144">
        <f>LARGE(X5:X12,1)+1</f>
        <v>64</v>
      </c>
      <c r="Y13" s="2145" t="s">
        <v>1591</v>
      </c>
      <c r="Z13" s="2144">
        <f>LARGE(Z5:Z12,1)+1</f>
        <v>121</v>
      </c>
      <c r="AA13" s="2145" t="s">
        <v>1705</v>
      </c>
      <c r="AB13" s="2144">
        <f>LARGE(AB5:AB12,1)+1</f>
        <v>171</v>
      </c>
      <c r="AC13" s="2145" t="s">
        <v>1850</v>
      </c>
      <c r="AD13" s="2144">
        <f>LARGE(AD5:AD12,1)+1</f>
        <v>225</v>
      </c>
      <c r="AE13" s="2145" t="s">
        <v>1884</v>
      </c>
      <c r="AF13" s="2144">
        <f>LARGE(AF5:AF12,1)+1</f>
        <v>276</v>
      </c>
      <c r="AG13" s="2145" t="s">
        <v>1794</v>
      </c>
      <c r="AH13" s="2149">
        <f>LARGE(AH4:AH12,1)+1</f>
        <v>10</v>
      </c>
      <c r="AI13" s="2151" t="s">
        <v>1903</v>
      </c>
      <c r="AJ13" s="2150"/>
      <c r="AK13" s="2149">
        <f>LARGE(AK4:AK12,1)+1</f>
        <v>66</v>
      </c>
      <c r="AL13" s="2151" t="s">
        <v>1902</v>
      </c>
      <c r="AM13" s="2128"/>
      <c r="AN13" s="2128"/>
      <c r="AO13" s="2131"/>
      <c r="AP13" s="2134" t="s">
        <v>27</v>
      </c>
      <c r="AR13" s="2127">
        <v>8</v>
      </c>
      <c r="AS13" s="2126" t="s">
        <v>1901</v>
      </c>
      <c r="AT13" s="2126"/>
      <c r="AV13" s="2127"/>
      <c r="AW13" s="2172"/>
      <c r="AX13" s="2172"/>
    </row>
    <row r="14" spans="1:50" ht="22.5" customHeight="1">
      <c r="B14" s="2182"/>
      <c r="C14" s="2181" t="s">
        <v>39</v>
      </c>
      <c r="D14" s="2144"/>
      <c r="E14" s="2181" t="s">
        <v>872</v>
      </c>
      <c r="F14" s="2144">
        <f>LARGE(F5:F13,1)+1</f>
        <v>40</v>
      </c>
      <c r="G14" s="2145" t="s">
        <v>1900</v>
      </c>
      <c r="H14" s="2144">
        <f>LARGE(H5:H13,1)+1</f>
        <v>58</v>
      </c>
      <c r="I14" s="2145" t="s">
        <v>1899</v>
      </c>
      <c r="J14" s="2157"/>
      <c r="K14" s="1487"/>
      <c r="L14" s="2144">
        <f>LARGE(L5:L13,1)+1</f>
        <v>9</v>
      </c>
      <c r="M14" s="2145" t="s">
        <v>1805</v>
      </c>
      <c r="N14" s="2144">
        <f>LARGE(N5:N13,1)+1</f>
        <v>54</v>
      </c>
      <c r="O14" s="2145" t="s">
        <v>1675</v>
      </c>
      <c r="P14" s="2144">
        <f>LARGE(P5:P13,1)+1</f>
        <v>98</v>
      </c>
      <c r="Q14" s="2145" t="s">
        <v>1449</v>
      </c>
      <c r="R14" s="2144">
        <f>LARGE(R5:R13,1)+1</f>
        <v>138</v>
      </c>
      <c r="S14" s="2145" t="s">
        <v>1619</v>
      </c>
      <c r="T14" s="2157"/>
      <c r="V14" s="2144">
        <f>LARGE(V5:V13,1)+1</f>
        <v>10</v>
      </c>
      <c r="W14" s="2145" t="s">
        <v>1898</v>
      </c>
      <c r="X14" s="2144">
        <f>LARGE(X5:X13,1)+1</f>
        <v>65</v>
      </c>
      <c r="Y14" s="2145" t="s">
        <v>1580</v>
      </c>
      <c r="Z14" s="2144">
        <f>LARGE(Z5:Z13,1)+1</f>
        <v>122</v>
      </c>
      <c r="AA14" s="2145" t="s">
        <v>1695</v>
      </c>
      <c r="AB14" s="2144">
        <f>LARGE(AB5:AB13,1)+1</f>
        <v>172</v>
      </c>
      <c r="AC14" s="2145" t="s">
        <v>1843</v>
      </c>
      <c r="AD14" s="2144">
        <f>LARGE(AD5:AD13,1)+1</f>
        <v>226</v>
      </c>
      <c r="AE14" s="2145" t="s">
        <v>1878</v>
      </c>
      <c r="AF14" s="2144">
        <f>LARGE(AF5:AF13,1)+1</f>
        <v>277</v>
      </c>
      <c r="AG14" s="2145" t="s">
        <v>1783</v>
      </c>
      <c r="AH14" s="2149">
        <f>LARGE(AH4:AH13,1)+1</f>
        <v>11</v>
      </c>
      <c r="AI14" s="2151" t="s">
        <v>1897</v>
      </c>
      <c r="AJ14" s="2150"/>
      <c r="AK14" s="2149">
        <f>LARGE(AK4:AK13,1)+1</f>
        <v>67</v>
      </c>
      <c r="AL14" s="2151" t="s">
        <v>1896</v>
      </c>
      <c r="AM14" s="2128"/>
      <c r="AN14" s="2128"/>
      <c r="AO14" s="2131"/>
      <c r="AP14" s="2133" t="s">
        <v>1895</v>
      </c>
      <c r="AR14" s="2127"/>
      <c r="AS14" s="2184" t="s">
        <v>1894</v>
      </c>
      <c r="AT14" s="2126"/>
      <c r="AV14" s="2140" t="s">
        <v>59</v>
      </c>
      <c r="AW14" s="2139" t="s">
        <v>1893</v>
      </c>
      <c r="AX14" s="2126"/>
    </row>
    <row r="15" spans="1:50" s="1375" customFormat="1" ht="26.25" customHeight="1">
      <c r="B15" s="2144">
        <f>LARGE(B5:B14,1)+1</f>
        <v>9</v>
      </c>
      <c r="C15" s="2145" t="s">
        <v>1676</v>
      </c>
      <c r="D15" s="2144">
        <f>LARGE(D5:D14,1)+1</f>
        <v>23</v>
      </c>
      <c r="E15" s="2145" t="s">
        <v>1587</v>
      </c>
      <c r="F15" s="2144">
        <f>LARGE(F5:F14,1)+1</f>
        <v>41</v>
      </c>
      <c r="G15" s="2145" t="s">
        <v>1892</v>
      </c>
      <c r="H15" s="2144"/>
      <c r="I15" s="2183" t="s">
        <v>792</v>
      </c>
      <c r="J15" s="2157"/>
      <c r="K15" s="1487"/>
      <c r="L15" s="2144">
        <f>LARGE(L5:L14,1)+1</f>
        <v>10</v>
      </c>
      <c r="M15" s="2145" t="s">
        <v>1793</v>
      </c>
      <c r="N15" s="2144">
        <f>LARGE(N5:N14,1)+1</f>
        <v>55</v>
      </c>
      <c r="O15" s="2145" t="s">
        <v>1664</v>
      </c>
      <c r="P15" s="2144"/>
      <c r="Q15" s="2160" t="s">
        <v>53</v>
      </c>
      <c r="R15" s="2144">
        <f>LARGE(R5:R14,1)+1</f>
        <v>139</v>
      </c>
      <c r="S15" s="2145" t="s">
        <v>1608</v>
      </c>
      <c r="T15" s="2157"/>
      <c r="V15" s="2144">
        <f>LARGE(V5:V14,1)+1</f>
        <v>11</v>
      </c>
      <c r="W15" s="2145" t="s">
        <v>1891</v>
      </c>
      <c r="X15" s="2144">
        <f>LARGE(X5:X14,1)+1</f>
        <v>66</v>
      </c>
      <c r="Y15" s="2145" t="s">
        <v>1570</v>
      </c>
      <c r="Z15" s="2144">
        <f>LARGE(Z5:Z14,1)+1</f>
        <v>123</v>
      </c>
      <c r="AA15" s="2145" t="s">
        <v>1685</v>
      </c>
      <c r="AB15" s="2144">
        <f>LARGE(AB5:AB14,1)+1</f>
        <v>173</v>
      </c>
      <c r="AC15" s="2145" t="s">
        <v>1808</v>
      </c>
      <c r="AD15" s="2144">
        <f>LARGE(AD5:AD14,1)+1</f>
        <v>227</v>
      </c>
      <c r="AE15" s="2145" t="s">
        <v>1890</v>
      </c>
      <c r="AF15" s="2144">
        <f>LARGE(AF5:AF14,1)+1</f>
        <v>278</v>
      </c>
      <c r="AG15" s="2145" t="s">
        <v>1775</v>
      </c>
      <c r="AH15" s="2149">
        <f>LARGE(AH4:AH14,1)+1</f>
        <v>12</v>
      </c>
      <c r="AI15" s="2151" t="s">
        <v>1889</v>
      </c>
      <c r="AJ15" s="2161"/>
      <c r="AK15" s="2149">
        <f>LARGE(AK4:AK14,1)+1</f>
        <v>68</v>
      </c>
      <c r="AL15" s="2151" t="s">
        <v>1888</v>
      </c>
      <c r="AM15" s="1279"/>
      <c r="AN15" s="1279"/>
      <c r="AO15" s="2131"/>
      <c r="AP15" s="2135" t="s">
        <v>1887</v>
      </c>
      <c r="AR15" s="2127">
        <v>9</v>
      </c>
      <c r="AS15" s="2126" t="s">
        <v>1886</v>
      </c>
      <c r="AT15" s="2126"/>
      <c r="AU15" s="2124"/>
      <c r="AV15" s="2127">
        <v>1</v>
      </c>
      <c r="AW15" s="4884" t="s">
        <v>1885</v>
      </c>
      <c r="AX15" s="4884"/>
    </row>
    <row r="16" spans="1:50" s="1375" customFormat="1" ht="23.25" customHeight="1">
      <c r="B16" s="2144">
        <f>LARGE(B5:B15,1)+1</f>
        <v>10</v>
      </c>
      <c r="C16" s="2145" t="s">
        <v>1532</v>
      </c>
      <c r="D16" s="2144">
        <f>LARGE(D5:D15,1)+1</f>
        <v>24</v>
      </c>
      <c r="E16" s="2145" t="s">
        <v>1577</v>
      </c>
      <c r="F16" s="2144">
        <f>LARGE(F5:F15,1)+1</f>
        <v>42</v>
      </c>
      <c r="G16" s="2145" t="s">
        <v>1884</v>
      </c>
      <c r="H16" s="2144">
        <f>LARGE(H5:H15,1)+1</f>
        <v>59</v>
      </c>
      <c r="I16" s="2145" t="s">
        <v>1814</v>
      </c>
      <c r="J16" s="2157"/>
      <c r="K16" s="1487"/>
      <c r="L16" s="2144">
        <f>LARGE(L5:L15,1)+1</f>
        <v>11</v>
      </c>
      <c r="M16" s="2145" t="s">
        <v>1782</v>
      </c>
      <c r="N16" s="2144">
        <f>LARGE(N5:N15,1)+1</f>
        <v>56</v>
      </c>
      <c r="O16" s="2145" t="s">
        <v>1643</v>
      </c>
      <c r="P16" s="2144">
        <f>LARGE(P5:P15,1)+1</f>
        <v>99</v>
      </c>
      <c r="Q16" s="2145" t="s">
        <v>1883</v>
      </c>
      <c r="R16" s="2144">
        <f>LARGE(R5:R15,1)+1</f>
        <v>140</v>
      </c>
      <c r="S16" s="2145" t="s">
        <v>1575</v>
      </c>
      <c r="T16" s="2157"/>
      <c r="V16" s="2144">
        <f>LARGE(V5:V15,1)+1</f>
        <v>12</v>
      </c>
      <c r="W16" s="2145" t="s">
        <v>1882</v>
      </c>
      <c r="X16" s="2144">
        <f>LARGE(X5:X15,1)+1</f>
        <v>67</v>
      </c>
      <c r="Y16" s="2145" t="s">
        <v>1557</v>
      </c>
      <c r="Z16" s="2144">
        <f>LARGE(Z5:Z15,1)+1</f>
        <v>124</v>
      </c>
      <c r="AA16" s="2145" t="s">
        <v>1677</v>
      </c>
      <c r="AB16" s="2144">
        <f>LARGE(AB5:AB15,1)+1</f>
        <v>174</v>
      </c>
      <c r="AC16" s="2145" t="s">
        <v>1831</v>
      </c>
      <c r="AD16" s="2144">
        <f>LARGE(AD5:AD15,1)+1</f>
        <v>228</v>
      </c>
      <c r="AE16" s="2145" t="s">
        <v>1868</v>
      </c>
      <c r="AF16" s="2144">
        <f>LARGE(AF5:AF15,1)+1</f>
        <v>279</v>
      </c>
      <c r="AG16" s="2145" t="s">
        <v>1765</v>
      </c>
      <c r="AH16" s="2149">
        <f>LARGE(AH4:AH15,1)+1</f>
        <v>13</v>
      </c>
      <c r="AI16" s="2151" t="s">
        <v>666</v>
      </c>
      <c r="AJ16" s="2161"/>
      <c r="AK16" s="2149">
        <f>LARGE(AK4:AK15,1)+1</f>
        <v>69</v>
      </c>
      <c r="AL16" s="2151" t="s">
        <v>1881</v>
      </c>
      <c r="AM16" s="1279"/>
      <c r="AN16" s="1279"/>
      <c r="AO16" s="2131"/>
      <c r="AP16" s="2135" t="s">
        <v>1880</v>
      </c>
      <c r="AR16" s="2127">
        <v>10</v>
      </c>
      <c r="AS16" s="2126" t="s">
        <v>1879</v>
      </c>
      <c r="AT16" s="2126"/>
      <c r="AU16" s="2124"/>
      <c r="AV16" s="2127"/>
      <c r="AW16" s="4884"/>
      <c r="AX16" s="4884"/>
    </row>
    <row r="17" spans="2:50" s="1375" customFormat="1" ht="23.25">
      <c r="B17" s="2144">
        <f>LARGE(B5:B16,1)+1</f>
        <v>11</v>
      </c>
      <c r="C17" s="2145" t="s">
        <v>1512</v>
      </c>
      <c r="D17" s="2144"/>
      <c r="E17" s="2181" t="s">
        <v>870</v>
      </c>
      <c r="F17" s="2144">
        <f>LARGE(F5:F16,1)+1</f>
        <v>43</v>
      </c>
      <c r="G17" s="2145" t="s">
        <v>1878</v>
      </c>
      <c r="H17" s="2144"/>
      <c r="I17" s="2183" t="s">
        <v>1175</v>
      </c>
      <c r="J17" s="2157"/>
      <c r="K17" s="1487"/>
      <c r="L17" s="2144"/>
      <c r="M17" s="2160" t="s">
        <v>39</v>
      </c>
      <c r="N17" s="2144">
        <f>LARGE(N5:N16,1)+1</f>
        <v>57</v>
      </c>
      <c r="O17" s="2145" t="s">
        <v>1632</v>
      </c>
      <c r="P17" s="2144">
        <f>LARGE(P5:P16,1)+1</f>
        <v>100</v>
      </c>
      <c r="Q17" s="2145" t="s">
        <v>1877</v>
      </c>
      <c r="R17" s="2144">
        <f>LARGE(R5:R16,1)+1</f>
        <v>141</v>
      </c>
      <c r="S17" s="2145" t="s">
        <v>1563</v>
      </c>
      <c r="T17" s="2157"/>
      <c r="V17" s="2144">
        <f>LARGE(V5:V16,1)+1</f>
        <v>13</v>
      </c>
      <c r="W17" s="2145" t="s">
        <v>1876</v>
      </c>
      <c r="X17" s="2144">
        <f>LARGE(X5:X16,1)+1</f>
        <v>68</v>
      </c>
      <c r="Y17" s="2145" t="s">
        <v>1851</v>
      </c>
      <c r="Z17" s="2144">
        <f>LARGE(Z5:Z16,1)+1</f>
        <v>125</v>
      </c>
      <c r="AA17" s="2145" t="s">
        <v>1667</v>
      </c>
      <c r="AB17" s="2144">
        <f>LARGE(AB5:AB16,1)+1</f>
        <v>175</v>
      </c>
      <c r="AC17" s="2145" t="s">
        <v>1875</v>
      </c>
      <c r="AD17" s="2144">
        <f>LARGE(AD5:AD16,1)+1</f>
        <v>229</v>
      </c>
      <c r="AE17" s="2145" t="s">
        <v>1874</v>
      </c>
      <c r="AF17" s="2144">
        <f>LARGE(AF5:AF16,1)+1</f>
        <v>280</v>
      </c>
      <c r="AG17" s="2145" t="s">
        <v>1756</v>
      </c>
      <c r="AH17" s="2149">
        <f>LARGE(AH4:AH16,1)+1</f>
        <v>14</v>
      </c>
      <c r="AI17" s="2151" t="s">
        <v>1873</v>
      </c>
      <c r="AJ17" s="2161"/>
      <c r="AK17" s="2149">
        <f>LARGE(AK4:AK16,1)+1</f>
        <v>70</v>
      </c>
      <c r="AL17" s="2151" t="s">
        <v>1872</v>
      </c>
      <c r="AM17" s="1279"/>
      <c r="AN17" s="1279"/>
      <c r="AO17" s="2131"/>
      <c r="AP17" s="2135" t="s">
        <v>1871</v>
      </c>
      <c r="AR17" s="2127">
        <v>11</v>
      </c>
      <c r="AS17" s="2126" t="s">
        <v>1870</v>
      </c>
      <c r="AT17" s="2126"/>
      <c r="AU17" s="2124"/>
      <c r="AV17" s="2127">
        <v>2</v>
      </c>
      <c r="AW17" s="4884" t="s">
        <v>1869</v>
      </c>
      <c r="AX17" s="4884"/>
    </row>
    <row r="18" spans="2:50" s="1375" customFormat="1" ht="23.25" customHeight="1">
      <c r="B18" s="2182"/>
      <c r="C18" s="2181" t="s">
        <v>52</v>
      </c>
      <c r="D18" s="2144">
        <f>LARGE(D5:D17,1)+1</f>
        <v>25</v>
      </c>
      <c r="E18" s="2145" t="s">
        <v>1530</v>
      </c>
      <c r="F18" s="2144">
        <f>LARGE(F5:F17,1)+1</f>
        <v>44</v>
      </c>
      <c r="G18" s="2145" t="s">
        <v>1868</v>
      </c>
      <c r="H18" s="2144">
        <f>LARGE(H5:H17,1)+1</f>
        <v>60</v>
      </c>
      <c r="I18" s="2145" t="s">
        <v>1770</v>
      </c>
      <c r="J18" s="2157"/>
      <c r="K18" s="1487"/>
      <c r="L18" s="2144">
        <f>LARGE(L5:L17,1)+1</f>
        <v>12</v>
      </c>
      <c r="M18" s="2145" t="s">
        <v>1730</v>
      </c>
      <c r="N18" s="2144">
        <f>LARGE(N5:N17,1)+1</f>
        <v>58</v>
      </c>
      <c r="O18" s="2145" t="s">
        <v>1621</v>
      </c>
      <c r="P18" s="2144">
        <f>LARGE(P5:P17,1)+1</f>
        <v>101</v>
      </c>
      <c r="Q18" s="2145" t="s">
        <v>1867</v>
      </c>
      <c r="R18" s="2144">
        <f>LARGE(R5:R17,1)+1</f>
        <v>142</v>
      </c>
      <c r="S18" s="2145" t="s">
        <v>1540</v>
      </c>
      <c r="T18" s="2157"/>
      <c r="V18" s="2144"/>
      <c r="W18" s="2158" t="s">
        <v>27</v>
      </c>
      <c r="X18" s="2144">
        <f>LARGE(X5:X17,1)+1</f>
        <v>69</v>
      </c>
      <c r="Y18" s="2145" t="s">
        <v>1866</v>
      </c>
      <c r="Z18" s="2144">
        <f>LARGE(Z5:Z17,1)+1</f>
        <v>126</v>
      </c>
      <c r="AA18" s="2145" t="s">
        <v>1656</v>
      </c>
      <c r="AB18" s="2144">
        <f>LARGE(AB5:AB17,1)+1</f>
        <v>176</v>
      </c>
      <c r="AC18" s="2145" t="s">
        <v>1797</v>
      </c>
      <c r="AD18" s="2144">
        <f>LARGE(AD5:AD17,1)+1</f>
        <v>230</v>
      </c>
      <c r="AE18" s="2145" t="s">
        <v>1860</v>
      </c>
      <c r="AF18" s="2144">
        <f>LARGE(AF5:AF17,1)+1</f>
        <v>281</v>
      </c>
      <c r="AG18" s="2145" t="s">
        <v>1749</v>
      </c>
      <c r="AH18" s="2149">
        <f>LARGE(AH4:AH17,1)+1</f>
        <v>15</v>
      </c>
      <c r="AI18" s="2151" t="s">
        <v>1865</v>
      </c>
      <c r="AJ18" s="2161"/>
      <c r="AK18" s="2149">
        <f>LARGE(AK4:AK17,1)+1</f>
        <v>71</v>
      </c>
      <c r="AL18" s="2151" t="s">
        <v>1864</v>
      </c>
      <c r="AM18" s="1279"/>
      <c r="AN18" s="1279"/>
      <c r="AO18" s="2131"/>
      <c r="AP18" s="2133" t="s">
        <v>1863</v>
      </c>
      <c r="AR18" s="2127">
        <v>12</v>
      </c>
      <c r="AS18" s="2126" t="s">
        <v>1862</v>
      </c>
      <c r="AT18" s="2126"/>
      <c r="AU18" s="2124"/>
      <c r="AV18" s="2127"/>
      <c r="AW18" s="4884"/>
      <c r="AX18" s="4884"/>
    </row>
    <row r="19" spans="2:50" s="1375" customFormat="1" ht="23.25" customHeight="1">
      <c r="B19" s="2144">
        <f>LARGE(B5:B18,1)+1</f>
        <v>12</v>
      </c>
      <c r="C19" s="2145" t="s">
        <v>1861</v>
      </c>
      <c r="D19" s="2144"/>
      <c r="E19" s="2181" t="s">
        <v>642</v>
      </c>
      <c r="F19" s="2144">
        <f>LARGE(F5:F18,1)+1</f>
        <v>45</v>
      </c>
      <c r="G19" s="2145" t="s">
        <v>1860</v>
      </c>
      <c r="H19" s="2144">
        <f>LARGE(H5:H18,1)+1</f>
        <v>61</v>
      </c>
      <c r="I19" s="2145" t="s">
        <v>1760</v>
      </c>
      <c r="J19" s="2157"/>
      <c r="K19" s="1487"/>
      <c r="L19" s="2144">
        <f>LARGE(L5:L18,1)+1</f>
        <v>13</v>
      </c>
      <c r="M19" s="2145" t="s">
        <v>1712</v>
      </c>
      <c r="N19" s="2144">
        <f>LARGE(N5:N18,1)+1</f>
        <v>59</v>
      </c>
      <c r="O19" s="2145" t="s">
        <v>1611</v>
      </c>
      <c r="P19" s="2144">
        <f>LARGE(P5:P18,1)+1</f>
        <v>102</v>
      </c>
      <c r="Q19" s="2145" t="s">
        <v>1859</v>
      </c>
      <c r="R19" s="2144">
        <f>LARGE(R5:R18,1)+1</f>
        <v>143</v>
      </c>
      <c r="S19" s="2145" t="s">
        <v>1482</v>
      </c>
      <c r="T19" s="2157"/>
      <c r="V19" s="2144">
        <f>LARGE(V5:V18,1)+1</f>
        <v>14</v>
      </c>
      <c r="W19" s="2145" t="s">
        <v>1858</v>
      </c>
      <c r="X19" s="2144">
        <f>LARGE(X5:X18,1)+1</f>
        <v>70</v>
      </c>
      <c r="Y19" s="2145" t="s">
        <v>1546</v>
      </c>
      <c r="Z19" s="2144">
        <f>LARGE(Z5:Z18,1)+1</f>
        <v>127</v>
      </c>
      <c r="AA19" s="2145" t="s">
        <v>1857</v>
      </c>
      <c r="AB19" s="2144">
        <f>LARGE(AB5:AB18,1)+1</f>
        <v>177</v>
      </c>
      <c r="AC19" s="2145" t="s">
        <v>1819</v>
      </c>
      <c r="AD19" s="2144">
        <f>LARGE(AD5:AD18,1)+1</f>
        <v>231</v>
      </c>
      <c r="AE19" s="2145" t="s">
        <v>1856</v>
      </c>
      <c r="AF19" s="2144">
        <f>LARGE(AF5:AF18,1)+1</f>
        <v>282</v>
      </c>
      <c r="AG19" s="2145" t="s">
        <v>1740</v>
      </c>
      <c r="AH19" s="2149">
        <f>LARGE(AH4:AH18,1)+1</f>
        <v>16</v>
      </c>
      <c r="AI19" s="2151" t="s">
        <v>1855</v>
      </c>
      <c r="AJ19" s="2161"/>
      <c r="AK19" s="2149">
        <f>LARGE(AK4:AK18,1)+1</f>
        <v>72</v>
      </c>
      <c r="AL19" s="2151" t="s">
        <v>1854</v>
      </c>
      <c r="AM19" s="1279"/>
      <c r="AN19" s="1279"/>
      <c r="AO19" s="2131"/>
      <c r="AP19" s="2133" t="s">
        <v>1853</v>
      </c>
      <c r="AR19" s="2127">
        <v>13</v>
      </c>
      <c r="AS19" s="2126" t="s">
        <v>1379</v>
      </c>
      <c r="AT19" s="2126"/>
      <c r="AU19" s="2124"/>
      <c r="AV19" s="2127">
        <v>3</v>
      </c>
      <c r="AW19" s="4884" t="s">
        <v>1852</v>
      </c>
      <c r="AX19" s="4884"/>
    </row>
    <row r="20" spans="2:50" s="1375" customFormat="1" ht="27" customHeight="1">
      <c r="B20" s="2144">
        <f>LARGE(B5:B19,1)+1</f>
        <v>13</v>
      </c>
      <c r="C20" s="2145" t="s">
        <v>1851</v>
      </c>
      <c r="D20" s="2144">
        <f>LARGE(D5:D19,1)+1</f>
        <v>26</v>
      </c>
      <c r="E20" s="2145" t="s">
        <v>1492</v>
      </c>
      <c r="F20" s="2144">
        <f>LARGE(F5:F19,1)+1</f>
        <v>46</v>
      </c>
      <c r="G20" s="2145" t="s">
        <v>1838</v>
      </c>
      <c r="H20" s="2144"/>
      <c r="I20" s="476"/>
      <c r="J20" s="2157"/>
      <c r="K20" s="1487"/>
      <c r="L20" s="2144">
        <f>LARGE(L5:L19,1)+1</f>
        <v>14</v>
      </c>
      <c r="M20" s="2145" t="s">
        <v>1684</v>
      </c>
      <c r="N20" s="2144">
        <f>LARGE(N5:N19,1)+1</f>
        <v>60</v>
      </c>
      <c r="O20" s="2145" t="s">
        <v>1599</v>
      </c>
      <c r="P20" s="2144">
        <f>LARGE(P5:P19,1)+1</f>
        <v>103</v>
      </c>
      <c r="Q20" s="2145" t="s">
        <v>1850</v>
      </c>
      <c r="R20" s="2144"/>
      <c r="S20" s="2165" t="s">
        <v>1213</v>
      </c>
      <c r="T20" s="2157"/>
      <c r="V20" s="2144">
        <f>LARGE(V5:V19,1)+1</f>
        <v>15</v>
      </c>
      <c r="W20" s="2145" t="s">
        <v>1849</v>
      </c>
      <c r="X20" s="2144">
        <f>LARGE(X5:X19,1)+1</f>
        <v>71</v>
      </c>
      <c r="Y20" s="2145" t="s">
        <v>1534</v>
      </c>
      <c r="Z20" s="2144">
        <f>LARGE(Z5:Z19,1)+1</f>
        <v>128</v>
      </c>
      <c r="AA20" s="2145" t="s">
        <v>1645</v>
      </c>
      <c r="AB20" s="2144">
        <f>LARGE(AB5:AB19,1)+1</f>
        <v>178</v>
      </c>
      <c r="AC20" s="2145" t="s">
        <v>1785</v>
      </c>
      <c r="AD20" s="2144">
        <f>LARGE(AD5:AD19,1)+1</f>
        <v>232</v>
      </c>
      <c r="AE20" s="2145" t="s">
        <v>1848</v>
      </c>
      <c r="AF20" s="2143"/>
      <c r="AG20" s="2162"/>
      <c r="AH20" s="2149">
        <f>LARGE(AH4:AH19,1)+1</f>
        <v>17</v>
      </c>
      <c r="AI20" s="2151" t="s">
        <v>1847</v>
      </c>
      <c r="AJ20" s="2161"/>
      <c r="AK20" s="2149">
        <f>LARGE(AK4:AK19,1)+1</f>
        <v>73</v>
      </c>
      <c r="AL20" s="2151" t="s">
        <v>1846</v>
      </c>
      <c r="AM20" s="1279"/>
      <c r="AN20" s="1279"/>
      <c r="AO20" s="2131"/>
      <c r="AP20" s="2133" t="s">
        <v>1845</v>
      </c>
      <c r="AR20" s="2127">
        <v>14</v>
      </c>
      <c r="AS20" s="2126" t="s">
        <v>1844</v>
      </c>
      <c r="AT20" s="2126"/>
      <c r="AU20" s="2124"/>
      <c r="AV20" s="2127"/>
      <c r="AW20" s="4884"/>
      <c r="AX20" s="4884"/>
    </row>
    <row r="21" spans="2:50" s="1375" customFormat="1" ht="20.25" customHeight="1">
      <c r="B21" s="2144">
        <f>LARGE(B5:B20,1)+1</f>
        <v>14</v>
      </c>
      <c r="C21" s="2145" t="s">
        <v>1755</v>
      </c>
      <c r="D21" s="2144"/>
      <c r="E21" s="2181" t="s">
        <v>53</v>
      </c>
      <c r="F21" s="2144">
        <f>LARGE(F5:F20,1)+1</f>
        <v>47</v>
      </c>
      <c r="G21" s="2145" t="s">
        <v>1826</v>
      </c>
      <c r="H21" s="2144"/>
      <c r="I21" s="476"/>
      <c r="J21" s="2157"/>
      <c r="K21" s="1487"/>
      <c r="L21" s="2144">
        <f>LARGE(L5:L20,1)+1</f>
        <v>15</v>
      </c>
      <c r="M21" s="2145" t="s">
        <v>1665</v>
      </c>
      <c r="N21" s="2144">
        <f>LARGE(N5:N20,1)+1</f>
        <v>61</v>
      </c>
      <c r="O21" s="2145" t="s">
        <v>1588</v>
      </c>
      <c r="P21" s="2144">
        <f>LARGE(P5:P20,1)+1</f>
        <v>104</v>
      </c>
      <c r="Q21" s="2145" t="s">
        <v>1843</v>
      </c>
      <c r="R21" s="2144">
        <f>LARGE(R5:R20,1)+1</f>
        <v>144</v>
      </c>
      <c r="S21" s="2145" t="s">
        <v>1842</v>
      </c>
      <c r="T21" s="2157"/>
      <c r="V21" s="2144">
        <f>LARGE(V5:V20,1)+1</f>
        <v>16</v>
      </c>
      <c r="W21" s="2145" t="s">
        <v>1841</v>
      </c>
      <c r="X21" s="2144">
        <f>LARGE(X5:X20,1)+1</f>
        <v>72</v>
      </c>
      <c r="Y21" s="2145" t="s">
        <v>1523</v>
      </c>
      <c r="Z21" s="2144">
        <f>LARGE(Z5:Z20,1)+1</f>
        <v>129</v>
      </c>
      <c r="AA21" s="2145" t="s">
        <v>1840</v>
      </c>
      <c r="AB21" s="2144">
        <f>LARGE(AB5:AB20,1)+1</f>
        <v>179</v>
      </c>
      <c r="AC21" s="2145" t="s">
        <v>1839</v>
      </c>
      <c r="AD21" s="2144">
        <f>LARGE(AD5:AD20,1)+1</f>
        <v>233</v>
      </c>
      <c r="AE21" s="2145" t="s">
        <v>1838</v>
      </c>
      <c r="AF21" s="2143"/>
      <c r="AG21" s="2158" t="s">
        <v>792</v>
      </c>
      <c r="AH21" s="2149">
        <f>LARGE(AH4:AH20,1)+1</f>
        <v>18</v>
      </c>
      <c r="AI21" s="2151" t="s">
        <v>1837</v>
      </c>
      <c r="AJ21" s="2161"/>
      <c r="AK21" s="2149">
        <f>LARGE(AK4:AK20,1)+1</f>
        <v>74</v>
      </c>
      <c r="AL21" s="2151" t="s">
        <v>1836</v>
      </c>
      <c r="AM21" s="1279"/>
      <c r="AN21" s="1279"/>
      <c r="AO21" s="2131"/>
      <c r="AP21" s="2133" t="s">
        <v>1835</v>
      </c>
      <c r="AR21" s="2127">
        <v>15</v>
      </c>
      <c r="AS21" s="2126" t="s">
        <v>1834</v>
      </c>
      <c r="AT21" s="2126"/>
      <c r="AU21" s="2180"/>
      <c r="AV21" s="2127">
        <v>4</v>
      </c>
      <c r="AW21" s="2126" t="s">
        <v>1833</v>
      </c>
      <c r="AX21" s="2126"/>
    </row>
    <row r="22" spans="2:50" s="1375" customFormat="1" ht="23.25" customHeight="1">
      <c r="B22" s="2144">
        <f>LARGE(B5:B21,1)+1</f>
        <v>15</v>
      </c>
      <c r="C22" s="2145" t="s">
        <v>1748</v>
      </c>
      <c r="D22" s="2144">
        <f>LARGE(D5:D21,1)+1</f>
        <v>27</v>
      </c>
      <c r="E22" s="2145" t="s">
        <v>1832</v>
      </c>
      <c r="F22" s="2144">
        <f>LARGE(F5:F21,1)+1</f>
        <v>48</v>
      </c>
      <c r="G22" s="2145" t="s">
        <v>1815</v>
      </c>
      <c r="H22" s="2144"/>
      <c r="I22" s="2177"/>
      <c r="J22" s="2157"/>
      <c r="K22" s="1487"/>
      <c r="L22" s="2144">
        <f>LARGE(L5:L21,1)+1</f>
        <v>16</v>
      </c>
      <c r="M22" s="2145" t="s">
        <v>1655</v>
      </c>
      <c r="N22" s="2144">
        <f>LARGE(N5:N21,1)+1</f>
        <v>62</v>
      </c>
      <c r="O22" s="2145" t="s">
        <v>1578</v>
      </c>
      <c r="P22" s="2144">
        <f>LARGE(P5:P21,1)+1</f>
        <v>105</v>
      </c>
      <c r="Q22" s="2145" t="s">
        <v>1831</v>
      </c>
      <c r="R22" s="2144">
        <f>LARGE(R5:R21,1)+1</f>
        <v>145</v>
      </c>
      <c r="S22" s="2145" t="s">
        <v>1830</v>
      </c>
      <c r="T22" s="2157"/>
      <c r="V22" s="2144">
        <f>LARGE(V5:V21,1)+1</f>
        <v>17</v>
      </c>
      <c r="W22" s="2145" t="s">
        <v>1829</v>
      </c>
      <c r="X22" s="2144">
        <f>LARGE(X5:X21,1)+1</f>
        <v>73</v>
      </c>
      <c r="Y22" s="2145" t="s">
        <v>1828</v>
      </c>
      <c r="Z22" s="2144">
        <f>LARGE(Z5:Z21,1)+1</f>
        <v>130</v>
      </c>
      <c r="AA22" s="2145" t="s">
        <v>1634</v>
      </c>
      <c r="AB22" s="2144">
        <f>LARGE(AB5:AB21,1)+1</f>
        <v>180</v>
      </c>
      <c r="AC22" s="2145" t="s">
        <v>1827</v>
      </c>
      <c r="AD22" s="2144">
        <f>LARGE(AD5:AD21,1)+1</f>
        <v>234</v>
      </c>
      <c r="AE22" s="2145" t="s">
        <v>1826</v>
      </c>
      <c r="AF22" s="2143">
        <f>LARGE(AF5:AF21,1)+1</f>
        <v>283</v>
      </c>
      <c r="AG22" s="2145" t="s">
        <v>1825</v>
      </c>
      <c r="AH22" s="2149">
        <f>LARGE(AH4:AH21,1)+1</f>
        <v>19</v>
      </c>
      <c r="AI22" s="2151" t="s">
        <v>1824</v>
      </c>
      <c r="AJ22" s="2161"/>
      <c r="AK22" s="2149">
        <f>LARGE(AK4:AK21,1)+1</f>
        <v>75</v>
      </c>
      <c r="AL22" s="2151" t="s">
        <v>1823</v>
      </c>
      <c r="AM22" s="1279"/>
      <c r="AN22" s="1279"/>
      <c r="AO22" s="2131"/>
      <c r="AP22" s="2133" t="s">
        <v>1822</v>
      </c>
      <c r="AR22" s="2127"/>
      <c r="AS22" s="2126"/>
      <c r="AT22" s="2126"/>
      <c r="AU22" s="2180"/>
      <c r="AV22" s="2127">
        <v>5</v>
      </c>
      <c r="AW22" s="2126" t="s">
        <v>1821</v>
      </c>
      <c r="AX22" s="2126"/>
    </row>
    <row r="23" spans="2:50" s="1375" customFormat="1" ht="23.25" customHeight="1">
      <c r="B23" s="2179"/>
      <c r="C23" s="476"/>
      <c r="D23" s="2144">
        <f>LARGE(D5:D22,1)+1</f>
        <v>28</v>
      </c>
      <c r="E23" s="2145" t="s">
        <v>1820</v>
      </c>
      <c r="F23" s="2144">
        <f>LARGE(F5:F22,1)+1</f>
        <v>49</v>
      </c>
      <c r="G23" s="2145" t="s">
        <v>1802</v>
      </c>
      <c r="H23" s="2144"/>
      <c r="I23" s="2177"/>
      <c r="J23" s="2157"/>
      <c r="K23" s="1487"/>
      <c r="L23" s="2144">
        <f>LARGE(L5:L22,1)+1</f>
        <v>17</v>
      </c>
      <c r="M23" s="2145" t="s">
        <v>1633</v>
      </c>
      <c r="N23" s="2144">
        <f>LARGE(N5:N22,1)+1</f>
        <v>63</v>
      </c>
      <c r="O23" s="2145" t="s">
        <v>1566</v>
      </c>
      <c r="P23" s="2144">
        <f>LARGE(P5:P22,1)+1</f>
        <v>106</v>
      </c>
      <c r="Q23" s="2145" t="s">
        <v>1819</v>
      </c>
      <c r="R23" s="2144">
        <f>LARGE(R5:R22,1)+1</f>
        <v>146</v>
      </c>
      <c r="S23" s="2145" t="s">
        <v>1818</v>
      </c>
      <c r="T23" s="2157"/>
      <c r="V23" s="2144">
        <f>LARGE(V5:V22,1)+1</f>
        <v>18</v>
      </c>
      <c r="W23" s="2145" t="s">
        <v>1817</v>
      </c>
      <c r="X23" s="2144">
        <f>LARGE(X5:X22,1)+1</f>
        <v>74</v>
      </c>
      <c r="Y23" s="2145" t="s">
        <v>1816</v>
      </c>
      <c r="Z23" s="2144">
        <f>LARGE(Z5:Z22,1)+1</f>
        <v>131</v>
      </c>
      <c r="AA23" s="2145" t="s">
        <v>1613</v>
      </c>
      <c r="AB23" s="2144">
        <f>LARGE(AB5:AB22,1)+1</f>
        <v>181</v>
      </c>
      <c r="AC23" s="2145" t="s">
        <v>1807</v>
      </c>
      <c r="AD23" s="2144">
        <f>LARGE(AD5:AD22,1)+1</f>
        <v>235</v>
      </c>
      <c r="AE23" s="2145" t="s">
        <v>1815</v>
      </c>
      <c r="AF23" s="2143">
        <f>LARGE(AF5:AF22,1)+1</f>
        <v>284</v>
      </c>
      <c r="AG23" s="2145" t="s">
        <v>1814</v>
      </c>
      <c r="AH23" s="2149">
        <f>LARGE(AH4:AH22,1)+1</f>
        <v>20</v>
      </c>
      <c r="AI23" s="2151" t="s">
        <v>1813</v>
      </c>
      <c r="AJ23" s="2161"/>
      <c r="AK23" s="2149">
        <f>LARGE(AK4:AK22,1)+1</f>
        <v>76</v>
      </c>
      <c r="AL23" s="2151" t="s">
        <v>1812</v>
      </c>
      <c r="AM23" s="1279"/>
      <c r="AN23" s="1279"/>
      <c r="AO23" s="2131"/>
      <c r="AP23" s="2133" t="s">
        <v>1811</v>
      </c>
      <c r="AR23" s="2127"/>
      <c r="AS23" s="4889" t="s">
        <v>1810</v>
      </c>
      <c r="AT23" s="4889"/>
      <c r="AU23" s="2180"/>
      <c r="AV23" s="2127">
        <v>6</v>
      </c>
      <c r="AW23" s="2126" t="s">
        <v>1809</v>
      </c>
      <c r="AX23" s="2126"/>
    </row>
    <row r="24" spans="2:50" s="1375" customFormat="1" ht="23.25">
      <c r="B24" s="2179"/>
      <c r="C24" s="476"/>
      <c r="D24" s="2144">
        <f>LARGE(D5:D23,1)+1</f>
        <v>29</v>
      </c>
      <c r="E24" s="2145" t="s">
        <v>1808</v>
      </c>
      <c r="F24" s="2144">
        <f>LARGE(F5:F23,1)+1</f>
        <v>50</v>
      </c>
      <c r="G24" s="2145" t="s">
        <v>1791</v>
      </c>
      <c r="H24" s="2144"/>
      <c r="I24" s="2177"/>
      <c r="J24" s="2157"/>
      <c r="K24" s="1487"/>
      <c r="L24" s="2144">
        <f>LARGE(L5:L23,1)+1</f>
        <v>18</v>
      </c>
      <c r="M24" s="2145" t="s">
        <v>1622</v>
      </c>
      <c r="N24" s="2144">
        <f>LARGE(N5:N23,1)+1</f>
        <v>64</v>
      </c>
      <c r="O24" s="2145" t="s">
        <v>1553</v>
      </c>
      <c r="P24" s="2144">
        <f>LARGE(P5:P23,1)+1</f>
        <v>107</v>
      </c>
      <c r="Q24" s="2145" t="s">
        <v>1807</v>
      </c>
      <c r="R24" s="2144">
        <f>LARGE(R5:R23,1)+1</f>
        <v>147</v>
      </c>
      <c r="S24" s="2145" t="s">
        <v>1806</v>
      </c>
      <c r="T24" s="2157"/>
      <c r="V24" s="2144">
        <f>LARGE(V5:V23,1)+1</f>
        <v>19</v>
      </c>
      <c r="W24" s="2145" t="s">
        <v>1805</v>
      </c>
      <c r="X24" s="2144">
        <f>LARGE(X5:X23,1)+1</f>
        <v>75</v>
      </c>
      <c r="Y24" s="2145" t="s">
        <v>1804</v>
      </c>
      <c r="Z24" s="2144">
        <f>LARGE(Z5:Z23,1)+1</f>
        <v>132</v>
      </c>
      <c r="AA24" s="2145" t="s">
        <v>1803</v>
      </c>
      <c r="AB24" s="2144">
        <f>LARGE(AB5:AB23,1)+1</f>
        <v>182</v>
      </c>
      <c r="AC24" s="2145" t="s">
        <v>1795</v>
      </c>
      <c r="AD24" s="2144">
        <f>LARGE(AD5:AD23,1)+1</f>
        <v>236</v>
      </c>
      <c r="AE24" s="2145" t="s">
        <v>1802</v>
      </c>
      <c r="AF24" s="2143"/>
      <c r="AG24" s="2162"/>
      <c r="AH24" s="2149">
        <f>LARGE(AH4:AH23,1)+1</f>
        <v>21</v>
      </c>
      <c r="AI24" s="2151" t="s">
        <v>1801</v>
      </c>
      <c r="AJ24" s="2161"/>
      <c r="AK24" s="2149">
        <f>LARGE(AK4:AK23,1)+1</f>
        <v>77</v>
      </c>
      <c r="AL24" s="2151" t="s">
        <v>1800</v>
      </c>
      <c r="AM24" s="1279"/>
      <c r="AN24" s="1279"/>
      <c r="AO24" s="2131"/>
      <c r="AP24" s="2133" t="s">
        <v>1799</v>
      </c>
      <c r="AR24" s="2127"/>
      <c r="AS24" s="4889"/>
      <c r="AT24" s="4889"/>
      <c r="AU24" s="2180"/>
      <c r="AV24" s="2127">
        <v>7</v>
      </c>
      <c r="AW24" s="2126" t="s">
        <v>1798</v>
      </c>
      <c r="AX24" s="2126"/>
    </row>
    <row r="25" spans="2:50" s="1375" customFormat="1" ht="25.5">
      <c r="B25" s="2179"/>
      <c r="C25" s="476"/>
      <c r="D25" s="2144">
        <f>LARGE(D5:D24,1)+1</f>
        <v>30</v>
      </c>
      <c r="E25" s="2145" t="s">
        <v>1797</v>
      </c>
      <c r="F25" s="2144"/>
      <c r="G25" s="2178"/>
      <c r="H25" s="2144"/>
      <c r="I25" s="2177"/>
      <c r="J25" s="2157"/>
      <c r="K25" s="1487"/>
      <c r="L25" s="2144">
        <f>LARGE(L5:L24,1)+1</f>
        <v>19</v>
      </c>
      <c r="M25" s="2145" t="s">
        <v>1612</v>
      </c>
      <c r="N25" s="2144">
        <f>LARGE(N5:N24,1)+1</f>
        <v>65</v>
      </c>
      <c r="O25" s="2145" t="s">
        <v>1796</v>
      </c>
      <c r="P25" s="2144">
        <f>LARGE(P5:P24,1)+1</f>
        <v>108</v>
      </c>
      <c r="Q25" s="2145" t="s">
        <v>1795</v>
      </c>
      <c r="R25" s="2144">
        <f>LARGE(R5:R24,1)+1</f>
        <v>148</v>
      </c>
      <c r="S25" s="2145" t="s">
        <v>1794</v>
      </c>
      <c r="T25" s="2157"/>
      <c r="V25" s="2144">
        <f>LARGE(V5:V24,1)+1</f>
        <v>20</v>
      </c>
      <c r="W25" s="2145" t="s">
        <v>1793</v>
      </c>
      <c r="X25" s="2144">
        <f>LARGE(X5:X24,1)+1</f>
        <v>76</v>
      </c>
      <c r="Y25" s="2145" t="s">
        <v>1792</v>
      </c>
      <c r="Z25" s="2144">
        <f>LARGE(Z5:Z24,1)+1</f>
        <v>133</v>
      </c>
      <c r="AA25" s="2145" t="s">
        <v>1601</v>
      </c>
      <c r="AB25" s="2144">
        <f>LARGE(AB5:AB24,1)+1</f>
        <v>183</v>
      </c>
      <c r="AC25" s="2145" t="s">
        <v>1784</v>
      </c>
      <c r="AD25" s="2144">
        <f>LARGE(AD5:AD24,1)+1</f>
        <v>237</v>
      </c>
      <c r="AE25" s="2145" t="s">
        <v>1791</v>
      </c>
      <c r="AF25" s="2143"/>
      <c r="AG25" s="2158" t="s">
        <v>1175</v>
      </c>
      <c r="AH25" s="2149">
        <f>LARGE(AH4:AH24,1)+1</f>
        <v>22</v>
      </c>
      <c r="AI25" s="2151" t="s">
        <v>1790</v>
      </c>
      <c r="AJ25" s="2161"/>
      <c r="AK25" s="2149">
        <f>LARGE(AK4:AK24,1)+1</f>
        <v>78</v>
      </c>
      <c r="AL25" s="2151" t="s">
        <v>1789</v>
      </c>
      <c r="AM25" s="1279"/>
      <c r="AN25" s="1279"/>
      <c r="AO25" s="2131"/>
      <c r="AP25" s="2133" t="s">
        <v>1788</v>
      </c>
      <c r="AR25" s="2127"/>
      <c r="AS25" s="4887" t="s">
        <v>1787</v>
      </c>
      <c r="AT25" s="4887"/>
      <c r="AU25" s="2180"/>
      <c r="AV25" s="2127">
        <v>8</v>
      </c>
      <c r="AW25" s="2126" t="s">
        <v>1786</v>
      </c>
      <c r="AX25" s="2171"/>
    </row>
    <row r="26" spans="2:50" s="1375" customFormat="1" ht="30">
      <c r="B26" s="2179"/>
      <c r="C26" s="476"/>
      <c r="D26" s="2144">
        <f>LARGE(D5:D25,1)+1</f>
        <v>31</v>
      </c>
      <c r="E26" s="2145" t="s">
        <v>1785</v>
      </c>
      <c r="F26" s="2144"/>
      <c r="G26" s="2178"/>
      <c r="H26" s="2144"/>
      <c r="I26" s="2177"/>
      <c r="J26" s="2157"/>
      <c r="K26" s="1487"/>
      <c r="L26" s="2144">
        <f>LARGE(L5:L25,1)+1</f>
        <v>20</v>
      </c>
      <c r="M26" s="2145" t="s">
        <v>1600</v>
      </c>
      <c r="N26" s="2144">
        <f>LARGE(N5:N25,1)+1</f>
        <v>66</v>
      </c>
      <c r="O26" s="2145" t="s">
        <v>1503</v>
      </c>
      <c r="P26" s="2144">
        <f>LARGE(P5:P25,1)+1</f>
        <v>109</v>
      </c>
      <c r="Q26" s="2145" t="s">
        <v>1784</v>
      </c>
      <c r="R26" s="2144">
        <f>LARGE(R5:R25,1)+1</f>
        <v>149</v>
      </c>
      <c r="S26" s="2145" t="s">
        <v>1783</v>
      </c>
      <c r="T26" s="2157"/>
      <c r="V26" s="2144">
        <f>LARGE(V5:V25,1)+1</f>
        <v>21</v>
      </c>
      <c r="W26" s="2145" t="s">
        <v>1782</v>
      </c>
      <c r="X26" s="2144">
        <f>LARGE(X5:X25,1)+1</f>
        <v>77</v>
      </c>
      <c r="Y26" s="2145" t="s">
        <v>1781</v>
      </c>
      <c r="Z26" s="2144">
        <f>LARGE(Z5:Z25,1)+1</f>
        <v>134</v>
      </c>
      <c r="AA26" s="2145" t="s">
        <v>1590</v>
      </c>
      <c r="AB26" s="2144">
        <f>LARGE(AB5:AB25,1)+1</f>
        <v>184</v>
      </c>
      <c r="AC26" s="2145" t="s">
        <v>1776</v>
      </c>
      <c r="AD26" s="2144">
        <f>LARGE(AD5:AD25,1)+1</f>
        <v>238</v>
      </c>
      <c r="AE26" s="2145" t="s">
        <v>1780</v>
      </c>
      <c r="AF26" s="2143">
        <f>LARGE(AF5:AF25,1)+1</f>
        <v>285</v>
      </c>
      <c r="AG26" s="2145" t="s">
        <v>1713</v>
      </c>
      <c r="AH26" s="2149">
        <f>LARGE(AH4:AH25,1)+1</f>
        <v>23</v>
      </c>
      <c r="AI26" s="2151" t="s">
        <v>1779</v>
      </c>
      <c r="AJ26" s="2161"/>
      <c r="AK26" s="2149">
        <f>LARGE(AK4:AK25,1)+1</f>
        <v>79</v>
      </c>
      <c r="AL26" s="2151" t="s">
        <v>1778</v>
      </c>
      <c r="AM26" s="1279"/>
      <c r="AN26" s="1279"/>
      <c r="AO26" s="2131"/>
      <c r="AP26" s="2134" t="s">
        <v>39</v>
      </c>
      <c r="AR26" s="2127"/>
      <c r="AS26" s="4887"/>
      <c r="AT26" s="4887"/>
      <c r="AU26" s="2124"/>
      <c r="AV26" s="2127">
        <v>9</v>
      </c>
      <c r="AW26" s="2126" t="s">
        <v>1777</v>
      </c>
      <c r="AX26" s="2171"/>
    </row>
    <row r="27" spans="2:50" s="1375" customFormat="1" ht="19.5" thickBot="1">
      <c r="B27" s="2176"/>
      <c r="C27" s="2174"/>
      <c r="D27" s="2174"/>
      <c r="E27" s="2174"/>
      <c r="F27" s="2174"/>
      <c r="G27" s="2174"/>
      <c r="H27" s="2175"/>
      <c r="I27" s="2174"/>
      <c r="J27" s="2173"/>
      <c r="K27" s="1487"/>
      <c r="L27" s="2144">
        <f>LARGE(L5:L26,1)+1</f>
        <v>21</v>
      </c>
      <c r="M27" s="2145" t="s">
        <v>1579</v>
      </c>
      <c r="N27" s="2144">
        <f>LARGE(N5:N26,1)+1</f>
        <v>67</v>
      </c>
      <c r="O27" s="2145" t="s">
        <v>1493</v>
      </c>
      <c r="P27" s="2144">
        <f>LARGE(P5:P26,1)+1</f>
        <v>110</v>
      </c>
      <c r="Q27" s="2145" t="s">
        <v>1776</v>
      </c>
      <c r="R27" s="2144">
        <f>LARGE(R5:R26,1)+1</f>
        <v>150</v>
      </c>
      <c r="S27" s="2145" t="s">
        <v>1775</v>
      </c>
      <c r="T27" s="2157"/>
      <c r="V27" s="2144">
        <f>LARGE(V5:V26,1)+1</f>
        <v>22</v>
      </c>
      <c r="W27" s="2145" t="s">
        <v>1774</v>
      </c>
      <c r="X27" s="2144">
        <f>LARGE(X5:X26,1)+1</f>
        <v>78</v>
      </c>
      <c r="Y27" s="2145" t="s">
        <v>1773</v>
      </c>
      <c r="Z27" s="2144"/>
      <c r="AA27" s="2159"/>
      <c r="AB27" s="2144">
        <f>LARGE(AB5:AB26,1)+1</f>
        <v>185</v>
      </c>
      <c r="AC27" s="2145" t="s">
        <v>1772</v>
      </c>
      <c r="AD27" s="2144">
        <f>LARGE(AD5:AD26,1)+1</f>
        <v>239</v>
      </c>
      <c r="AE27" s="2145" t="s">
        <v>1771</v>
      </c>
      <c r="AF27" s="2143">
        <f>LARGE(AF5:AF26,1)+1</f>
        <v>286</v>
      </c>
      <c r="AG27" s="2145" t="s">
        <v>1770</v>
      </c>
      <c r="AH27" s="2149">
        <f>LARGE(AH4:AH26,1)+1</f>
        <v>24</v>
      </c>
      <c r="AI27" s="2151" t="s">
        <v>1769</v>
      </c>
      <c r="AJ27" s="2161"/>
      <c r="AK27" s="2149">
        <f>LARGE(AK4:AK26,1)+1</f>
        <v>80</v>
      </c>
      <c r="AL27" s="2151" t="s">
        <v>1768</v>
      </c>
      <c r="AM27" s="1279"/>
      <c r="AN27" s="1279"/>
      <c r="AO27" s="2131"/>
      <c r="AP27" s="2133" t="s">
        <v>1767</v>
      </c>
      <c r="AR27" s="2127"/>
      <c r="AS27" s="2126"/>
      <c r="AT27" s="2126"/>
      <c r="AU27" s="2124"/>
      <c r="AV27" s="4888">
        <v>10</v>
      </c>
      <c r="AW27" s="4884" t="s">
        <v>1766</v>
      </c>
      <c r="AX27" s="4884"/>
    </row>
    <row r="28" spans="2:50" s="1375" customFormat="1" ht="29.25" customHeight="1">
      <c r="B28" s="1487"/>
      <c r="C28" s="1487"/>
      <c r="D28" s="1487"/>
      <c r="E28" s="1487"/>
      <c r="F28" s="1487"/>
      <c r="G28" s="1487"/>
      <c r="H28" s="1487"/>
      <c r="I28" s="1487"/>
      <c r="J28" s="1487"/>
      <c r="K28" s="1487"/>
      <c r="L28" s="2144">
        <f>LARGE(L5:L27,1)+1</f>
        <v>22</v>
      </c>
      <c r="M28" s="2145" t="s">
        <v>1567</v>
      </c>
      <c r="N28" s="2144">
        <f>LARGE(N5:N27,1)+1</f>
        <v>68</v>
      </c>
      <c r="O28" s="2145" t="s">
        <v>1475</v>
      </c>
      <c r="P28" s="2144"/>
      <c r="Q28" s="2160" t="s">
        <v>1233</v>
      </c>
      <c r="R28" s="2144">
        <f>LARGE(R5:R27,1)+1</f>
        <v>151</v>
      </c>
      <c r="S28" s="2145" t="s">
        <v>1765</v>
      </c>
      <c r="T28" s="2157"/>
      <c r="V28" s="2144">
        <f>LARGE(V5:V27,1)+1</f>
        <v>23</v>
      </c>
      <c r="W28" s="2145" t="s">
        <v>1764</v>
      </c>
      <c r="X28" s="2144">
        <f>LARGE(X5:X27,1)+1</f>
        <v>79</v>
      </c>
      <c r="Y28" s="2145" t="s">
        <v>1763</v>
      </c>
      <c r="Z28" s="2144"/>
      <c r="AA28" s="2147" t="s">
        <v>18</v>
      </c>
      <c r="AB28" s="2144">
        <f>LARGE(AB5:AB27,1)+1</f>
        <v>186</v>
      </c>
      <c r="AC28" s="2145" t="s">
        <v>1762</v>
      </c>
      <c r="AD28" s="2144">
        <f>LARGE(AD5:AD27,1)+1</f>
        <v>240</v>
      </c>
      <c r="AE28" s="2145" t="s">
        <v>1761</v>
      </c>
      <c r="AF28" s="2143">
        <f>LARGE(AF5:AF27,1)+1</f>
        <v>287</v>
      </c>
      <c r="AG28" s="2145" t="s">
        <v>1760</v>
      </c>
      <c r="AH28" s="2149">
        <f>LARGE(AH4:AH27,1)+1</f>
        <v>25</v>
      </c>
      <c r="AI28" s="2151" t="s">
        <v>1759</v>
      </c>
      <c r="AJ28" s="2161"/>
      <c r="AK28" s="2149">
        <f>LARGE(AK4:AK27,1)+1</f>
        <v>81</v>
      </c>
      <c r="AL28" s="2151" t="s">
        <v>1758</v>
      </c>
      <c r="AM28" s="1279"/>
      <c r="AN28" s="1279"/>
      <c r="AO28" s="2131"/>
      <c r="AP28" s="2133" t="s">
        <v>1757</v>
      </c>
      <c r="AR28" s="2124"/>
      <c r="AS28" s="2124"/>
      <c r="AT28" s="2124"/>
      <c r="AU28" s="2124"/>
      <c r="AV28" s="4888"/>
      <c r="AW28" s="4884"/>
      <c r="AX28" s="4884"/>
    </row>
    <row r="29" spans="2:50" s="1375" customFormat="1" ht="25.5">
      <c r="B29" s="1487"/>
      <c r="C29" s="1487"/>
      <c r="D29" s="1487"/>
      <c r="E29" s="1487"/>
      <c r="F29" s="1487"/>
      <c r="G29" s="1487"/>
      <c r="H29" s="1487"/>
      <c r="I29" s="1487"/>
      <c r="J29" s="1487"/>
      <c r="K29" s="1487"/>
      <c r="L29" s="2144">
        <f>LARGE(L5:L28,1)+1</f>
        <v>23</v>
      </c>
      <c r="M29" s="2145" t="s">
        <v>1554</v>
      </c>
      <c r="N29" s="2144">
        <f>LARGE(N5:N28,1)+1</f>
        <v>69</v>
      </c>
      <c r="O29" s="2145" t="s">
        <v>1445</v>
      </c>
      <c r="P29" s="2144">
        <f>LARGE(P5:P28,1)+1</f>
        <v>111</v>
      </c>
      <c r="Q29" s="2145" t="s">
        <v>1746</v>
      </c>
      <c r="R29" s="2144">
        <f>LARGE(R5:R28,1)+1</f>
        <v>152</v>
      </c>
      <c r="S29" s="2145" t="s">
        <v>1756</v>
      </c>
      <c r="T29" s="2157"/>
      <c r="V29" s="2144"/>
      <c r="W29" s="476"/>
      <c r="X29" s="2144">
        <f>LARGE(X5:X28,1)+1</f>
        <v>80</v>
      </c>
      <c r="Y29" s="2145" t="s">
        <v>1755</v>
      </c>
      <c r="Z29" s="2144">
        <f>LARGE(Z5:Z28,1)+1</f>
        <v>135</v>
      </c>
      <c r="AA29" s="2145" t="s">
        <v>1754</v>
      </c>
      <c r="AB29" s="2144"/>
      <c r="AC29" s="2147" t="s">
        <v>1233</v>
      </c>
      <c r="AD29" s="2144">
        <f>LARGE(AD5:AD28,1)+1</f>
        <v>241</v>
      </c>
      <c r="AE29" s="2145" t="s">
        <v>1753</v>
      </c>
      <c r="AF29" s="2143">
        <f>LARGE(AF5:AF28,1)+1</f>
        <v>288</v>
      </c>
      <c r="AG29" s="2145" t="s">
        <v>1704</v>
      </c>
      <c r="AH29" s="2149">
        <f>LARGE(AH4:AH28,1)+1</f>
        <v>26</v>
      </c>
      <c r="AI29" s="2151" t="s">
        <v>1752</v>
      </c>
      <c r="AJ29" s="2161"/>
      <c r="AK29" s="2149">
        <f>LARGE(AK4:AK28,1)+1</f>
        <v>82</v>
      </c>
      <c r="AL29" s="2151" t="s">
        <v>1751</v>
      </c>
      <c r="AM29" s="1279"/>
      <c r="AN29" s="1279"/>
      <c r="AO29" s="2131"/>
      <c r="AP29" s="2133" t="s">
        <v>1750</v>
      </c>
      <c r="AR29" s="2124"/>
      <c r="AS29" s="2124"/>
      <c r="AT29" s="2124"/>
      <c r="AU29" s="2124"/>
      <c r="AV29" s="2127"/>
      <c r="AW29" s="2172"/>
      <c r="AX29" s="2172"/>
    </row>
    <row r="30" spans="2:50" s="1375" customFormat="1" ht="18.75">
      <c r="B30" s="1487"/>
      <c r="C30" s="1487"/>
      <c r="D30" s="1487"/>
      <c r="E30" s="1487"/>
      <c r="F30" s="1487"/>
      <c r="G30" s="1487"/>
      <c r="H30" s="1487"/>
      <c r="I30" s="1487"/>
      <c r="J30" s="1487"/>
      <c r="K30" s="1487"/>
      <c r="L30" s="2144">
        <f>LARGE(L5:L29,1)+1</f>
        <v>24</v>
      </c>
      <c r="M30" s="2145" t="s">
        <v>1543</v>
      </c>
      <c r="N30" s="2144">
        <f>LARGE(N5:N29,1)+1</f>
        <v>70</v>
      </c>
      <c r="O30" s="2145" t="s">
        <v>1439</v>
      </c>
      <c r="P30" s="2144">
        <f>LARGE(P5:P29,1)+1</f>
        <v>112</v>
      </c>
      <c r="Q30" s="2145" t="s">
        <v>1737</v>
      </c>
      <c r="R30" s="2144">
        <f>LARGE(R5:R29,1)+1</f>
        <v>153</v>
      </c>
      <c r="S30" s="2145" t="s">
        <v>1749</v>
      </c>
      <c r="T30" s="2157"/>
      <c r="V30" s="2144"/>
      <c r="W30" s="2147" t="s">
        <v>39</v>
      </c>
      <c r="X30" s="2144">
        <f>LARGE(X5:X29,1)+1</f>
        <v>81</v>
      </c>
      <c r="Y30" s="2145" t="s">
        <v>1748</v>
      </c>
      <c r="Z30" s="2144">
        <f>LARGE(Z5:Z29,1)+1</f>
        <v>136</v>
      </c>
      <c r="AA30" s="2145" t="s">
        <v>1747</v>
      </c>
      <c r="AB30" s="2144">
        <f>LARGE(AB5:AB29,1)+1</f>
        <v>187</v>
      </c>
      <c r="AC30" s="2145" t="s">
        <v>1746</v>
      </c>
      <c r="AD30" s="2144">
        <f>LARGE(AD5:AD29,1)+1</f>
        <v>242</v>
      </c>
      <c r="AE30" s="2145" t="s">
        <v>1745</v>
      </c>
      <c r="AF30" s="2143">
        <f>LARGE(AF5:AF29,1)+1</f>
        <v>289</v>
      </c>
      <c r="AG30" s="2145" t="s">
        <v>1694</v>
      </c>
      <c r="AH30" s="2149">
        <f>LARGE(AH4:AH29,1)+1</f>
        <v>27</v>
      </c>
      <c r="AI30" s="2151" t="s">
        <v>1744</v>
      </c>
      <c r="AJ30" s="2161"/>
      <c r="AK30" s="2149">
        <f>LARGE(AK4:AK29,1)+1</f>
        <v>83</v>
      </c>
      <c r="AL30" s="2151" t="s">
        <v>1743</v>
      </c>
      <c r="AM30" s="1279"/>
      <c r="AN30" s="1279"/>
      <c r="AO30" s="2131"/>
      <c r="AP30" s="2133" t="s">
        <v>1742</v>
      </c>
      <c r="AR30" s="2166"/>
      <c r="AS30" s="2166"/>
      <c r="AT30" s="2166"/>
      <c r="AU30" s="2166"/>
      <c r="AV30" s="2140" t="s">
        <v>60</v>
      </c>
      <c r="AW30" s="2139" t="s">
        <v>1741</v>
      </c>
      <c r="AX30" s="2171"/>
    </row>
    <row r="31" spans="2:50" s="1375" customFormat="1" ht="18.75">
      <c r="B31" s="1487"/>
      <c r="C31" s="1487"/>
      <c r="D31" s="1487"/>
      <c r="E31" s="1487"/>
      <c r="F31" s="1487"/>
      <c r="G31" s="1487"/>
      <c r="H31" s="1487"/>
      <c r="I31" s="1487"/>
      <c r="J31" s="1487"/>
      <c r="K31" s="1487"/>
      <c r="L31" s="2144">
        <f>LARGE(L5:L30,1)+1</f>
        <v>25</v>
      </c>
      <c r="M31" s="2145" t="s">
        <v>1520</v>
      </c>
      <c r="N31" s="2144">
        <f>LARGE(N5:N30,1)+1</f>
        <v>71</v>
      </c>
      <c r="O31" s="2145" t="s">
        <v>1433</v>
      </c>
      <c r="P31" s="2144"/>
      <c r="Q31" s="476"/>
      <c r="R31" s="2144">
        <f>LARGE(R5:R30,1)+1</f>
        <v>154</v>
      </c>
      <c r="S31" s="2145" t="s">
        <v>1740</v>
      </c>
      <c r="T31" s="2157"/>
      <c r="V31" s="2144">
        <f>LARGE(V5:V30,1)+1</f>
        <v>24</v>
      </c>
      <c r="W31" s="2145" t="s">
        <v>1739</v>
      </c>
      <c r="X31" s="2144">
        <f>LARGE(X5:X30,1)+1</f>
        <v>82</v>
      </c>
      <c r="Y31" s="2145" t="s">
        <v>1738</v>
      </c>
      <c r="Z31" s="2144">
        <f>LARGE(Z5:Z30,1)+1</f>
        <v>137</v>
      </c>
      <c r="AA31" s="2145" t="s">
        <v>1569</v>
      </c>
      <c r="AB31" s="2144">
        <f>LARGE(AB5:AB30,1)+1</f>
        <v>188</v>
      </c>
      <c r="AC31" s="2145" t="s">
        <v>1737</v>
      </c>
      <c r="AD31" s="2144">
        <f>LARGE(AD5:AD30,1)+1</f>
        <v>243</v>
      </c>
      <c r="AE31" s="2145" t="s">
        <v>1736</v>
      </c>
      <c r="AF31" s="2143"/>
      <c r="AG31" s="2162"/>
      <c r="AH31" s="2149">
        <f>LARGE(AH4:AH30,1)+1</f>
        <v>28</v>
      </c>
      <c r="AI31" s="2151" t="s">
        <v>1735</v>
      </c>
      <c r="AJ31" s="2161"/>
      <c r="AK31" s="2149">
        <f>LARGE(AK4:AK30,1)+1</f>
        <v>84</v>
      </c>
      <c r="AL31" s="2151" t="s">
        <v>1734</v>
      </c>
      <c r="AM31" s="1279"/>
      <c r="AN31" s="1279"/>
      <c r="AO31" s="2131"/>
      <c r="AP31" s="2133" t="s">
        <v>1733</v>
      </c>
      <c r="AR31" s="2169" t="s">
        <v>108</v>
      </c>
      <c r="AS31" s="2168" t="s">
        <v>1732</v>
      </c>
      <c r="AT31" s="2166"/>
      <c r="AU31" s="2166"/>
      <c r="AV31" s="4888">
        <v>1</v>
      </c>
      <c r="AW31" s="4884" t="s">
        <v>1731</v>
      </c>
      <c r="AX31" s="4884"/>
    </row>
    <row r="32" spans="2:50" s="1375" customFormat="1" ht="23.25" customHeight="1">
      <c r="B32" s="1487"/>
      <c r="C32" s="1487"/>
      <c r="D32" s="1487"/>
      <c r="E32" s="1487"/>
      <c r="F32" s="1487"/>
      <c r="G32" s="1487"/>
      <c r="H32" s="1487"/>
      <c r="I32" s="1487"/>
      <c r="J32" s="1487"/>
      <c r="K32" s="1487"/>
      <c r="L32" s="2144">
        <f>LARGE(L5:L31,1)+1</f>
        <v>26</v>
      </c>
      <c r="M32" s="2145" t="s">
        <v>1504</v>
      </c>
      <c r="N32" s="2144"/>
      <c r="O32" s="2160" t="s">
        <v>874</v>
      </c>
      <c r="P32" s="2144"/>
      <c r="Q32" s="2160" t="s">
        <v>54</v>
      </c>
      <c r="R32" s="2144"/>
      <c r="S32" s="1487"/>
      <c r="T32" s="2157"/>
      <c r="V32" s="2144">
        <f>LARGE(V5:V31,1)+1</f>
        <v>25</v>
      </c>
      <c r="W32" s="2145" t="s">
        <v>1730</v>
      </c>
      <c r="X32" s="2144">
        <f>LARGE(X5:X31,1)+1</f>
        <v>83</v>
      </c>
      <c r="Y32" s="2145" t="s">
        <v>1729</v>
      </c>
      <c r="Z32" s="2144">
        <f>LARGE(Z5:Z31,1)+1</f>
        <v>138</v>
      </c>
      <c r="AA32" s="2145" t="s">
        <v>1556</v>
      </c>
      <c r="AB32" s="2144"/>
      <c r="AC32" s="2158" t="s">
        <v>54</v>
      </c>
      <c r="AD32" s="2144">
        <f>LARGE(AD5:AD31,1)+1</f>
        <v>244</v>
      </c>
      <c r="AE32" s="2145" t="s">
        <v>1728</v>
      </c>
      <c r="AF32" s="2143"/>
      <c r="AG32" s="2147" t="s">
        <v>344</v>
      </c>
      <c r="AH32" s="2149">
        <f>LARGE(AH4:AH31,1)+1</f>
        <v>29</v>
      </c>
      <c r="AI32" s="2151" t="s">
        <v>1727</v>
      </c>
      <c r="AJ32" s="2161"/>
      <c r="AK32" s="2149">
        <f>LARGE(AK4:AK31,1)+1</f>
        <v>85</v>
      </c>
      <c r="AL32" s="2151" t="s">
        <v>1726</v>
      </c>
      <c r="AM32" s="1279"/>
      <c r="AN32" s="1279"/>
      <c r="AO32" s="2131"/>
      <c r="AP32" s="2133" t="s">
        <v>1725</v>
      </c>
      <c r="AR32" s="2125"/>
      <c r="AS32" s="2170"/>
      <c r="AT32" s="2166"/>
      <c r="AU32" s="2166"/>
      <c r="AV32" s="4888"/>
      <c r="AW32" s="4884"/>
      <c r="AX32" s="4884"/>
    </row>
    <row r="33" spans="2:50" s="1375" customFormat="1" ht="23.25">
      <c r="B33" s="1487"/>
      <c r="C33" s="1487"/>
      <c r="D33" s="1487"/>
      <c r="E33" s="1487"/>
      <c r="F33" s="1487"/>
      <c r="G33" s="1487"/>
      <c r="H33" s="1487"/>
      <c r="I33" s="1487"/>
      <c r="J33" s="1487"/>
      <c r="K33" s="1487"/>
      <c r="L33" s="2144">
        <f>LARGE(L5:L32,1)+1</f>
        <v>27</v>
      </c>
      <c r="M33" s="2145" t="s">
        <v>1494</v>
      </c>
      <c r="N33" s="2144">
        <f>LARGE(N5:N32,1)+1</f>
        <v>72</v>
      </c>
      <c r="O33" s="2145" t="s">
        <v>1724</v>
      </c>
      <c r="P33" s="2144">
        <f>LARGE(P5:P32,1)+1</f>
        <v>113</v>
      </c>
      <c r="Q33" s="2145" t="s">
        <v>1711</v>
      </c>
      <c r="R33" s="2144"/>
      <c r="S33" s="2165" t="s">
        <v>1175</v>
      </c>
      <c r="T33" s="2157"/>
      <c r="V33" s="2144">
        <f>LARGE(V5:V32,1)+1</f>
        <v>26</v>
      </c>
      <c r="W33" s="2145" t="s">
        <v>1712</v>
      </c>
      <c r="X33" s="2144">
        <f>LARGE(X5:X32,1)+1</f>
        <v>84</v>
      </c>
      <c r="Y33" s="2145" t="s">
        <v>1723</v>
      </c>
      <c r="Z33" s="2144">
        <f>LARGE(Z5:Z32,1)+1</f>
        <v>139</v>
      </c>
      <c r="AA33" s="2145" t="s">
        <v>1722</v>
      </c>
      <c r="AB33" s="2144">
        <f>LARGE(AB5:AB32,1)+1</f>
        <v>189</v>
      </c>
      <c r="AC33" s="2145" t="s">
        <v>1721</v>
      </c>
      <c r="AD33" s="2144">
        <f>LARGE(AD5:AD32,1)+1</f>
        <v>245</v>
      </c>
      <c r="AE33" s="2145" t="s">
        <v>1720</v>
      </c>
      <c r="AF33" s="2143">
        <f>LARGE(AF5:AF32,1)+1</f>
        <v>290</v>
      </c>
      <c r="AG33" s="2145" t="s">
        <v>1666</v>
      </c>
      <c r="AH33" s="2149">
        <f>LARGE(AH4:AH32,1)+1</f>
        <v>30</v>
      </c>
      <c r="AI33" s="2151" t="s">
        <v>1719</v>
      </c>
      <c r="AJ33" s="2161"/>
      <c r="AK33" s="2149">
        <f>LARGE(AK4:AK32,1)+1</f>
        <v>86</v>
      </c>
      <c r="AL33" s="2151" t="s">
        <v>1718</v>
      </c>
      <c r="AM33" s="1279"/>
      <c r="AN33" s="1279"/>
      <c r="AO33" s="2131"/>
      <c r="AP33" s="2133" t="s">
        <v>1717</v>
      </c>
      <c r="AR33" s="2169" t="s">
        <v>108</v>
      </c>
      <c r="AS33" s="2168" t="s">
        <v>1716</v>
      </c>
      <c r="AT33" s="2166"/>
      <c r="AU33" s="2166"/>
      <c r="AV33" s="2127">
        <v>2</v>
      </c>
      <c r="AW33" s="2126" t="s">
        <v>1715</v>
      </c>
      <c r="AX33" s="2126"/>
    </row>
    <row r="34" spans="2:50" s="1375" customFormat="1" ht="18.75">
      <c r="B34" s="1487"/>
      <c r="C34" s="1487"/>
      <c r="D34" s="1487"/>
      <c r="E34" s="1487"/>
      <c r="F34" s="1487"/>
      <c r="G34" s="1487"/>
      <c r="H34" s="1487"/>
      <c r="I34" s="1487"/>
      <c r="J34" s="1487"/>
      <c r="K34" s="1487"/>
      <c r="L34" s="2144">
        <f>LARGE(L5:L33,1)+1</f>
        <v>28</v>
      </c>
      <c r="M34" s="2145" t="s">
        <v>1486</v>
      </c>
      <c r="N34" s="2144">
        <f>LARGE(N5:N33,1)+1</f>
        <v>73</v>
      </c>
      <c r="O34" s="2145" t="s">
        <v>1714</v>
      </c>
      <c r="P34" s="2144">
        <f>LARGE(P5:P33,1)+1</f>
        <v>114</v>
      </c>
      <c r="Q34" s="2145" t="s">
        <v>1702</v>
      </c>
      <c r="R34" s="2144">
        <f>LARGE(R5:R33,1)+1</f>
        <v>155</v>
      </c>
      <c r="S34" s="2145" t="s">
        <v>1713</v>
      </c>
      <c r="T34" s="2157"/>
      <c r="V34" s="2144">
        <f>LARGE(V5:V33,1)+1</f>
        <v>27</v>
      </c>
      <c r="W34" s="2145" t="s">
        <v>1712</v>
      </c>
      <c r="X34" s="2144"/>
      <c r="Y34" s="476"/>
      <c r="Z34" s="2144">
        <f>LARGE(Z5:Z33,1)+1</f>
        <v>140</v>
      </c>
      <c r="AA34" s="2145" t="s">
        <v>1545</v>
      </c>
      <c r="AB34" s="2144">
        <f>LARGE(AB5:AB33,1)+1</f>
        <v>190</v>
      </c>
      <c r="AC34" s="2145" t="s">
        <v>1711</v>
      </c>
      <c r="AD34" s="2144">
        <f>LARGE(AD5:AD33,1)+1</f>
        <v>246</v>
      </c>
      <c r="AE34" s="2145" t="s">
        <v>1710</v>
      </c>
      <c r="AF34" s="2156"/>
      <c r="AG34" s="2156"/>
      <c r="AH34" s="2149">
        <f>LARGE(AH4:AH33,1)+1</f>
        <v>31</v>
      </c>
      <c r="AI34" s="2151" t="s">
        <v>1709</v>
      </c>
      <c r="AJ34" s="2161"/>
      <c r="AK34" s="2149">
        <f>LARGE(AK4:AK33,1)+1</f>
        <v>87</v>
      </c>
      <c r="AL34" s="2151" t="s">
        <v>1708</v>
      </c>
      <c r="AM34" s="1279"/>
      <c r="AN34" s="1279"/>
      <c r="AO34" s="2131"/>
      <c r="AP34" s="2133" t="s">
        <v>1707</v>
      </c>
      <c r="AR34" s="2125"/>
      <c r="AS34" s="2170"/>
      <c r="AT34" s="2166"/>
      <c r="AU34" s="2166"/>
      <c r="AV34" s="2127">
        <v>3</v>
      </c>
      <c r="AW34" s="2126" t="s">
        <v>1706</v>
      </c>
      <c r="AX34" s="2126"/>
    </row>
    <row r="35" spans="2:50" s="1375" customFormat="1" ht="18.75">
      <c r="B35" s="1487"/>
      <c r="C35" s="1487"/>
      <c r="D35" s="1487"/>
      <c r="E35" s="1487"/>
      <c r="F35" s="1487"/>
      <c r="G35" s="1487"/>
      <c r="H35" s="1487"/>
      <c r="I35" s="1487"/>
      <c r="J35" s="1487"/>
      <c r="K35" s="1487"/>
      <c r="L35" s="2144">
        <f>LARGE(L5:L34,1)+1</f>
        <v>29</v>
      </c>
      <c r="M35" s="2145" t="s">
        <v>1486</v>
      </c>
      <c r="N35" s="2144">
        <f>LARGE(N5:N34,1)+1</f>
        <v>74</v>
      </c>
      <c r="O35" s="2145" t="s">
        <v>1705</v>
      </c>
      <c r="P35" s="2144">
        <f>LARGE(P5:P34,1)+1</f>
        <v>115</v>
      </c>
      <c r="Q35" s="2145" t="s">
        <v>1662</v>
      </c>
      <c r="R35" s="2144">
        <f>LARGE(R5:R34,1)+1</f>
        <v>156</v>
      </c>
      <c r="S35" s="2145" t="s">
        <v>1704</v>
      </c>
      <c r="T35" s="2157"/>
      <c r="V35" s="2144">
        <f>LARGE(V5:V34,1)+1</f>
        <v>28</v>
      </c>
      <c r="W35" s="2145" t="s">
        <v>1703</v>
      </c>
      <c r="X35" s="2144"/>
      <c r="Y35" s="2147" t="s">
        <v>771</v>
      </c>
      <c r="Z35" s="2144">
        <f>LARGE(Z5:Z34,1)+1</f>
        <v>141</v>
      </c>
      <c r="AA35" s="2145" t="s">
        <v>1409</v>
      </c>
      <c r="AB35" s="2144">
        <f>LARGE(AB5:AB34,1)+1</f>
        <v>191</v>
      </c>
      <c r="AC35" s="2145" t="s">
        <v>1702</v>
      </c>
      <c r="AD35" s="2144">
        <f>LARGE(AD5:AD34,1)+1</f>
        <v>247</v>
      </c>
      <c r="AE35" s="2145" t="s">
        <v>1701</v>
      </c>
      <c r="AF35" s="2156"/>
      <c r="AG35" s="2156"/>
      <c r="AH35" s="2149">
        <f>LARGE(AH4:AH34,1)+1</f>
        <v>32</v>
      </c>
      <c r="AI35" s="2151" t="s">
        <v>1700</v>
      </c>
      <c r="AJ35" s="2161"/>
      <c r="AK35" s="2149">
        <f>LARGE(AK4:AK34,1)+1</f>
        <v>88</v>
      </c>
      <c r="AL35" s="2151" t="s">
        <v>1699</v>
      </c>
      <c r="AM35" s="1279"/>
      <c r="AN35" s="1279"/>
      <c r="AO35" s="2131"/>
      <c r="AP35" s="2133" t="s">
        <v>1698</v>
      </c>
      <c r="AR35" s="2169" t="s">
        <v>108</v>
      </c>
      <c r="AS35" s="2168" t="s">
        <v>1697</v>
      </c>
      <c r="AT35" s="2166"/>
      <c r="AU35" s="2166"/>
      <c r="AV35" s="2127">
        <v>4</v>
      </c>
      <c r="AW35" s="2163" t="s">
        <v>1696</v>
      </c>
      <c r="AX35" s="2163"/>
    </row>
    <row r="36" spans="2:50" s="1375" customFormat="1" ht="23.25" customHeight="1">
      <c r="B36" s="1487"/>
      <c r="C36" s="1487"/>
      <c r="D36" s="1487"/>
      <c r="E36" s="1487"/>
      <c r="F36" s="1487"/>
      <c r="G36" s="1487"/>
      <c r="H36" s="1487"/>
      <c r="I36" s="1487"/>
      <c r="J36" s="1487"/>
      <c r="K36" s="1487"/>
      <c r="L36" s="2144">
        <f>LARGE(L5:L35,1)+1</f>
        <v>30</v>
      </c>
      <c r="M36" s="2145" t="s">
        <v>1466</v>
      </c>
      <c r="N36" s="2144">
        <f>LARGE(N5:N35,1)+1</f>
        <v>75</v>
      </c>
      <c r="O36" s="2145" t="s">
        <v>1695</v>
      </c>
      <c r="P36" s="2144">
        <f>LARGE(P5:P35,1)+1</f>
        <v>116</v>
      </c>
      <c r="Q36" s="2145" t="s">
        <v>1631</v>
      </c>
      <c r="R36" s="2144">
        <f>LARGE(R5:R35,1)+1</f>
        <v>157</v>
      </c>
      <c r="S36" s="2145" t="s">
        <v>1694</v>
      </c>
      <c r="T36" s="2157"/>
      <c r="V36" s="2144">
        <f>LARGE(V5:V35,1)+1</f>
        <v>29</v>
      </c>
      <c r="W36" s="2145" t="s">
        <v>1693</v>
      </c>
      <c r="X36" s="2144">
        <f>LARGE(X5:X35,1)+1</f>
        <v>85</v>
      </c>
      <c r="Y36" s="2145" t="s">
        <v>1692</v>
      </c>
      <c r="Z36" s="2144">
        <f>LARGE(Z5:Z35,1)+1</f>
        <v>142</v>
      </c>
      <c r="AA36" s="2145" t="s">
        <v>1522</v>
      </c>
      <c r="AB36" s="2144">
        <f>LARGE(AB5:AB35,1)+1</f>
        <v>192</v>
      </c>
      <c r="AC36" s="2145" t="s">
        <v>1691</v>
      </c>
      <c r="AD36" s="2144">
        <f>LARGE(AD5:AD35,1)+1</f>
        <v>248</v>
      </c>
      <c r="AE36" s="2145" t="s">
        <v>1690</v>
      </c>
      <c r="AF36" s="2156"/>
      <c r="AG36" s="2156"/>
      <c r="AH36" s="2149">
        <f>LARGE(AH4:AH35,1)+1</f>
        <v>33</v>
      </c>
      <c r="AI36" s="2151" t="s">
        <v>1689</v>
      </c>
      <c r="AJ36" s="2161"/>
      <c r="AK36" s="2149">
        <f>LARGE(AK4:AK35,1)+1</f>
        <v>89</v>
      </c>
      <c r="AL36" s="2151" t="s">
        <v>1688</v>
      </c>
      <c r="AM36" s="1279"/>
      <c r="AN36" s="1279"/>
      <c r="AO36" s="2131"/>
      <c r="AP36" s="2133" t="s">
        <v>1687</v>
      </c>
      <c r="AR36" s="2166"/>
      <c r="AS36" s="2166"/>
      <c r="AT36" s="2166"/>
      <c r="AU36" s="2166"/>
      <c r="AV36" s="2127"/>
      <c r="AW36" s="4886" t="s">
        <v>1686</v>
      </c>
      <c r="AX36" s="4886"/>
    </row>
    <row r="37" spans="2:50" s="1375" customFormat="1" ht="18.75">
      <c r="B37" s="1487"/>
      <c r="C37" s="1487"/>
      <c r="D37" s="1487"/>
      <c r="E37" s="1487"/>
      <c r="F37" s="1487"/>
      <c r="G37" s="1487"/>
      <c r="H37" s="1487"/>
      <c r="I37" s="1487"/>
      <c r="J37" s="1487"/>
      <c r="K37" s="1487"/>
      <c r="L37" s="2144">
        <f>LARGE(L5:L36,1)+1</f>
        <v>31</v>
      </c>
      <c r="M37" s="2145" t="s">
        <v>1458</v>
      </c>
      <c r="N37" s="2144">
        <f>LARGE(N5:N36,1)+1</f>
        <v>76</v>
      </c>
      <c r="O37" s="2145" t="s">
        <v>1685</v>
      </c>
      <c r="P37" s="2144">
        <f>LARGE(P5:P36,1)+1</f>
        <v>117</v>
      </c>
      <c r="Q37" s="2145" t="s">
        <v>1597</v>
      </c>
      <c r="R37" s="2144"/>
      <c r="S37" s="2167"/>
      <c r="T37" s="2157"/>
      <c r="V37" s="2144">
        <f>LARGE(V5:V36,1)+1</f>
        <v>30</v>
      </c>
      <c r="W37" s="2145" t="s">
        <v>1684</v>
      </c>
      <c r="X37" s="2144">
        <f>LARGE(X5:X36,1)+1</f>
        <v>86</v>
      </c>
      <c r="Y37" s="2145" t="s">
        <v>1683</v>
      </c>
      <c r="Z37" s="2144">
        <f>LARGE(Z5:Z36,1)+1</f>
        <v>143</v>
      </c>
      <c r="AA37" s="2158" t="s">
        <v>30</v>
      </c>
      <c r="AB37" s="2144">
        <f>LARGE(AB5:AB36,1)+1</f>
        <v>193</v>
      </c>
      <c r="AC37" s="2145" t="s">
        <v>1682</v>
      </c>
      <c r="AD37" s="2144">
        <f>LARGE(AD5:AD36,1)+1</f>
        <v>249</v>
      </c>
      <c r="AE37" s="2145" t="s">
        <v>1681</v>
      </c>
      <c r="AF37" s="2156"/>
      <c r="AG37" s="2156"/>
      <c r="AH37" s="2149">
        <f>LARGE(AH4:AH36,1)+1</f>
        <v>34</v>
      </c>
      <c r="AI37" s="2151" t="s">
        <v>1680</v>
      </c>
      <c r="AJ37" s="2161"/>
      <c r="AK37" s="2149">
        <f>LARGE(AK4:AK36,1)+1</f>
        <v>90</v>
      </c>
      <c r="AL37" s="2151" t="s">
        <v>1679</v>
      </c>
      <c r="AM37" s="1279"/>
      <c r="AN37" s="1279"/>
      <c r="AO37" s="2131"/>
      <c r="AP37" s="2133" t="s">
        <v>1678</v>
      </c>
      <c r="AR37" s="2166"/>
      <c r="AS37" s="2166"/>
      <c r="AT37" s="2166"/>
      <c r="AU37" s="2166"/>
      <c r="AV37" s="2127"/>
      <c r="AW37" s="4886"/>
      <c r="AX37" s="4886"/>
    </row>
    <row r="38" spans="2:50" s="1375" customFormat="1" ht="23.25">
      <c r="B38" s="1487"/>
      <c r="C38" s="1487"/>
      <c r="D38" s="1487"/>
      <c r="E38" s="1487"/>
      <c r="F38" s="1487"/>
      <c r="G38" s="1487"/>
      <c r="H38" s="1487"/>
      <c r="I38" s="1487"/>
      <c r="J38" s="1487"/>
      <c r="K38" s="1487"/>
      <c r="L38" s="2144">
        <f>LARGE(L5:L37,1)+1</f>
        <v>32</v>
      </c>
      <c r="M38" s="2145" t="s">
        <v>1446</v>
      </c>
      <c r="N38" s="2144">
        <f>LARGE(N5:N37,1)+1</f>
        <v>77</v>
      </c>
      <c r="O38" s="2145" t="s">
        <v>1677</v>
      </c>
      <c r="P38" s="2144">
        <f>LARGE(P5:P37,1)+1</f>
        <v>118</v>
      </c>
      <c r="Q38" s="2145" t="s">
        <v>1586</v>
      </c>
      <c r="R38" s="2144"/>
      <c r="S38" s="2165" t="s">
        <v>344</v>
      </c>
      <c r="T38" s="2157"/>
      <c r="V38" s="2144">
        <f>LARGE(V5:V37,1)+1</f>
        <v>31</v>
      </c>
      <c r="W38" s="2145" t="s">
        <v>1676</v>
      </c>
      <c r="X38" s="2144">
        <f>LARGE(X5:X37,1)+1</f>
        <v>87</v>
      </c>
      <c r="Y38" s="2145" t="s">
        <v>1675</v>
      </c>
      <c r="Z38" s="2144">
        <f>LARGE(Z5:Z37,1)+1</f>
        <v>144</v>
      </c>
      <c r="AA38" s="2145" t="s">
        <v>1674</v>
      </c>
      <c r="AB38" s="2144">
        <f>LARGE(AB5:AB37,1)+1</f>
        <v>194</v>
      </c>
      <c r="AC38" s="2145" t="s">
        <v>1673</v>
      </c>
      <c r="AD38" s="2144">
        <f>LARGE(AD5:AD37,1)+1</f>
        <v>250</v>
      </c>
      <c r="AE38" s="2145" t="s">
        <v>1672</v>
      </c>
      <c r="AF38" s="2156"/>
      <c r="AG38" s="2156"/>
      <c r="AH38" s="2149">
        <f>LARGE(AH4:AH37,1)+1</f>
        <v>35</v>
      </c>
      <c r="AI38" s="2151" t="s">
        <v>1671</v>
      </c>
      <c r="AJ38" s="2161"/>
      <c r="AK38" s="2149">
        <f>LARGE(AK4:AK37,1)+1</f>
        <v>91</v>
      </c>
      <c r="AL38" s="2151" t="s">
        <v>1670</v>
      </c>
      <c r="AM38" s="1279"/>
      <c r="AN38" s="1279"/>
      <c r="AO38" s="2131"/>
      <c r="AP38" s="2133" t="s">
        <v>1669</v>
      </c>
      <c r="AR38" s="2127"/>
      <c r="AS38" s="2164" t="s">
        <v>1668</v>
      </c>
      <c r="AT38" s="2124"/>
      <c r="AU38" s="2124"/>
      <c r="AV38" s="2127"/>
      <c r="AW38" s="2163"/>
      <c r="AX38" s="2163"/>
    </row>
    <row r="39" spans="2:50" s="1375" customFormat="1" ht="23.25" customHeight="1">
      <c r="B39" s="1487"/>
      <c r="C39" s="1487"/>
      <c r="D39" s="1487"/>
      <c r="E39" s="1487"/>
      <c r="F39" s="1487"/>
      <c r="G39" s="1487"/>
      <c r="H39" s="1487"/>
      <c r="I39" s="1487"/>
      <c r="J39" s="1487"/>
      <c r="K39" s="1487"/>
      <c r="L39" s="2144"/>
      <c r="M39" s="2160" t="s">
        <v>52</v>
      </c>
      <c r="N39" s="2144">
        <f>LARGE(N5:N38,1)+1</f>
        <v>78</v>
      </c>
      <c r="O39" s="2145" t="s">
        <v>1667</v>
      </c>
      <c r="P39" s="2144">
        <f>LARGE(P5:P38,1)+1</f>
        <v>119</v>
      </c>
      <c r="Q39" s="2145" t="s">
        <v>1576</v>
      </c>
      <c r="R39" s="2144">
        <f>LARGE(R5:R38,1)+1</f>
        <v>158</v>
      </c>
      <c r="S39" s="2145" t="s">
        <v>1666</v>
      </c>
      <c r="T39" s="2157"/>
      <c r="V39" s="2144">
        <f>LARGE(V5:V38,1)+1</f>
        <v>32</v>
      </c>
      <c r="W39" s="2145" t="s">
        <v>1665</v>
      </c>
      <c r="X39" s="2144">
        <f>LARGE(X5:X38,1)+1</f>
        <v>88</v>
      </c>
      <c r="Y39" s="2145" t="s">
        <v>1664</v>
      </c>
      <c r="Z39" s="2144">
        <f>LARGE(Z5:Z38,1)+1</f>
        <v>145</v>
      </c>
      <c r="AA39" s="2145" t="s">
        <v>1663</v>
      </c>
      <c r="AB39" s="2144">
        <f>LARGE(AB5:AB38,1)+1</f>
        <v>195</v>
      </c>
      <c r="AC39" s="2145" t="s">
        <v>1662</v>
      </c>
      <c r="AD39" s="2144"/>
      <c r="AE39" s="2162"/>
      <c r="AF39" s="2156"/>
      <c r="AG39" s="2156"/>
      <c r="AH39" s="2149">
        <f>LARGE(AH4:AH38,1)+1</f>
        <v>36</v>
      </c>
      <c r="AI39" s="2151" t="s">
        <v>1661</v>
      </c>
      <c r="AJ39" s="2161"/>
      <c r="AK39" s="2149">
        <f>LARGE(AK4:AK38,1)+1</f>
        <v>92</v>
      </c>
      <c r="AL39" s="2151" t="s">
        <v>1660</v>
      </c>
      <c r="AM39" s="1279"/>
      <c r="AN39" s="1279"/>
      <c r="AO39" s="2131"/>
      <c r="AP39" s="2133" t="s">
        <v>1659</v>
      </c>
      <c r="AR39" s="2127"/>
      <c r="AS39" s="2124"/>
      <c r="AT39" s="2124"/>
      <c r="AU39" s="2124"/>
      <c r="AV39" s="2140" t="s">
        <v>61</v>
      </c>
      <c r="AW39" s="2139" t="s">
        <v>1658</v>
      </c>
      <c r="AX39" s="2126"/>
    </row>
    <row r="40" spans="2:50" s="1375" customFormat="1" ht="18.75">
      <c r="B40" s="1487"/>
      <c r="C40" s="1487"/>
      <c r="D40" s="1487"/>
      <c r="E40" s="1487"/>
      <c r="F40" s="1487"/>
      <c r="G40" s="1487"/>
      <c r="H40" s="1487"/>
      <c r="I40" s="1487"/>
      <c r="J40" s="1487"/>
      <c r="K40" s="1487"/>
      <c r="L40" s="2144">
        <f>LARGE(L5:L39,1)+1</f>
        <v>33</v>
      </c>
      <c r="M40" s="2145" t="s">
        <v>1657</v>
      </c>
      <c r="N40" s="2144">
        <f>LARGE(N5:N39,1)+1</f>
        <v>79</v>
      </c>
      <c r="O40" s="2145" t="s">
        <v>1656</v>
      </c>
      <c r="P40" s="2144">
        <f>LARGE(P5:P39,1)+1</f>
        <v>120</v>
      </c>
      <c r="Q40" s="2145" t="s">
        <v>1552</v>
      </c>
      <c r="R40" s="2144"/>
      <c r="S40" s="476"/>
      <c r="T40" s="2157"/>
      <c r="V40" s="2144">
        <f>LARGE(V5:V39,1)+1</f>
        <v>33</v>
      </c>
      <c r="W40" s="2145" t="s">
        <v>1655</v>
      </c>
      <c r="X40" s="2144">
        <f>LARGE(X5:X39,1)+1</f>
        <v>89</v>
      </c>
      <c r="Y40" s="2145" t="s">
        <v>1654</v>
      </c>
      <c r="Z40" s="2144">
        <f>LARGE(Z5:Z39,1)+1</f>
        <v>146</v>
      </c>
      <c r="AA40" s="2145" t="s">
        <v>1653</v>
      </c>
      <c r="AB40" s="2144">
        <f>LARGE(AB5:AB39,1)+1</f>
        <v>196</v>
      </c>
      <c r="AC40" s="2145" t="s">
        <v>1652</v>
      </c>
      <c r="AD40" s="2144"/>
      <c r="AE40" s="2158" t="s">
        <v>31</v>
      </c>
      <c r="AF40" s="2156"/>
      <c r="AG40" s="2156"/>
      <c r="AH40" s="2149">
        <f>LARGE(AH4:AH39,1)+1</f>
        <v>37</v>
      </c>
      <c r="AI40" s="2151" t="s">
        <v>1651</v>
      </c>
      <c r="AJ40" s="2161"/>
      <c r="AK40" s="2149">
        <f>LARGE(AK4:AK39,1)+1</f>
        <v>93</v>
      </c>
      <c r="AL40" s="2151" t="s">
        <v>1650</v>
      </c>
      <c r="AM40" s="1279"/>
      <c r="AN40" s="1279"/>
      <c r="AO40" s="2131"/>
      <c r="AP40" s="2133" t="s">
        <v>1649</v>
      </c>
      <c r="AR40" s="2127">
        <v>1</v>
      </c>
      <c r="AS40" s="2126" t="s">
        <v>1648</v>
      </c>
      <c r="AT40" s="2124"/>
      <c r="AU40" s="2124"/>
      <c r="AV40" s="2127">
        <v>1</v>
      </c>
      <c r="AW40" s="2126" t="s">
        <v>1647</v>
      </c>
      <c r="AX40" s="2126"/>
    </row>
    <row r="41" spans="2:50" s="1375" customFormat="1" ht="30">
      <c r="B41" s="1487"/>
      <c r="C41" s="1487"/>
      <c r="D41" s="1487"/>
      <c r="E41" s="1487"/>
      <c r="F41" s="1487"/>
      <c r="G41" s="1487"/>
      <c r="H41" s="1487"/>
      <c r="I41" s="1487"/>
      <c r="J41" s="1487"/>
      <c r="K41" s="1487"/>
      <c r="L41" s="2144">
        <f>LARGE(L5:L40,1)+1</f>
        <v>34</v>
      </c>
      <c r="M41" s="2145" t="s">
        <v>1646</v>
      </c>
      <c r="N41" s="2144">
        <f>LARGE(N5:N40,1)+1</f>
        <v>80</v>
      </c>
      <c r="O41" s="2145" t="s">
        <v>1645</v>
      </c>
      <c r="P41" s="2144">
        <f>LARGE(P5:P40,1)+1</f>
        <v>121</v>
      </c>
      <c r="Q41" s="2145" t="s">
        <v>1541</v>
      </c>
      <c r="R41" s="2144"/>
      <c r="S41" s="476"/>
      <c r="T41" s="2157"/>
      <c r="V41" s="2144">
        <f>LARGE(V5:V40,1)+1</f>
        <v>34</v>
      </c>
      <c r="W41" s="2145" t="s">
        <v>1644</v>
      </c>
      <c r="X41" s="2144">
        <f>LARGE(X5:X40,1)+1</f>
        <v>90</v>
      </c>
      <c r="Y41" s="2145" t="s">
        <v>1643</v>
      </c>
      <c r="Z41" s="2144">
        <f>LARGE(Z5:Z40,1)+1</f>
        <v>147</v>
      </c>
      <c r="AA41" s="2145" t="s">
        <v>1642</v>
      </c>
      <c r="AB41" s="2144">
        <f>LARGE(AB5:AB40,1)+1</f>
        <v>197</v>
      </c>
      <c r="AC41" s="2145" t="s">
        <v>1641</v>
      </c>
      <c r="AD41" s="2144">
        <f>LARGE(AD5:AD40,1)+1</f>
        <v>251</v>
      </c>
      <c r="AE41" s="2145" t="s">
        <v>1640</v>
      </c>
      <c r="AF41" s="2156"/>
      <c r="AG41" s="2156"/>
      <c r="AH41" s="2149">
        <f>LARGE(AH4:AH40,1)+1</f>
        <v>38</v>
      </c>
      <c r="AI41" s="2151" t="s">
        <v>1639</v>
      </c>
      <c r="AJ41" s="2161"/>
      <c r="AK41" s="2149">
        <f>LARGE(AK4:AK40,1)+1</f>
        <v>94</v>
      </c>
      <c r="AL41" s="2151" t="s">
        <v>1638</v>
      </c>
      <c r="AM41" s="1279"/>
      <c r="AN41" s="1279"/>
      <c r="AO41" s="2131"/>
      <c r="AP41" s="2134" t="s">
        <v>52</v>
      </c>
      <c r="AR41" s="2127">
        <v>2</v>
      </c>
      <c r="AS41" s="2126" t="s">
        <v>1637</v>
      </c>
      <c r="AT41" s="2124"/>
      <c r="AU41" s="2124"/>
      <c r="AV41" s="2127">
        <v>2</v>
      </c>
      <c r="AW41" s="2126" t="s">
        <v>1636</v>
      </c>
      <c r="AX41" s="2126"/>
    </row>
    <row r="42" spans="2:50" s="1375" customFormat="1" ht="46.5" customHeight="1">
      <c r="B42" s="1487"/>
      <c r="C42" s="1487"/>
      <c r="D42" s="1487"/>
      <c r="E42" s="1487"/>
      <c r="F42" s="1487"/>
      <c r="G42" s="1487"/>
      <c r="H42" s="1487"/>
      <c r="I42" s="1487"/>
      <c r="J42" s="1487"/>
      <c r="K42" s="1487"/>
      <c r="L42" s="2144">
        <f>LARGE(L5:L41,1)+1</f>
        <v>35</v>
      </c>
      <c r="M42" s="2145" t="s">
        <v>1635</v>
      </c>
      <c r="N42" s="2144">
        <f>LARGE(N5:N41,1)+1</f>
        <v>81</v>
      </c>
      <c r="O42" s="2145" t="s">
        <v>1634</v>
      </c>
      <c r="P42" s="2144">
        <f>LARGE(P5:P41,1)+1</f>
        <v>122</v>
      </c>
      <c r="Q42" s="2145" t="s">
        <v>1510</v>
      </c>
      <c r="R42" s="2144"/>
      <c r="S42" s="476"/>
      <c r="T42" s="2157"/>
      <c r="V42" s="2144">
        <f>LARGE(V5:V41,1)+1</f>
        <v>35</v>
      </c>
      <c r="W42" s="2145" t="s">
        <v>1633</v>
      </c>
      <c r="X42" s="2144">
        <f>LARGE(X5:X41,1)+1</f>
        <v>91</v>
      </c>
      <c r="Y42" s="2145" t="s">
        <v>1632</v>
      </c>
      <c r="Z42" s="2144"/>
      <c r="AA42" s="2159"/>
      <c r="AB42" s="2144">
        <f>LARGE(AB5:AB41,1)+1</f>
        <v>198</v>
      </c>
      <c r="AC42" s="2145" t="s">
        <v>1631</v>
      </c>
      <c r="AD42" s="2144">
        <f>LARGE(AD5:AD41,1)+1</f>
        <v>252</v>
      </c>
      <c r="AE42" s="2145" t="s">
        <v>1630</v>
      </c>
      <c r="AF42" s="2156"/>
      <c r="AG42" s="2156"/>
      <c r="AH42" s="2149">
        <f>LARGE(AH4:AH41,1)+1</f>
        <v>39</v>
      </c>
      <c r="AI42" s="2151" t="s">
        <v>1629</v>
      </c>
      <c r="AJ42" s="2161"/>
      <c r="AK42" s="2149">
        <f>LARGE(AK4:AK41,1)+1</f>
        <v>95</v>
      </c>
      <c r="AL42" s="2151" t="s">
        <v>1628</v>
      </c>
      <c r="AM42" s="1279"/>
      <c r="AN42" s="1279"/>
      <c r="AO42" s="2131"/>
      <c r="AP42" s="2133" t="s">
        <v>1627</v>
      </c>
      <c r="AR42" s="2127">
        <v>3</v>
      </c>
      <c r="AS42" s="2126" t="s">
        <v>1626</v>
      </c>
      <c r="AT42" s="2124"/>
      <c r="AU42" s="2124"/>
      <c r="AV42" s="2127"/>
      <c r="AW42" s="4887" t="s">
        <v>1625</v>
      </c>
      <c r="AX42" s="4887"/>
    </row>
    <row r="43" spans="2:50" s="1375" customFormat="1" ht="18.75">
      <c r="B43" s="1487"/>
      <c r="C43" s="1487"/>
      <c r="D43" s="1487"/>
      <c r="E43" s="1487"/>
      <c r="F43" s="1487"/>
      <c r="G43" s="1487"/>
      <c r="H43" s="1487"/>
      <c r="I43" s="1487"/>
      <c r="J43" s="1487"/>
      <c r="K43" s="1487"/>
      <c r="L43" s="2144">
        <f>LARGE(L5:L42,1)+1</f>
        <v>36</v>
      </c>
      <c r="M43" s="2145" t="s">
        <v>1624</v>
      </c>
      <c r="N43" s="2144">
        <f>LARGE(N5:N42,1)+1</f>
        <v>82</v>
      </c>
      <c r="O43" s="2145" t="s">
        <v>1623</v>
      </c>
      <c r="P43" s="2144">
        <f>LARGE(P5:P42,1)+1</f>
        <v>123</v>
      </c>
      <c r="Q43" s="2145" t="s">
        <v>1455</v>
      </c>
      <c r="R43" s="2144"/>
      <c r="S43" s="476"/>
      <c r="T43" s="2157"/>
      <c r="V43" s="2144">
        <f>LARGE(V5:V42,1)+1</f>
        <v>36</v>
      </c>
      <c r="W43" s="2145" t="s">
        <v>1622</v>
      </c>
      <c r="X43" s="2144">
        <f>LARGE(X5:X42,1)+1</f>
        <v>92</v>
      </c>
      <c r="Y43" s="2145" t="s">
        <v>1621</v>
      </c>
      <c r="Z43" s="2144"/>
      <c r="AA43" s="2147" t="s">
        <v>872</v>
      </c>
      <c r="AB43" s="2144">
        <f>LARGE(AB5:AB42,1)+1</f>
        <v>199</v>
      </c>
      <c r="AC43" s="2145" t="s">
        <v>1620</v>
      </c>
      <c r="AD43" s="2144">
        <f>LARGE(AD5:AD42,1)+1</f>
        <v>253</v>
      </c>
      <c r="AE43" s="2145" t="s">
        <v>1619</v>
      </c>
      <c r="AF43" s="2156"/>
      <c r="AG43" s="2156"/>
      <c r="AH43" s="2149">
        <f>LARGE(AH4:AH42,1)+1</f>
        <v>40</v>
      </c>
      <c r="AI43" s="2151" t="s">
        <v>1618</v>
      </c>
      <c r="AJ43" s="2161"/>
      <c r="AK43" s="2149">
        <f>LARGE(AK4:AK42,1)+1</f>
        <v>96</v>
      </c>
      <c r="AL43" s="2151" t="s">
        <v>1617</v>
      </c>
      <c r="AM43" s="1279"/>
      <c r="AN43" s="1279"/>
      <c r="AO43" s="2131"/>
      <c r="AP43" s="2133" t="s">
        <v>1616</v>
      </c>
      <c r="AR43" s="2127">
        <v>4</v>
      </c>
      <c r="AS43" s="2126" t="s">
        <v>1615</v>
      </c>
      <c r="AT43" s="2124"/>
      <c r="AU43" s="2124"/>
      <c r="AV43" s="2127"/>
      <c r="AW43" s="4887"/>
      <c r="AX43" s="4887"/>
    </row>
    <row r="44" spans="2:50" s="1375" customFormat="1" ht="23.25" customHeight="1">
      <c r="B44" s="1487"/>
      <c r="C44" s="1487"/>
      <c r="D44" s="1487"/>
      <c r="E44" s="1487"/>
      <c r="F44" s="1487"/>
      <c r="G44" s="1487"/>
      <c r="H44" s="1487"/>
      <c r="I44" s="1487"/>
      <c r="J44" s="1487"/>
      <c r="K44" s="1487"/>
      <c r="L44" s="2144">
        <f>LARGE(L5:L43,1)+1</f>
        <v>37</v>
      </c>
      <c r="M44" s="2145" t="s">
        <v>1614</v>
      </c>
      <c r="N44" s="2144">
        <f>LARGE(N5:N43,1)+1</f>
        <v>83</v>
      </c>
      <c r="O44" s="2145" t="s">
        <v>1613</v>
      </c>
      <c r="P44" s="2144"/>
      <c r="Q44" s="2160" t="s">
        <v>1443</v>
      </c>
      <c r="R44" s="2144"/>
      <c r="S44" s="476"/>
      <c r="T44" s="2157"/>
      <c r="V44" s="2144">
        <f>LARGE(V5:V43,1)+1</f>
        <v>37</v>
      </c>
      <c r="W44" s="2145" t="s">
        <v>1612</v>
      </c>
      <c r="X44" s="2144">
        <f>LARGE(X5:X43,1)+1</f>
        <v>93</v>
      </c>
      <c r="Y44" s="2145" t="s">
        <v>1611</v>
      </c>
      <c r="Z44" s="2144">
        <f>LARGE(Z5:Z43,1)+1</f>
        <v>148</v>
      </c>
      <c r="AA44" s="2145" t="s">
        <v>1610</v>
      </c>
      <c r="AB44" s="2144">
        <f>LARGE(AB5:AB43,1)+1</f>
        <v>200</v>
      </c>
      <c r="AC44" s="2145" t="s">
        <v>1609</v>
      </c>
      <c r="AD44" s="2144">
        <f>LARGE(AD5:AD43,1)+1</f>
        <v>254</v>
      </c>
      <c r="AE44" s="2145" t="s">
        <v>1608</v>
      </c>
      <c r="AF44" s="2156"/>
      <c r="AG44" s="2156"/>
      <c r="AH44" s="2149">
        <f>LARGE(AH4:AH43,1)+1</f>
        <v>41</v>
      </c>
      <c r="AI44" s="2151" t="s">
        <v>1607</v>
      </c>
      <c r="AJ44" s="2161"/>
      <c r="AK44" s="2149">
        <f>LARGE(AK4:AK43,1)+1</f>
        <v>97</v>
      </c>
      <c r="AL44" s="2151" t="s">
        <v>1606</v>
      </c>
      <c r="AM44" s="1279"/>
      <c r="AN44" s="1279"/>
      <c r="AO44" s="2131"/>
      <c r="AP44" s="2133" t="s">
        <v>1605</v>
      </c>
      <c r="AR44" s="2127">
        <v>5</v>
      </c>
      <c r="AS44" s="2126" t="s">
        <v>1604</v>
      </c>
      <c r="AT44" s="2124"/>
      <c r="AU44" s="2124"/>
      <c r="AV44" s="2127">
        <v>3</v>
      </c>
      <c r="AW44" s="2126" t="s">
        <v>1603</v>
      </c>
      <c r="AX44" s="2126"/>
    </row>
    <row r="45" spans="2:50" s="1375" customFormat="1" ht="18.75">
      <c r="B45" s="1487"/>
      <c r="C45" s="1487"/>
      <c r="D45" s="1487"/>
      <c r="E45" s="1487"/>
      <c r="F45" s="1487"/>
      <c r="G45" s="1487"/>
      <c r="H45" s="1487"/>
      <c r="I45" s="1487"/>
      <c r="J45" s="1487"/>
      <c r="K45" s="1487"/>
      <c r="L45" s="2144">
        <f>LARGE(L5:L44,1)+1</f>
        <v>38</v>
      </c>
      <c r="M45" s="2145" t="s">
        <v>1602</v>
      </c>
      <c r="N45" s="2144">
        <f>LARGE(N5:N44,1)+1</f>
        <v>84</v>
      </c>
      <c r="O45" s="2145" t="s">
        <v>1601</v>
      </c>
      <c r="P45" s="2144">
        <f>LARGE(P5:P44,1)+1</f>
        <v>124</v>
      </c>
      <c r="Q45" s="2145" t="s">
        <v>1437</v>
      </c>
      <c r="R45" s="2144"/>
      <c r="S45" s="476"/>
      <c r="T45" s="2157"/>
      <c r="V45" s="2144">
        <f>LARGE(V5:V44,1)+1</f>
        <v>38</v>
      </c>
      <c r="W45" s="2145" t="s">
        <v>1600</v>
      </c>
      <c r="X45" s="2144">
        <f>LARGE(X5:X44,1)+1</f>
        <v>94</v>
      </c>
      <c r="Y45" s="2145" t="s">
        <v>1599</v>
      </c>
      <c r="Z45" s="2144">
        <f>LARGE(Z5:Z44,1)+1</f>
        <v>149</v>
      </c>
      <c r="AA45" s="2145" t="s">
        <v>1598</v>
      </c>
      <c r="AB45" s="2144">
        <f>LARGE(AB5:AB44,1)+1</f>
        <v>201</v>
      </c>
      <c r="AC45" s="2145" t="s">
        <v>1597</v>
      </c>
      <c r="AD45" s="2144">
        <f>LARGE(AD5:AD44,1)+1</f>
        <v>255</v>
      </c>
      <c r="AE45" s="2145" t="s">
        <v>1596</v>
      </c>
      <c r="AF45" s="2156"/>
      <c r="AG45" s="2156"/>
      <c r="AH45" s="2149">
        <f>LARGE(AH4:AH44,1)+1</f>
        <v>42</v>
      </c>
      <c r="AI45" s="2151" t="s">
        <v>1595</v>
      </c>
      <c r="AJ45" s="2161"/>
      <c r="AK45" s="2149">
        <f>LARGE(AK4:AK44,1)+1</f>
        <v>98</v>
      </c>
      <c r="AL45" s="2151" t="s">
        <v>1594</v>
      </c>
      <c r="AM45" s="1279"/>
      <c r="AN45" s="1279"/>
      <c r="AO45" s="2131"/>
      <c r="AP45" s="2133" t="s">
        <v>1593</v>
      </c>
      <c r="AR45" s="2127"/>
      <c r="AS45" s="2125"/>
      <c r="AT45" s="2124"/>
      <c r="AU45" s="2124"/>
      <c r="AV45" s="2127">
        <v>4</v>
      </c>
      <c r="AW45" s="2126" t="s">
        <v>1592</v>
      </c>
      <c r="AX45" s="2126"/>
    </row>
    <row r="46" spans="2:50" s="1375" customFormat="1" ht="27" customHeight="1">
      <c r="B46" s="1487"/>
      <c r="C46" s="1487"/>
      <c r="D46" s="1487"/>
      <c r="E46" s="1487"/>
      <c r="F46" s="1487"/>
      <c r="G46" s="1487"/>
      <c r="H46" s="1487"/>
      <c r="I46" s="1487"/>
      <c r="J46" s="1487"/>
      <c r="K46" s="1487"/>
      <c r="L46" s="2144">
        <f>LARGE(L5:L45,1)+1</f>
        <v>39</v>
      </c>
      <c r="M46" s="2145" t="s">
        <v>1591</v>
      </c>
      <c r="N46" s="2144">
        <f>LARGE(N5:N45,1)+1</f>
        <v>85</v>
      </c>
      <c r="O46" s="2145" t="s">
        <v>1590</v>
      </c>
      <c r="P46" s="2144"/>
      <c r="Q46" s="476"/>
      <c r="R46" s="2144"/>
      <c r="S46" s="476"/>
      <c r="T46" s="2157"/>
      <c r="V46" s="2144">
        <f>LARGE(V5:V45,1)+1</f>
        <v>39</v>
      </c>
      <c r="W46" s="2145" t="s">
        <v>1589</v>
      </c>
      <c r="X46" s="2144">
        <f>LARGE(X5:X45,1)+1</f>
        <v>95</v>
      </c>
      <c r="Y46" s="2145" t="s">
        <v>1588</v>
      </c>
      <c r="Z46" s="2144">
        <f>LARGE(Z5:Z45,1)+1</f>
        <v>150</v>
      </c>
      <c r="AA46" s="2145" t="s">
        <v>1587</v>
      </c>
      <c r="AB46" s="2144">
        <f>LARGE(AB5:AB45,1)+1</f>
        <v>202</v>
      </c>
      <c r="AC46" s="2145" t="s">
        <v>1586</v>
      </c>
      <c r="AD46" s="2144">
        <f>LARGE(AD5:AD45,1)+1</f>
        <v>256</v>
      </c>
      <c r="AE46" s="2145" t="s">
        <v>1585</v>
      </c>
      <c r="AF46" s="2156"/>
      <c r="AG46" s="2156"/>
      <c r="AH46" s="2149">
        <f>LARGE(AH4:AH45,1)+1</f>
        <v>43</v>
      </c>
      <c r="AI46" s="2151" t="s">
        <v>1584</v>
      </c>
      <c r="AJ46" s="2161"/>
      <c r="AK46" s="2149">
        <f>LARGE(AK4:AK45,1)+1</f>
        <v>99</v>
      </c>
      <c r="AL46" s="2151" t="s">
        <v>1583</v>
      </c>
      <c r="AM46" s="1279"/>
      <c r="AN46" s="1279"/>
      <c r="AO46" s="2131"/>
      <c r="AP46" s="2133" t="s">
        <v>1582</v>
      </c>
      <c r="AR46" s="2127"/>
      <c r="AS46" s="2125"/>
      <c r="AT46" s="2124"/>
      <c r="AU46" s="2124"/>
      <c r="AV46" s="2127">
        <v>5</v>
      </c>
      <c r="AW46" s="2126" t="s">
        <v>1581</v>
      </c>
      <c r="AX46" s="2126"/>
    </row>
    <row r="47" spans="2:50" ht="30">
      <c r="B47" s="1487"/>
      <c r="C47" s="1487"/>
      <c r="D47" s="1487"/>
      <c r="E47" s="1487"/>
      <c r="F47" s="1487"/>
      <c r="G47" s="1487"/>
      <c r="H47" s="1487"/>
      <c r="I47" s="1487"/>
      <c r="J47" s="1487"/>
      <c r="K47" s="1487"/>
      <c r="L47" s="2144">
        <f>LARGE(L5:L46,1)+1</f>
        <v>40</v>
      </c>
      <c r="M47" s="2145" t="s">
        <v>1580</v>
      </c>
      <c r="N47" s="2144"/>
      <c r="O47" s="2160" t="s">
        <v>18</v>
      </c>
      <c r="P47" s="2144"/>
      <c r="Q47" s="2160" t="s">
        <v>1291</v>
      </c>
      <c r="R47" s="2144"/>
      <c r="S47" s="476"/>
      <c r="T47" s="2157"/>
      <c r="V47" s="2144">
        <f>LARGE(V5:V46,1)+1</f>
        <v>40</v>
      </c>
      <c r="W47" s="2145" t="s">
        <v>1579</v>
      </c>
      <c r="X47" s="2144">
        <f>LARGE(X5:X46,1)+1</f>
        <v>96</v>
      </c>
      <c r="Y47" s="2145" t="s">
        <v>1578</v>
      </c>
      <c r="Z47" s="2144">
        <f>LARGE(Z5:Z46,1)+1</f>
        <v>151</v>
      </c>
      <c r="AA47" s="2145" t="s">
        <v>1577</v>
      </c>
      <c r="AB47" s="2144">
        <f>LARGE(AB5:AB46,1)+1</f>
        <v>203</v>
      </c>
      <c r="AC47" s="2145" t="s">
        <v>1576</v>
      </c>
      <c r="AD47" s="2144">
        <f>LARGE(AD5:AD46,1)+1</f>
        <v>257</v>
      </c>
      <c r="AE47" s="2145" t="s">
        <v>1575</v>
      </c>
      <c r="AF47" s="2156"/>
      <c r="AG47" s="2156"/>
      <c r="AH47" s="2149">
        <f>LARGE(AH4:AH46,1)+1</f>
        <v>44</v>
      </c>
      <c r="AI47" s="2151" t="s">
        <v>1574</v>
      </c>
      <c r="AJ47" s="2150"/>
      <c r="AK47" s="2149">
        <f>LARGE(AK4:AK46,1)+1</f>
        <v>100</v>
      </c>
      <c r="AL47" s="2151" t="s">
        <v>1573</v>
      </c>
      <c r="AM47" s="2128"/>
      <c r="AN47" s="2128"/>
      <c r="AO47" s="2131"/>
      <c r="AP47" s="2134" t="s">
        <v>771</v>
      </c>
      <c r="AR47" s="2127">
        <v>1</v>
      </c>
      <c r="AS47" s="2126" t="s">
        <v>1572</v>
      </c>
      <c r="AV47" s="2127">
        <v>6</v>
      </c>
      <c r="AW47" s="2126" t="s">
        <v>1571</v>
      </c>
      <c r="AX47" s="2126"/>
    </row>
    <row r="48" spans="2:50" ht="27" customHeight="1">
      <c r="B48" s="1487"/>
      <c r="C48" s="1487"/>
      <c r="D48" s="1487"/>
      <c r="E48" s="1487"/>
      <c r="F48" s="1487"/>
      <c r="G48" s="1487"/>
      <c r="H48" s="1487"/>
      <c r="I48" s="1487"/>
      <c r="J48" s="1487"/>
      <c r="K48" s="1487"/>
      <c r="L48" s="2144">
        <f>LARGE(L5:L47,1)+1</f>
        <v>41</v>
      </c>
      <c r="M48" s="2145" t="s">
        <v>1570</v>
      </c>
      <c r="N48" s="2144">
        <f>LARGE(N5:N47,1)+1</f>
        <v>86</v>
      </c>
      <c r="O48" s="2145" t="s">
        <v>1569</v>
      </c>
      <c r="P48" s="2144">
        <f>LARGE(P5:P47,1)+1</f>
        <v>125</v>
      </c>
      <c r="Q48" s="2145" t="s">
        <v>1568</v>
      </c>
      <c r="R48" s="2144"/>
      <c r="S48" s="476"/>
      <c r="T48" s="2157"/>
      <c r="V48" s="2144">
        <f>LARGE(V5:V47,1)+1</f>
        <v>41</v>
      </c>
      <c r="W48" s="2145" t="s">
        <v>1567</v>
      </c>
      <c r="X48" s="2144">
        <f>LARGE(X5:X47,1)+1</f>
        <v>97</v>
      </c>
      <c r="Y48" s="2145" t="s">
        <v>1566</v>
      </c>
      <c r="Z48" s="2144">
        <f>LARGE(Z5:Z47,1)+1</f>
        <v>152</v>
      </c>
      <c r="AA48" s="2145" t="s">
        <v>1565</v>
      </c>
      <c r="AB48" s="2144">
        <f>LARGE(AB5:AB47,1)+1</f>
        <v>204</v>
      </c>
      <c r="AC48" s="2145" t="s">
        <v>1564</v>
      </c>
      <c r="AD48" s="2144">
        <f>LARGE(AD5:AD47,1)+1</f>
        <v>258</v>
      </c>
      <c r="AE48" s="2145" t="s">
        <v>1563</v>
      </c>
      <c r="AF48" s="2156"/>
      <c r="AG48" s="2156"/>
      <c r="AH48" s="2149">
        <f>LARGE(AH4:AH47,1)+1</f>
        <v>45</v>
      </c>
      <c r="AI48" s="2151" t="s">
        <v>1562</v>
      </c>
      <c r="AJ48" s="2150"/>
      <c r="AK48" s="2149">
        <f>LARGE(AK4:AK47,1)+1</f>
        <v>101</v>
      </c>
      <c r="AL48" s="2151" t="s">
        <v>1561</v>
      </c>
      <c r="AM48" s="2128"/>
      <c r="AN48" s="2128"/>
      <c r="AO48" s="2131"/>
      <c r="AP48" s="2133" t="s">
        <v>1560</v>
      </c>
      <c r="AR48" s="2127">
        <v>2</v>
      </c>
      <c r="AS48" s="2126" t="s">
        <v>1559</v>
      </c>
      <c r="AV48" s="2127"/>
      <c r="AW48" s="4887" t="s">
        <v>1558</v>
      </c>
      <c r="AX48" s="4887"/>
    </row>
    <row r="49" spans="2:50" ht="18.75">
      <c r="B49" s="1487"/>
      <c r="C49" s="1487"/>
      <c r="D49" s="1487"/>
      <c r="E49" s="1487"/>
      <c r="F49" s="1487"/>
      <c r="G49" s="1487"/>
      <c r="H49" s="1487"/>
      <c r="I49" s="1487"/>
      <c r="J49" s="1487"/>
      <c r="K49" s="1487"/>
      <c r="L49" s="2144">
        <f>LARGE(L5:L48,1)+1</f>
        <v>42</v>
      </c>
      <c r="M49" s="2145" t="s">
        <v>1557</v>
      </c>
      <c r="N49" s="2144">
        <f>LARGE(N5:N48,1)+1</f>
        <v>87</v>
      </c>
      <c r="O49" s="2145" t="s">
        <v>1556</v>
      </c>
      <c r="P49" s="2144">
        <f>LARGE(P5:P48,1)+1</f>
        <v>126</v>
      </c>
      <c r="Q49" s="2145" t="s">
        <v>1555</v>
      </c>
      <c r="R49" s="2144"/>
      <c r="S49" s="476"/>
      <c r="T49" s="2157"/>
      <c r="V49" s="2144">
        <f>LARGE(V5:V48,1)+1</f>
        <v>42</v>
      </c>
      <c r="W49" s="2145" t="s">
        <v>1554</v>
      </c>
      <c r="X49" s="2144">
        <f>LARGE(X5:X48,1)+1</f>
        <v>98</v>
      </c>
      <c r="Y49" s="2145" t="s">
        <v>1553</v>
      </c>
      <c r="Z49" s="2144"/>
      <c r="AA49" s="2159"/>
      <c r="AB49" s="2144">
        <f>LARGE(AB5:AB48,1)+1</f>
        <v>205</v>
      </c>
      <c r="AC49" s="2145" t="s">
        <v>1552</v>
      </c>
      <c r="AD49" s="2144">
        <f>LARGE(AD5:AD48,1)+1</f>
        <v>259</v>
      </c>
      <c r="AE49" s="2145" t="s">
        <v>1551</v>
      </c>
      <c r="AF49" s="2156"/>
      <c r="AG49" s="2156"/>
      <c r="AH49" s="2149">
        <f>LARGE(AH4:AH48,1)+1</f>
        <v>46</v>
      </c>
      <c r="AI49" s="2151" t="s">
        <v>1550</v>
      </c>
      <c r="AJ49" s="2150"/>
      <c r="AK49" s="2149">
        <f>LARGE(AK4:AK48,1)+1</f>
        <v>102</v>
      </c>
      <c r="AL49" s="2151" t="s">
        <v>1549</v>
      </c>
      <c r="AM49" s="2128"/>
      <c r="AN49" s="2128"/>
      <c r="AO49" s="2131"/>
      <c r="AP49" s="2133" t="s">
        <v>1548</v>
      </c>
      <c r="AR49" s="2127">
        <v>3</v>
      </c>
      <c r="AS49" s="2126" t="s">
        <v>1547</v>
      </c>
      <c r="AV49" s="2127"/>
      <c r="AW49" s="4887"/>
      <c r="AX49" s="4887"/>
    </row>
    <row r="50" spans="2:50" ht="18.75">
      <c r="B50" s="1487"/>
      <c r="C50" s="1487"/>
      <c r="D50" s="1487"/>
      <c r="E50" s="1487"/>
      <c r="F50" s="1487"/>
      <c r="G50" s="1487"/>
      <c r="H50" s="1487"/>
      <c r="I50" s="1487"/>
      <c r="J50" s="1487"/>
      <c r="K50" s="1487"/>
      <c r="L50" s="2144">
        <f>LARGE(L5:L49,1)+1</f>
        <v>43</v>
      </c>
      <c r="M50" s="2145" t="s">
        <v>1546</v>
      </c>
      <c r="N50" s="2144">
        <f>LARGE(N5:N49,1)+1</f>
        <v>88</v>
      </c>
      <c r="O50" s="2145" t="s">
        <v>1545</v>
      </c>
      <c r="P50" s="2144">
        <f>LARGE(P5:P49,1)+1</f>
        <v>127</v>
      </c>
      <c r="Q50" s="2145" t="s">
        <v>1544</v>
      </c>
      <c r="R50" s="2144"/>
      <c r="S50" s="476"/>
      <c r="T50" s="2157"/>
      <c r="V50" s="2144">
        <f>LARGE(V5:V49,1)+1</f>
        <v>43</v>
      </c>
      <c r="W50" s="2145" t="s">
        <v>1543</v>
      </c>
      <c r="X50" s="2144">
        <f>LARGE(X5:X49,1)+1</f>
        <v>99</v>
      </c>
      <c r="Y50" s="2145" t="s">
        <v>1542</v>
      </c>
      <c r="Z50" s="2144"/>
      <c r="AA50" s="2158" t="s">
        <v>870</v>
      </c>
      <c r="AB50" s="2144">
        <f>LARGE(AB5:AB49,1)+1</f>
        <v>206</v>
      </c>
      <c r="AC50" s="2145" t="s">
        <v>1541</v>
      </c>
      <c r="AD50" s="2144">
        <f>LARGE(AD5:AD49,1)+1</f>
        <v>260</v>
      </c>
      <c r="AE50" s="2145" t="s">
        <v>1540</v>
      </c>
      <c r="AF50" s="2156"/>
      <c r="AG50" s="2156"/>
      <c r="AH50" s="2149">
        <f>LARGE(AH4:AH49,1)+1</f>
        <v>47</v>
      </c>
      <c r="AI50" s="2151" t="s">
        <v>1539</v>
      </c>
      <c r="AJ50" s="2150"/>
      <c r="AK50" s="2149">
        <f>LARGE(AK4:AK49,1)+1</f>
        <v>103</v>
      </c>
      <c r="AL50" s="2151" t="s">
        <v>1538</v>
      </c>
      <c r="AM50" s="2128"/>
      <c r="AN50" s="2128"/>
      <c r="AO50" s="2131"/>
      <c r="AP50" s="2133" t="s">
        <v>1537</v>
      </c>
      <c r="AR50" s="2127">
        <v>4</v>
      </c>
      <c r="AS50" s="2126" t="s">
        <v>1536</v>
      </c>
      <c r="AV50" s="4888">
        <v>7</v>
      </c>
      <c r="AW50" s="4884" t="s">
        <v>1535</v>
      </c>
      <c r="AX50" s="4884"/>
    </row>
    <row r="51" spans="2:50" ht="24.75" customHeight="1">
      <c r="B51" s="1487"/>
      <c r="C51" s="1487"/>
      <c r="D51" s="1487"/>
      <c r="E51" s="1487"/>
      <c r="F51" s="1487"/>
      <c r="G51" s="1487"/>
      <c r="H51" s="1487"/>
      <c r="I51" s="1487"/>
      <c r="J51" s="1487"/>
      <c r="K51" s="1487"/>
      <c r="L51" s="2144">
        <f>LARGE(L5:L50,1)+1</f>
        <v>44</v>
      </c>
      <c r="M51" s="2145" t="s">
        <v>1534</v>
      </c>
      <c r="N51" s="2144">
        <f>LARGE(N5:N50,1)+1</f>
        <v>89</v>
      </c>
      <c r="O51" s="2145" t="s">
        <v>1409</v>
      </c>
      <c r="P51" s="2144">
        <f>LARGE(P5:P50,1)+1</f>
        <v>128</v>
      </c>
      <c r="Q51" s="2145" t="s">
        <v>1533</v>
      </c>
      <c r="R51" s="2144"/>
      <c r="S51" s="476"/>
      <c r="T51" s="2157"/>
      <c r="V51" s="2144">
        <f>LARGE(V5:V50,1)+1</f>
        <v>44</v>
      </c>
      <c r="W51" s="2145" t="s">
        <v>1532</v>
      </c>
      <c r="X51" s="2144">
        <f>LARGE(X5:X50,1)+1</f>
        <v>100</v>
      </c>
      <c r="Y51" s="2145" t="s">
        <v>1531</v>
      </c>
      <c r="Z51" s="2144">
        <f>LARGE(Z5:Z50,1)+1</f>
        <v>153</v>
      </c>
      <c r="AA51" s="2145" t="s">
        <v>1530</v>
      </c>
      <c r="AB51" s="2144">
        <f>LARGE(AB5:AB50,1)+1</f>
        <v>207</v>
      </c>
      <c r="AC51" s="2145" t="s">
        <v>1529</v>
      </c>
      <c r="AD51" s="2144">
        <f>LARGE(AD5:AD50,1)+1</f>
        <v>261</v>
      </c>
      <c r="AE51" s="2145" t="s">
        <v>1528</v>
      </c>
      <c r="AF51" s="2156"/>
      <c r="AG51" s="2156"/>
      <c r="AH51" s="2149">
        <f>LARGE(AH4:AH50,1)+1</f>
        <v>48</v>
      </c>
      <c r="AI51" s="2151" t="s">
        <v>1527</v>
      </c>
      <c r="AJ51" s="2150"/>
      <c r="AK51" s="2149">
        <f>LARGE(AK4:AK50,1)+1</f>
        <v>104</v>
      </c>
      <c r="AL51" s="2151" t="s">
        <v>1526</v>
      </c>
      <c r="AM51" s="2128"/>
      <c r="AN51" s="2128"/>
      <c r="AO51" s="2131"/>
      <c r="AP51" s="2133" t="s">
        <v>1525</v>
      </c>
      <c r="AR51" s="2127">
        <v>5</v>
      </c>
      <c r="AS51" s="2126" t="s">
        <v>1524</v>
      </c>
      <c r="AV51" s="4888"/>
      <c r="AW51" s="4884"/>
      <c r="AX51" s="4884"/>
    </row>
    <row r="52" spans="2:50" ht="30">
      <c r="B52" s="1487"/>
      <c r="C52" s="1487"/>
      <c r="D52" s="1487"/>
      <c r="E52" s="1487"/>
      <c r="F52" s="1487"/>
      <c r="G52" s="1487"/>
      <c r="H52" s="1487"/>
      <c r="I52" s="1487"/>
      <c r="J52" s="1487"/>
      <c r="K52" s="1487"/>
      <c r="L52" s="2144">
        <f>LARGE(L5:L51,1)+1</f>
        <v>45</v>
      </c>
      <c r="M52" s="2145" t="s">
        <v>1523</v>
      </c>
      <c r="N52" s="2144">
        <f>LARGE(N5:N51,1)+1</f>
        <v>90</v>
      </c>
      <c r="O52" s="2145" t="s">
        <v>1522</v>
      </c>
      <c r="P52" s="2144">
        <f>LARGE(P5:P51,1)+1</f>
        <v>129</v>
      </c>
      <c r="Q52" s="2145" t="s">
        <v>1521</v>
      </c>
      <c r="R52" s="2144"/>
      <c r="S52" s="476"/>
      <c r="T52" s="2157"/>
      <c r="V52" s="2144">
        <f>LARGE(V5:V51,1)+1</f>
        <v>45</v>
      </c>
      <c r="W52" s="2145" t="s">
        <v>1520</v>
      </c>
      <c r="X52" s="2144">
        <f>LARGE(X5:X51,1)+1</f>
        <v>101</v>
      </c>
      <c r="Y52" s="2145" t="s">
        <v>1519</v>
      </c>
      <c r="Z52" s="2144"/>
      <c r="AA52" s="2156"/>
      <c r="AB52" s="2144">
        <f>LARGE(AB5:AB51,1)+1</f>
        <v>208</v>
      </c>
      <c r="AC52" s="2145" t="s">
        <v>1518</v>
      </c>
      <c r="AD52" s="2144">
        <f>LARGE(AD5:AD51,1)+1</f>
        <v>262</v>
      </c>
      <c r="AE52" s="2145" t="s">
        <v>1517</v>
      </c>
      <c r="AF52" s="2156"/>
      <c r="AG52" s="2156"/>
      <c r="AH52" s="2149">
        <f>LARGE(AH4:AH51,1)+1</f>
        <v>49</v>
      </c>
      <c r="AI52" s="2151" t="s">
        <v>1516</v>
      </c>
      <c r="AJ52" s="2150"/>
      <c r="AK52" s="2149">
        <f>LARGE(AK4:AK51,1)+1</f>
        <v>105</v>
      </c>
      <c r="AL52" s="2151" t="s">
        <v>1515</v>
      </c>
      <c r="AM52" s="2128"/>
      <c r="AN52" s="2128"/>
      <c r="AO52" s="2131"/>
      <c r="AP52" s="2134" t="s">
        <v>874</v>
      </c>
      <c r="AR52" s="2127">
        <v>6</v>
      </c>
      <c r="AS52" s="2126" t="s">
        <v>1514</v>
      </c>
      <c r="AV52" s="4888">
        <v>8</v>
      </c>
      <c r="AW52" s="4884" t="s">
        <v>1513</v>
      </c>
      <c r="AX52" s="4884"/>
    </row>
    <row r="53" spans="2:50" ht="19.5" thickBot="1">
      <c r="B53" s="1487"/>
      <c r="C53" s="1487"/>
      <c r="D53" s="1487"/>
      <c r="E53" s="1487"/>
      <c r="F53" s="1487"/>
      <c r="G53" s="1487"/>
      <c r="H53" s="1487"/>
      <c r="I53" s="1487"/>
      <c r="J53" s="1487"/>
      <c r="K53" s="1487"/>
      <c r="L53" s="2155"/>
      <c r="M53" s="2154"/>
      <c r="N53" s="2154"/>
      <c r="O53" s="2154"/>
      <c r="P53" s="2154"/>
      <c r="Q53" s="2154"/>
      <c r="R53" s="2153"/>
      <c r="S53" s="2153"/>
      <c r="T53" s="2152"/>
      <c r="V53" s="2144">
        <f>LARGE(V5:V52,1)+1</f>
        <v>46</v>
      </c>
      <c r="W53" s="2145" t="s">
        <v>1512</v>
      </c>
      <c r="X53" s="2144">
        <f>LARGE(X5:X52,1)+1</f>
        <v>102</v>
      </c>
      <c r="Y53" s="2145" t="s">
        <v>1511</v>
      </c>
      <c r="Z53" s="2144"/>
      <c r="AA53" s="2147" t="s">
        <v>642</v>
      </c>
      <c r="AB53" s="2144">
        <f>LARGE(AB5:AB52,1)+1</f>
        <v>209</v>
      </c>
      <c r="AC53" s="2145" t="s">
        <v>1510</v>
      </c>
      <c r="AD53" s="2144">
        <f>LARGE(AD5:AD52,1)+1</f>
        <v>263</v>
      </c>
      <c r="AE53" s="2145" t="s">
        <v>1509</v>
      </c>
      <c r="AF53" s="2146"/>
      <c r="AG53" s="2146"/>
      <c r="AH53" s="2149">
        <f>LARGE(AH4:AH52,1)+1</f>
        <v>50</v>
      </c>
      <c r="AI53" s="2151" t="s">
        <v>1508</v>
      </c>
      <c r="AJ53" s="2150"/>
      <c r="AK53" s="2149">
        <f>LARGE(AK4:AK52,1)+1</f>
        <v>106</v>
      </c>
      <c r="AL53" s="2151" t="s">
        <v>1507</v>
      </c>
      <c r="AM53" s="2128"/>
      <c r="AN53" s="2128"/>
      <c r="AO53" s="2131"/>
      <c r="AP53" s="2133" t="s">
        <v>1506</v>
      </c>
      <c r="AR53" s="2127">
        <v>7</v>
      </c>
      <c r="AS53" s="2126" t="s">
        <v>1505</v>
      </c>
      <c r="AV53" s="4888"/>
      <c r="AW53" s="4884"/>
      <c r="AX53" s="4884"/>
    </row>
    <row r="54" spans="2:50" ht="18.75">
      <c r="B54" s="1487"/>
      <c r="C54" s="1487"/>
      <c r="D54" s="1487"/>
      <c r="E54" s="1487"/>
      <c r="F54" s="1487"/>
      <c r="G54" s="1487"/>
      <c r="H54" s="1487"/>
      <c r="I54" s="1487"/>
      <c r="J54" s="1487"/>
      <c r="K54" s="1487"/>
      <c r="L54" s="1487"/>
      <c r="M54" s="1487"/>
      <c r="N54" s="1487"/>
      <c r="O54" s="1487"/>
      <c r="P54" s="1487"/>
      <c r="Q54" s="1487"/>
      <c r="R54" s="1487"/>
      <c r="S54" s="1487"/>
      <c r="T54" s="1487"/>
      <c r="V54" s="2144">
        <f>LARGE(V5:V53,1)+1</f>
        <v>47</v>
      </c>
      <c r="W54" s="2145" t="s">
        <v>1504</v>
      </c>
      <c r="X54" s="2144">
        <f>LARGE(X5:X53,1)+1</f>
        <v>103</v>
      </c>
      <c r="Y54" s="2145" t="s">
        <v>1503</v>
      </c>
      <c r="Z54" s="2144">
        <f>LARGE(Z5:Z53,1)+1</f>
        <v>154</v>
      </c>
      <c r="AA54" s="2145" t="s">
        <v>1502</v>
      </c>
      <c r="AB54" s="2144">
        <f>LARGE(AB5:AB53,1)+1</f>
        <v>210</v>
      </c>
      <c r="AC54" s="2145" t="s">
        <v>1501</v>
      </c>
      <c r="AD54" s="2144">
        <f>LARGE(AD5:AD53,1)+1</f>
        <v>264</v>
      </c>
      <c r="AE54" s="2145" t="s">
        <v>1500</v>
      </c>
      <c r="AF54" s="2146"/>
      <c r="AG54" s="2146"/>
      <c r="AH54" s="2149">
        <f>LARGE(AH4:AH53,1)+1</f>
        <v>51</v>
      </c>
      <c r="AI54" s="2151" t="s">
        <v>1499</v>
      </c>
      <c r="AJ54" s="2150"/>
      <c r="AK54" s="2149">
        <f>LARGE(AK4:AK53,1)+1</f>
        <v>107</v>
      </c>
      <c r="AL54" s="2151" t="s">
        <v>1498</v>
      </c>
      <c r="AM54" s="2128"/>
      <c r="AN54" s="2128"/>
      <c r="AO54" s="2131"/>
      <c r="AP54" s="2133" t="s">
        <v>1497</v>
      </c>
      <c r="AR54" s="2127">
        <v>8</v>
      </c>
      <c r="AS54" s="2126" t="s">
        <v>1496</v>
      </c>
      <c r="AV54" s="2127"/>
      <c r="AW54" s="4887" t="s">
        <v>1495</v>
      </c>
      <c r="AX54" s="4887"/>
    </row>
    <row r="55" spans="2:50" ht="18.75">
      <c r="B55" s="1487"/>
      <c r="C55" s="1487"/>
      <c r="D55" s="1487"/>
      <c r="E55" s="1487"/>
      <c r="F55" s="1487"/>
      <c r="G55" s="1487"/>
      <c r="H55" s="1487"/>
      <c r="I55" s="1487"/>
      <c r="J55" s="1487"/>
      <c r="K55" s="1487"/>
      <c r="L55" s="1487"/>
      <c r="M55" s="1487"/>
      <c r="N55" s="1487"/>
      <c r="O55" s="1487"/>
      <c r="P55" s="1487"/>
      <c r="Q55" s="1487"/>
      <c r="R55" s="1487"/>
      <c r="S55" s="1487"/>
      <c r="T55" s="1487"/>
      <c r="V55" s="2144">
        <f>LARGE(V5:V54,1)+1</f>
        <v>48</v>
      </c>
      <c r="W55" s="2145" t="s">
        <v>1494</v>
      </c>
      <c r="X55" s="2144">
        <f>LARGE(X5:X54,1)+1</f>
        <v>104</v>
      </c>
      <c r="Y55" s="2145" t="s">
        <v>1493</v>
      </c>
      <c r="Z55" s="2144">
        <f>LARGE(Z5:Z54,1)+1</f>
        <v>155</v>
      </c>
      <c r="AA55" s="2145" t="s">
        <v>1492</v>
      </c>
      <c r="AB55" s="2144">
        <f>LARGE(AB5:AB54,1)+1</f>
        <v>211</v>
      </c>
      <c r="AC55" s="2145" t="s">
        <v>1491</v>
      </c>
      <c r="AD55" s="2144">
        <f>LARGE(AD5:AD54,1)+1</f>
        <v>265</v>
      </c>
      <c r="AE55" s="2145" t="s">
        <v>1490</v>
      </c>
      <c r="AF55" s="2146"/>
      <c r="AG55" s="2146"/>
      <c r="AH55" s="2149">
        <f>LARGE(AH4:AH54,1)+1</f>
        <v>52</v>
      </c>
      <c r="AI55" s="2151" t="s">
        <v>1489</v>
      </c>
      <c r="AJ55" s="2150"/>
      <c r="AK55" s="2149">
        <f>LARGE(AK4:AK54,1)+1</f>
        <v>108</v>
      </c>
      <c r="AL55" s="2151" t="s">
        <v>1488</v>
      </c>
      <c r="AM55" s="2128"/>
      <c r="AN55" s="2128"/>
      <c r="AO55" s="2131"/>
      <c r="AP55" s="2133" t="s">
        <v>1487</v>
      </c>
      <c r="AR55" s="2127"/>
      <c r="AS55" s="2125"/>
      <c r="AV55" s="2127"/>
      <c r="AW55" s="4887"/>
      <c r="AX55" s="4887"/>
    </row>
    <row r="56" spans="2:50" ht="20.25" customHeight="1">
      <c r="B56" s="1487"/>
      <c r="C56" s="1487"/>
      <c r="D56" s="1487"/>
      <c r="E56" s="1487"/>
      <c r="F56" s="1487"/>
      <c r="G56" s="1487"/>
      <c r="H56" s="1487"/>
      <c r="I56" s="1487"/>
      <c r="J56" s="1487"/>
      <c r="K56" s="1487"/>
      <c r="L56" s="1487"/>
      <c r="M56" s="1487"/>
      <c r="N56" s="1487"/>
      <c r="O56" s="1487"/>
      <c r="P56" s="1487"/>
      <c r="Q56" s="1487"/>
      <c r="R56" s="1487"/>
      <c r="S56" s="1487"/>
      <c r="T56" s="1487"/>
      <c r="V56" s="2144">
        <f>LARGE(V5:V55,1)+1</f>
        <v>49</v>
      </c>
      <c r="W56" s="2145" t="s">
        <v>1486</v>
      </c>
      <c r="X56" s="2144">
        <f>LARGE(X5:X55,1)+1</f>
        <v>105</v>
      </c>
      <c r="Y56" s="2145" t="s">
        <v>1485</v>
      </c>
      <c r="Z56" s="2144">
        <f>LARGE(Z5:Z55,1)+1</f>
        <v>156</v>
      </c>
      <c r="AA56" s="2145" t="s">
        <v>1484</v>
      </c>
      <c r="AB56" s="2144">
        <f>LARGE(AB5:AB55,1)+1</f>
        <v>212</v>
      </c>
      <c r="AC56" s="2145" t="s">
        <v>1483</v>
      </c>
      <c r="AD56" s="2144">
        <f>LARGE(AD5:AD55,1)+1</f>
        <v>266</v>
      </c>
      <c r="AE56" s="2145" t="s">
        <v>1482</v>
      </c>
      <c r="AF56" s="2146"/>
      <c r="AG56" s="2146"/>
      <c r="AH56" s="2149">
        <f>LARGE(AH4:AH55,1)+1</f>
        <v>53</v>
      </c>
      <c r="AI56" s="2151" t="s">
        <v>1481</v>
      </c>
      <c r="AJ56" s="2150"/>
      <c r="AK56" s="2149">
        <f>LARGE(AK4:AK55,1)+1</f>
        <v>109</v>
      </c>
      <c r="AL56" s="2151" t="s">
        <v>1480</v>
      </c>
      <c r="AM56" s="2128"/>
      <c r="AN56" s="2128"/>
      <c r="AO56" s="2131"/>
      <c r="AP56" s="2133" t="s">
        <v>1479</v>
      </c>
      <c r="AR56" s="2127">
        <v>1</v>
      </c>
      <c r="AS56" s="2126" t="s">
        <v>1478</v>
      </c>
      <c r="AV56" s="2127"/>
      <c r="AW56" s="2126" t="s">
        <v>1477</v>
      </c>
      <c r="AX56" s="2126"/>
    </row>
    <row r="57" spans="2:50" ht="20.25" customHeight="1">
      <c r="B57" s="1487"/>
      <c r="C57" s="1487"/>
      <c r="D57" s="1487"/>
      <c r="E57" s="1487"/>
      <c r="F57" s="1487"/>
      <c r="G57" s="1487"/>
      <c r="H57" s="1487"/>
      <c r="I57" s="1487"/>
      <c r="J57" s="1487"/>
      <c r="K57" s="1487"/>
      <c r="L57" s="1487"/>
      <c r="M57" s="1487"/>
      <c r="N57" s="1487"/>
      <c r="O57" s="1487"/>
      <c r="P57" s="1487"/>
      <c r="Q57" s="1487"/>
      <c r="R57" s="1487"/>
      <c r="S57" s="1487"/>
      <c r="T57" s="1487"/>
      <c r="V57" s="2144">
        <f>LARGE(V5:V56,1)+1</f>
        <v>50</v>
      </c>
      <c r="W57" s="2145" t="s">
        <v>1476</v>
      </c>
      <c r="X57" s="2144">
        <f>LARGE(X5:X56,1)+1</f>
        <v>106</v>
      </c>
      <c r="Y57" s="2145" t="s">
        <v>1475</v>
      </c>
      <c r="Z57" s="2144">
        <f>LARGE(Z5:Z56,1)+1</f>
        <v>157</v>
      </c>
      <c r="AA57" s="2145" t="s">
        <v>1474</v>
      </c>
      <c r="AB57" s="2144">
        <f>LARGE(AB5:AB56,1)+1</f>
        <v>213</v>
      </c>
      <c r="AC57" s="2145" t="s">
        <v>1473</v>
      </c>
      <c r="AD57" s="2144">
        <f>LARGE(AD5:AD56,1)+1</f>
        <v>267</v>
      </c>
      <c r="AE57" s="2145" t="s">
        <v>1472</v>
      </c>
      <c r="AF57" s="2146"/>
      <c r="AG57" s="2146"/>
      <c r="AH57" s="2149">
        <f>LARGE(AH4:AH56,1)+1</f>
        <v>54</v>
      </c>
      <c r="AI57" s="2151" t="s">
        <v>1471</v>
      </c>
      <c r="AJ57" s="2150"/>
      <c r="AK57" s="2149">
        <f>LARGE(AK4:AK56,1)+1</f>
        <v>110</v>
      </c>
      <c r="AL57" s="2151" t="s">
        <v>1470</v>
      </c>
      <c r="AM57" s="2128"/>
      <c r="AN57" s="2128"/>
      <c r="AO57" s="2131"/>
      <c r="AP57" s="2133" t="s">
        <v>1469</v>
      </c>
      <c r="AR57" s="2127">
        <v>2</v>
      </c>
      <c r="AS57" s="2126" t="s">
        <v>1468</v>
      </c>
      <c r="AV57" s="2127">
        <v>9</v>
      </c>
      <c r="AW57" s="2126" t="s">
        <v>1467</v>
      </c>
      <c r="AX57" s="2126"/>
    </row>
    <row r="58" spans="2:50" ht="21" customHeight="1">
      <c r="B58" s="1487"/>
      <c r="C58" s="1487"/>
      <c r="D58" s="1487"/>
      <c r="E58" s="1487"/>
      <c r="F58" s="1487"/>
      <c r="G58" s="1487"/>
      <c r="H58" s="1487"/>
      <c r="I58" s="1487"/>
      <c r="J58" s="1487"/>
      <c r="K58" s="1487"/>
      <c r="L58" s="1487"/>
      <c r="M58" s="1487"/>
      <c r="N58" s="1487"/>
      <c r="O58" s="1487"/>
      <c r="P58" s="1487"/>
      <c r="Q58" s="1487"/>
      <c r="R58" s="1487"/>
      <c r="S58" s="1487"/>
      <c r="T58" s="1487"/>
      <c r="V58" s="2144">
        <f>LARGE(V5:V57,1)+1</f>
        <v>51</v>
      </c>
      <c r="W58" s="2145" t="s">
        <v>1466</v>
      </c>
      <c r="X58" s="2144">
        <f>LARGE(X5:X57,1)+1</f>
        <v>107</v>
      </c>
      <c r="Y58" s="2145" t="s">
        <v>1465</v>
      </c>
      <c r="Z58" s="2144">
        <f>LARGE(Z5:Z57,1)+1</f>
        <v>158</v>
      </c>
      <c r="AA58" s="2145" t="s">
        <v>1464</v>
      </c>
      <c r="AB58" s="2144">
        <f>LARGE(AB5:AB57,1)+1</f>
        <v>214</v>
      </c>
      <c r="AC58" s="2145" t="s">
        <v>1463</v>
      </c>
      <c r="AD58" s="2144"/>
      <c r="AE58" s="2146"/>
      <c r="AF58" s="2146"/>
      <c r="AG58" s="2146"/>
      <c r="AH58" s="2149">
        <f>LARGE(AH4:AH57,1)+1</f>
        <v>55</v>
      </c>
      <c r="AI58" s="2151" t="s">
        <v>1462</v>
      </c>
      <c r="AJ58" s="2150"/>
      <c r="AK58" s="2149">
        <f>LARGE(AK4:AK57,1)+1</f>
        <v>111</v>
      </c>
      <c r="AL58" s="2151" t="s">
        <v>1461</v>
      </c>
      <c r="AM58" s="2128"/>
      <c r="AN58" s="2128"/>
      <c r="AO58" s="2131"/>
      <c r="AP58" s="2133" t="s">
        <v>1460</v>
      </c>
      <c r="AR58" s="2127"/>
      <c r="AS58" s="2125"/>
      <c r="AV58" s="2127">
        <v>10</v>
      </c>
      <c r="AW58" s="2126" t="s">
        <v>1459</v>
      </c>
      <c r="AX58" s="2126"/>
    </row>
    <row r="59" spans="2:50" ht="24" customHeight="1">
      <c r="V59" s="2144">
        <f>LARGE(V5:V58,1)+1</f>
        <v>52</v>
      </c>
      <c r="W59" s="2145" t="s">
        <v>1458</v>
      </c>
      <c r="X59" s="2144">
        <f>LARGE(X5:X58,1)+1</f>
        <v>108</v>
      </c>
      <c r="Y59" s="2145" t="s">
        <v>1457</v>
      </c>
      <c r="Z59" s="2144">
        <f>LARGE(Z5:Z58,1)+1</f>
        <v>159</v>
      </c>
      <c r="AA59" s="2145" t="s">
        <v>1456</v>
      </c>
      <c r="AB59" s="2144">
        <f>LARGE(AB5:AB58,1)+1</f>
        <v>215</v>
      </c>
      <c r="AC59" s="2145" t="s">
        <v>1455</v>
      </c>
      <c r="AD59" s="2144"/>
      <c r="AE59" s="2146"/>
      <c r="AF59" s="2146"/>
      <c r="AG59" s="2146"/>
      <c r="AH59" s="2149">
        <f>LARGE(AH4:AH58,1)+1</f>
        <v>56</v>
      </c>
      <c r="AI59" s="2151" t="s">
        <v>1454</v>
      </c>
      <c r="AJ59" s="2150"/>
      <c r="AK59" s="2149"/>
      <c r="AL59" s="2148"/>
      <c r="AM59" s="2128"/>
      <c r="AN59" s="2128"/>
      <c r="AO59" s="2131"/>
      <c r="AP59" s="2133" t="s">
        <v>1453</v>
      </c>
      <c r="AR59" s="2127"/>
      <c r="AS59" s="2125"/>
      <c r="AV59" s="2127">
        <v>11</v>
      </c>
      <c r="AW59" s="2126" t="s">
        <v>1452</v>
      </c>
      <c r="AX59" s="2126"/>
    </row>
    <row r="60" spans="2:50" ht="24" customHeight="1">
      <c r="V60" s="2144">
        <f>LARGE(V5:V59,1)+1</f>
        <v>53</v>
      </c>
      <c r="W60" s="2145" t="s">
        <v>1451</v>
      </c>
      <c r="X60" s="2144">
        <f>LARGE(X5:X59,1)+1</f>
        <v>109</v>
      </c>
      <c r="Y60" s="2145" t="s">
        <v>1450</v>
      </c>
      <c r="Z60" s="2144">
        <f>LARGE(Z5:Z59,1)+1</f>
        <v>160</v>
      </c>
      <c r="AA60" s="2145" t="s">
        <v>1449</v>
      </c>
      <c r="AB60" s="2144"/>
      <c r="AC60" s="2146"/>
      <c r="AD60" s="2144"/>
      <c r="AE60" s="2146"/>
      <c r="AF60" s="2146"/>
      <c r="AG60" s="2146"/>
      <c r="AH60" s="2128"/>
      <c r="AI60" s="2128"/>
      <c r="AJ60" s="2128"/>
      <c r="AK60" s="2128"/>
      <c r="AL60" s="2128"/>
      <c r="AM60" s="2128"/>
      <c r="AN60" s="2128"/>
      <c r="AO60" s="2131"/>
      <c r="AP60" s="2134" t="s">
        <v>18</v>
      </c>
      <c r="AR60" s="2127">
        <v>1</v>
      </c>
      <c r="AS60" s="2126" t="s">
        <v>1448</v>
      </c>
      <c r="AV60" s="2127">
        <v>12</v>
      </c>
      <c r="AW60" s="2126" t="s">
        <v>1447</v>
      </c>
      <c r="AX60" s="2126"/>
    </row>
    <row r="61" spans="2:50" ht="20.25" customHeight="1">
      <c r="V61" s="2144">
        <f>LARGE(V5:V60,1)+1</f>
        <v>54</v>
      </c>
      <c r="W61" s="2145" t="s">
        <v>1446</v>
      </c>
      <c r="X61" s="2144">
        <f>LARGE(X5:X60,1)+1</f>
        <v>110</v>
      </c>
      <c r="Y61" s="2145" t="s">
        <v>1445</v>
      </c>
      <c r="Z61" s="2144">
        <f>LARGE(Z5:Z60,1)+1</f>
        <v>161</v>
      </c>
      <c r="AA61" s="2145" t="s">
        <v>1444</v>
      </c>
      <c r="AB61" s="2144"/>
      <c r="AC61" s="2147" t="s">
        <v>1443</v>
      </c>
      <c r="AD61" s="2144"/>
      <c r="AE61" s="2146"/>
      <c r="AF61" s="2146"/>
      <c r="AG61" s="2146"/>
      <c r="AH61" s="2128"/>
      <c r="AI61" s="2128"/>
      <c r="AJ61" s="2128"/>
      <c r="AK61" s="2128"/>
      <c r="AL61" s="2128"/>
      <c r="AM61" s="2128"/>
      <c r="AN61" s="2128"/>
      <c r="AO61" s="2131"/>
      <c r="AP61" s="2133" t="s">
        <v>1442</v>
      </c>
      <c r="AR61" s="2127">
        <v>2</v>
      </c>
      <c r="AS61" s="2126" t="s">
        <v>1441</v>
      </c>
      <c r="AV61" s="2127"/>
      <c r="AW61" s="2126"/>
      <c r="AX61" s="2126"/>
    </row>
    <row r="62" spans="2:50" ht="20.25" customHeight="1">
      <c r="V62" s="2144">
        <f>LARGE(V5:V61,1)+1</f>
        <v>55</v>
      </c>
      <c r="W62" s="2145" t="s">
        <v>1440</v>
      </c>
      <c r="X62" s="2144">
        <f>LARGE(X5:X61,1)+1</f>
        <v>111</v>
      </c>
      <c r="Y62" s="2145" t="s">
        <v>1439</v>
      </c>
      <c r="Z62" s="2144">
        <f>LARGE(Z5:Z61,1)+1</f>
        <v>162</v>
      </c>
      <c r="AA62" s="2145" t="s">
        <v>1438</v>
      </c>
      <c r="AB62" s="2144">
        <f>LARGE(AB5:AB61,1)+1</f>
        <v>216</v>
      </c>
      <c r="AC62" s="2145" t="s">
        <v>1437</v>
      </c>
      <c r="AD62" s="2144"/>
      <c r="AE62" s="2146"/>
      <c r="AF62" s="2146"/>
      <c r="AG62" s="2146"/>
      <c r="AH62" s="2128"/>
      <c r="AI62" s="2128"/>
      <c r="AJ62" s="2128"/>
      <c r="AK62" s="2128"/>
      <c r="AL62" s="2128"/>
      <c r="AM62" s="2128"/>
      <c r="AN62" s="2128"/>
      <c r="AO62" s="2131"/>
      <c r="AP62" s="2133" t="s">
        <v>1436</v>
      </c>
      <c r="AR62" s="2127">
        <v>3</v>
      </c>
      <c r="AS62" s="2126" t="s">
        <v>1435</v>
      </c>
      <c r="AV62" s="2140" t="s">
        <v>421</v>
      </c>
      <c r="AW62" s="2139" t="s">
        <v>1434</v>
      </c>
      <c r="AX62" s="2126"/>
    </row>
    <row r="63" spans="2:50" ht="20.25" customHeight="1">
      <c r="V63" s="2128"/>
      <c r="W63" s="2128"/>
      <c r="X63" s="2144">
        <f>LARGE(X5:X62,1)+1</f>
        <v>112</v>
      </c>
      <c r="Y63" s="2145" t="s">
        <v>1433</v>
      </c>
      <c r="Z63" s="2144"/>
      <c r="AA63" s="2128"/>
      <c r="AB63" s="2144"/>
      <c r="AC63" s="2128"/>
      <c r="AD63" s="2144"/>
      <c r="AE63" s="2128"/>
      <c r="AF63" s="2128"/>
      <c r="AG63" s="2128"/>
      <c r="AH63" s="2128"/>
      <c r="AI63" s="2128"/>
      <c r="AJ63" s="2128"/>
      <c r="AK63" s="2128"/>
      <c r="AL63" s="2128"/>
      <c r="AM63" s="2128"/>
      <c r="AN63" s="2128"/>
      <c r="AO63" s="2131"/>
      <c r="AP63" s="2135" t="s">
        <v>1432</v>
      </c>
      <c r="AR63" s="2127">
        <v>4</v>
      </c>
      <c r="AS63" s="2126" t="s">
        <v>1431</v>
      </c>
      <c r="AV63" s="4888">
        <v>1</v>
      </c>
      <c r="AW63" s="4884" t="s">
        <v>1430</v>
      </c>
      <c r="AX63" s="4884"/>
    </row>
    <row r="64" spans="2:50" ht="20.25" customHeight="1">
      <c r="V64" s="2128"/>
      <c r="W64" s="2128"/>
      <c r="X64" s="2143"/>
      <c r="Y64" s="2128"/>
      <c r="Z64" s="2128"/>
      <c r="AA64" s="2128"/>
      <c r="AB64" s="2128"/>
      <c r="AC64" s="2128"/>
      <c r="AD64" s="2128"/>
      <c r="AE64" s="2128"/>
      <c r="AF64" s="2128"/>
      <c r="AG64" s="2128"/>
      <c r="AH64" s="2128"/>
      <c r="AI64" s="2128"/>
      <c r="AJ64" s="2128"/>
      <c r="AK64" s="2128"/>
      <c r="AL64" s="2128"/>
      <c r="AM64" s="2128"/>
      <c r="AN64" s="2128"/>
      <c r="AO64" s="2131"/>
      <c r="AP64" s="2135" t="s">
        <v>1429</v>
      </c>
      <c r="AR64" s="2127">
        <v>5</v>
      </c>
      <c r="AS64" s="2126" t="s">
        <v>1428</v>
      </c>
      <c r="AV64" s="4888"/>
      <c r="AW64" s="4884"/>
      <c r="AX64" s="4884"/>
    </row>
    <row r="65" spans="22:50" ht="20.25" customHeight="1">
      <c r="V65" s="2128"/>
      <c r="W65" s="2128"/>
      <c r="X65" s="2143"/>
      <c r="Y65" s="2128"/>
      <c r="Z65" s="2128"/>
      <c r="AA65" s="2128"/>
      <c r="AB65" s="2128"/>
      <c r="AC65" s="2128"/>
      <c r="AD65" s="2128"/>
      <c r="AE65" s="2128"/>
      <c r="AF65" s="2128"/>
      <c r="AG65" s="2128"/>
      <c r="AH65" s="2128"/>
      <c r="AI65" s="2128"/>
      <c r="AJ65" s="2128"/>
      <c r="AK65" s="2128"/>
      <c r="AL65" s="2128"/>
      <c r="AM65" s="2128"/>
      <c r="AN65" s="2128"/>
      <c r="AO65" s="2131"/>
      <c r="AP65" s="2133" t="s">
        <v>1427</v>
      </c>
      <c r="AR65" s="2127">
        <v>6</v>
      </c>
      <c r="AS65" s="2126" t="s">
        <v>1426</v>
      </c>
      <c r="AV65" s="2127">
        <v>2</v>
      </c>
      <c r="AW65" s="2126" t="s">
        <v>1425</v>
      </c>
      <c r="AX65" s="2126"/>
    </row>
    <row r="66" spans="22:50" ht="20.25" customHeight="1">
      <c r="V66" s="2128"/>
      <c r="W66" s="2130" t="s">
        <v>108</v>
      </c>
      <c r="X66" s="2142" t="s">
        <v>1424</v>
      </c>
      <c r="Y66" s="25"/>
      <c r="Z66" s="2128"/>
      <c r="AA66" s="2128"/>
      <c r="AB66" s="2128"/>
      <c r="AC66" s="2128"/>
      <c r="AD66" s="2128"/>
      <c r="AE66" s="2128"/>
      <c r="AF66" s="2128"/>
      <c r="AG66" s="2128"/>
      <c r="AH66" s="2128"/>
      <c r="AI66" s="2128"/>
      <c r="AJ66" s="2128"/>
      <c r="AK66" s="2128"/>
      <c r="AL66" s="2128"/>
      <c r="AM66" s="2128"/>
      <c r="AN66" s="2128"/>
      <c r="AO66" s="2131"/>
      <c r="AP66" s="2133" t="s">
        <v>1423</v>
      </c>
      <c r="AR66" s="2127">
        <v>7</v>
      </c>
      <c r="AS66" s="2126" t="s">
        <v>1422</v>
      </c>
      <c r="AV66" s="2127">
        <v>3</v>
      </c>
      <c r="AW66" s="2126" t="s">
        <v>1421</v>
      </c>
      <c r="AX66" s="2126"/>
    </row>
    <row r="67" spans="22:50" ht="20.25" customHeight="1">
      <c r="V67" s="2128"/>
      <c r="W67" s="2130" t="s">
        <v>108</v>
      </c>
      <c r="X67" s="2142" t="s">
        <v>1420</v>
      </c>
      <c r="Y67" s="25"/>
      <c r="Z67" s="2128"/>
      <c r="AA67" s="2128"/>
      <c r="AB67" s="2128"/>
      <c r="AC67" s="2128"/>
      <c r="AD67" s="2128"/>
      <c r="AE67" s="2128"/>
      <c r="AF67" s="2128"/>
      <c r="AG67" s="2128"/>
      <c r="AH67" s="2128"/>
      <c r="AI67" s="2128"/>
      <c r="AJ67" s="2128"/>
      <c r="AK67" s="2128"/>
      <c r="AL67" s="2128"/>
      <c r="AM67" s="2128"/>
      <c r="AN67" s="2128"/>
      <c r="AO67" s="2131"/>
      <c r="AP67" s="2134" t="s">
        <v>872</v>
      </c>
      <c r="AR67" s="2127">
        <v>8</v>
      </c>
      <c r="AS67" s="2126" t="s">
        <v>1419</v>
      </c>
      <c r="AV67" s="2127">
        <v>4</v>
      </c>
      <c r="AW67" s="2126" t="s">
        <v>1418</v>
      </c>
      <c r="AX67" s="2126"/>
    </row>
    <row r="68" spans="22:50" ht="27" customHeight="1">
      <c r="V68" s="2128"/>
      <c r="W68" s="2130" t="s">
        <v>1417</v>
      </c>
      <c r="X68" s="2142" t="s">
        <v>1416</v>
      </c>
      <c r="Y68" s="2141"/>
      <c r="Z68" s="2128"/>
      <c r="AA68" s="2128"/>
      <c r="AB68" s="2128"/>
      <c r="AC68" s="2128"/>
      <c r="AD68" s="2128"/>
      <c r="AE68" s="2128"/>
      <c r="AF68" s="2128"/>
      <c r="AG68" s="2128"/>
      <c r="AH68" s="2128"/>
      <c r="AI68" s="2128"/>
      <c r="AJ68" s="2128"/>
      <c r="AK68" s="2128"/>
      <c r="AL68" s="2128"/>
      <c r="AM68" s="2128"/>
      <c r="AN68" s="2128"/>
      <c r="AO68" s="2131"/>
      <c r="AP68" s="2133" t="s">
        <v>1415</v>
      </c>
      <c r="AR68" s="2127">
        <v>9</v>
      </c>
      <c r="AS68" s="2126" t="s">
        <v>1414</v>
      </c>
      <c r="AV68" s="2127">
        <v>5</v>
      </c>
      <c r="AW68" s="2126" t="s">
        <v>1413</v>
      </c>
      <c r="AX68" s="2126"/>
    </row>
    <row r="69" spans="22:50" ht="18.75">
      <c r="V69" s="2128"/>
      <c r="W69" s="2128"/>
      <c r="X69" s="2128"/>
      <c r="Y69" s="2128"/>
      <c r="Z69" s="2128"/>
      <c r="AA69" s="2128"/>
      <c r="AB69" s="2128"/>
      <c r="AC69" s="2128"/>
      <c r="AD69" s="2128"/>
      <c r="AE69" s="2128"/>
      <c r="AF69" s="2128"/>
      <c r="AG69" s="2128"/>
      <c r="AH69" s="2128"/>
      <c r="AI69" s="2128"/>
      <c r="AJ69" s="2128"/>
      <c r="AK69" s="2128"/>
      <c r="AL69" s="2128"/>
      <c r="AM69" s="2128"/>
      <c r="AN69" s="2128"/>
      <c r="AO69" s="2131"/>
      <c r="AP69" s="2133" t="s">
        <v>1412</v>
      </c>
      <c r="AR69" s="2127">
        <v>10</v>
      </c>
      <c r="AS69" s="2126" t="s">
        <v>1411</v>
      </c>
      <c r="AV69" s="2127"/>
      <c r="AW69" s="2126"/>
      <c r="AX69" s="2126"/>
    </row>
    <row r="70" spans="22:50" ht="30">
      <c r="V70" s="2128"/>
      <c r="W70" s="2128"/>
      <c r="X70" s="2128"/>
      <c r="Y70" s="2128"/>
      <c r="Z70" s="2128"/>
      <c r="AA70" s="2128"/>
      <c r="AB70" s="2128"/>
      <c r="AC70" s="2128"/>
      <c r="AD70" s="2128"/>
      <c r="AE70" s="2128"/>
      <c r="AF70" s="2128"/>
      <c r="AG70" s="2128"/>
      <c r="AH70" s="2128"/>
      <c r="AI70" s="2128"/>
      <c r="AJ70" s="2128"/>
      <c r="AK70" s="2128"/>
      <c r="AL70" s="2128"/>
      <c r="AM70" s="2128"/>
      <c r="AN70" s="2128"/>
      <c r="AO70" s="2131"/>
      <c r="AP70" s="2134" t="s">
        <v>642</v>
      </c>
      <c r="AR70" s="2127">
        <v>11</v>
      </c>
      <c r="AS70" s="2126" t="s">
        <v>1410</v>
      </c>
      <c r="AV70" s="2140" t="s">
        <v>420</v>
      </c>
      <c r="AW70" s="2139" t="s">
        <v>1409</v>
      </c>
      <c r="AX70" s="2126"/>
    </row>
    <row r="71" spans="22:50" ht="18.75">
      <c r="V71" s="2128"/>
      <c r="W71" s="2128"/>
      <c r="X71" s="2128"/>
      <c r="Y71" s="2128"/>
      <c r="Z71" s="2128"/>
      <c r="AA71" s="2128"/>
      <c r="AB71" s="2128"/>
      <c r="AC71" s="2128"/>
      <c r="AD71" s="2128"/>
      <c r="AE71" s="2128"/>
      <c r="AF71" s="2128"/>
      <c r="AG71" s="2128"/>
      <c r="AH71" s="2128"/>
      <c r="AI71" s="2128"/>
      <c r="AJ71" s="2128"/>
      <c r="AK71" s="2128"/>
      <c r="AL71" s="2128"/>
      <c r="AM71" s="2128"/>
      <c r="AN71" s="2128"/>
      <c r="AO71" s="2131"/>
      <c r="AP71" s="2133" t="s">
        <v>1408</v>
      </c>
      <c r="AR71" s="2127">
        <v>12</v>
      </c>
      <c r="AS71" s="2126" t="s">
        <v>1407</v>
      </c>
      <c r="AV71" s="2127">
        <v>1</v>
      </c>
      <c r="AW71" s="2126" t="s">
        <v>1406</v>
      </c>
      <c r="AX71" s="2126"/>
    </row>
    <row r="72" spans="22:50" ht="18.75">
      <c r="V72" s="2128"/>
      <c r="W72" s="2128"/>
      <c r="X72" s="2128"/>
      <c r="Y72" s="2128"/>
      <c r="Z72" s="2128"/>
      <c r="AA72" s="2128"/>
      <c r="AB72" s="2128"/>
      <c r="AC72" s="2128"/>
      <c r="AD72" s="2128"/>
      <c r="AE72" s="2128"/>
      <c r="AF72" s="2128"/>
      <c r="AG72" s="2128"/>
      <c r="AH72" s="2128"/>
      <c r="AI72" s="2128"/>
      <c r="AJ72" s="2128"/>
      <c r="AK72" s="2128"/>
      <c r="AL72" s="2128"/>
      <c r="AM72" s="2128"/>
      <c r="AN72" s="2128"/>
      <c r="AO72" s="2131"/>
      <c r="AP72" s="2133" t="s">
        <v>1405</v>
      </c>
      <c r="AR72" s="2127"/>
      <c r="AS72" s="2125"/>
      <c r="AV72" s="2127">
        <v>2</v>
      </c>
      <c r="AW72" s="2126" t="s">
        <v>1404</v>
      </c>
      <c r="AX72" s="2126"/>
    </row>
    <row r="73" spans="22:50" ht="30">
      <c r="V73" s="2128"/>
      <c r="W73" s="2128"/>
      <c r="X73" s="2128"/>
      <c r="Y73" s="2128"/>
      <c r="Z73" s="2128"/>
      <c r="AA73" s="2128"/>
      <c r="AB73" s="2128"/>
      <c r="AC73" s="2128"/>
      <c r="AD73" s="2128"/>
      <c r="AE73" s="2128"/>
      <c r="AF73" s="2128"/>
      <c r="AG73" s="2128"/>
      <c r="AH73" s="2128"/>
      <c r="AI73" s="2128"/>
      <c r="AJ73" s="2128"/>
      <c r="AK73" s="2128"/>
      <c r="AL73" s="2128"/>
      <c r="AM73" s="2128"/>
      <c r="AN73" s="2128"/>
      <c r="AO73" s="2131"/>
      <c r="AP73" s="2134" t="s">
        <v>53</v>
      </c>
      <c r="AR73" s="2127"/>
      <c r="AS73" s="2125"/>
      <c r="AV73" s="2127">
        <v>3</v>
      </c>
      <c r="AW73" s="2126" t="s">
        <v>1403</v>
      </c>
      <c r="AX73" s="2126"/>
    </row>
    <row r="74" spans="22:50" ht="18.75">
      <c r="V74" s="2128"/>
      <c r="Z74" s="2128"/>
      <c r="AA74" s="2128"/>
      <c r="AB74" s="2128"/>
      <c r="AC74" s="2128"/>
      <c r="AD74" s="2128"/>
      <c r="AE74" s="2128"/>
      <c r="AF74" s="2128"/>
      <c r="AG74" s="2128"/>
      <c r="AH74" s="2128"/>
      <c r="AI74" s="2128"/>
      <c r="AJ74" s="2128"/>
      <c r="AK74" s="2128"/>
      <c r="AL74" s="2128"/>
      <c r="AN74" s="2128"/>
      <c r="AO74" s="2131"/>
      <c r="AP74" s="2133" t="s">
        <v>1402</v>
      </c>
      <c r="AR74" s="2127">
        <v>1</v>
      </c>
      <c r="AS74" s="2126" t="s">
        <v>1401</v>
      </c>
      <c r="AV74" s="4888">
        <v>4</v>
      </c>
      <c r="AW74" s="4885" t="s">
        <v>1400</v>
      </c>
      <c r="AX74" s="4885"/>
    </row>
    <row r="75" spans="22:50" ht="18.75">
      <c r="V75" s="2128"/>
      <c r="Z75" s="2128"/>
      <c r="AA75" s="2128"/>
      <c r="AB75" s="2128"/>
      <c r="AC75" s="2128"/>
      <c r="AD75" s="2128"/>
      <c r="AE75" s="2128"/>
      <c r="AF75" s="2128"/>
      <c r="AG75" s="2128"/>
      <c r="AH75" s="2128"/>
      <c r="AI75" s="2128"/>
      <c r="AJ75" s="2128"/>
      <c r="AK75" s="2128"/>
      <c r="AL75" s="2128"/>
      <c r="AN75" s="2128"/>
      <c r="AO75" s="2131"/>
      <c r="AP75" s="2133" t="s">
        <v>1399</v>
      </c>
      <c r="AR75" s="2127">
        <v>2</v>
      </c>
      <c r="AS75" s="2126" t="s">
        <v>1398</v>
      </c>
      <c r="AV75" s="4888"/>
      <c r="AW75" s="4885"/>
      <c r="AX75" s="4885"/>
    </row>
    <row r="76" spans="22:50" ht="18.75">
      <c r="V76" s="2128"/>
      <c r="Z76" s="2128"/>
      <c r="AA76" s="2128"/>
      <c r="AB76" s="2128"/>
      <c r="AC76" s="2128"/>
      <c r="AD76" s="2128"/>
      <c r="AE76" s="2128"/>
      <c r="AF76" s="2128"/>
      <c r="AG76" s="2128"/>
      <c r="AH76" s="2128"/>
      <c r="AI76" s="2128"/>
      <c r="AJ76" s="2128"/>
      <c r="AK76" s="2128"/>
      <c r="AL76" s="2128"/>
      <c r="AN76" s="2128"/>
      <c r="AO76" s="2131"/>
      <c r="AP76" s="2133" t="s">
        <v>1397</v>
      </c>
      <c r="AR76" s="2127">
        <v>3</v>
      </c>
      <c r="AS76" s="2126" t="s">
        <v>1396</v>
      </c>
      <c r="AV76" s="2127"/>
      <c r="AW76" s="2126"/>
      <c r="AX76" s="2126"/>
    </row>
    <row r="77" spans="22:50" ht="18.75">
      <c r="AN77" s="2128"/>
      <c r="AO77" s="2131"/>
      <c r="AP77" s="2133" t="s">
        <v>1395</v>
      </c>
      <c r="AR77" s="2127">
        <v>4</v>
      </c>
      <c r="AS77" s="2126" t="s">
        <v>1394</v>
      </c>
      <c r="AV77" s="2140" t="s">
        <v>419</v>
      </c>
      <c r="AW77" s="2139" t="s">
        <v>1393</v>
      </c>
      <c r="AX77" s="2126"/>
    </row>
    <row r="78" spans="22:50" ht="18.75">
      <c r="AN78" s="2128"/>
      <c r="AO78" s="2131"/>
      <c r="AP78" s="2135" t="s">
        <v>1392</v>
      </c>
      <c r="AR78" s="2127">
        <v>5</v>
      </c>
      <c r="AS78" s="2126" t="s">
        <v>1391</v>
      </c>
      <c r="AV78" s="2127">
        <v>1</v>
      </c>
      <c r="AW78" s="2126" t="s">
        <v>1390</v>
      </c>
      <c r="AX78" s="2126"/>
    </row>
    <row r="79" spans="22:50" ht="18.75">
      <c r="AN79" s="2128"/>
      <c r="AO79" s="2131"/>
      <c r="AP79" s="2135" t="s">
        <v>1389</v>
      </c>
      <c r="AR79" s="2127">
        <v>6</v>
      </c>
      <c r="AS79" s="2126" t="s">
        <v>1388</v>
      </c>
      <c r="AV79" s="2127">
        <v>2</v>
      </c>
      <c r="AW79" s="4884" t="s">
        <v>1387</v>
      </c>
      <c r="AX79" s="4884"/>
    </row>
    <row r="80" spans="22:50" ht="18.75">
      <c r="AN80" s="2128"/>
      <c r="AO80" s="2131"/>
      <c r="AP80" s="2133" t="s">
        <v>1386</v>
      </c>
      <c r="AR80" s="2127">
        <v>7</v>
      </c>
      <c r="AS80" s="2126" t="s">
        <v>1385</v>
      </c>
      <c r="AV80" s="2127">
        <v>3</v>
      </c>
      <c r="AW80" s="4884"/>
      <c r="AX80" s="4884"/>
    </row>
    <row r="81" spans="40:50" ht="30">
      <c r="AN81" s="2128"/>
      <c r="AO81" s="2131"/>
      <c r="AP81" s="2134" t="s">
        <v>1233</v>
      </c>
      <c r="AR81" s="2127">
        <v>8</v>
      </c>
      <c r="AS81" s="2126" t="s">
        <v>1384</v>
      </c>
      <c r="AV81" s="2127"/>
      <c r="AW81" s="2126"/>
      <c r="AX81" s="2126"/>
    </row>
    <row r="82" spans="40:50" ht="18.75">
      <c r="AN82" s="2128"/>
      <c r="AO82" s="2131"/>
      <c r="AP82" s="2133" t="s">
        <v>1383</v>
      </c>
      <c r="AR82" s="2127">
        <v>9</v>
      </c>
      <c r="AS82" s="2126" t="s">
        <v>1382</v>
      </c>
      <c r="AV82" s="2137" t="s">
        <v>1381</v>
      </c>
      <c r="AW82" s="2138" t="s">
        <v>1380</v>
      </c>
      <c r="AX82" s="2126"/>
    </row>
    <row r="83" spans="40:50" ht="30">
      <c r="AN83" s="2128"/>
      <c r="AO83" s="2131"/>
      <c r="AP83" s="2134" t="s">
        <v>54</v>
      </c>
      <c r="AR83" s="2127">
        <v>10</v>
      </c>
      <c r="AS83" s="2126" t="s">
        <v>1379</v>
      </c>
      <c r="AV83" s="2137" t="s">
        <v>1378</v>
      </c>
      <c r="AW83" s="4884" t="s">
        <v>1377</v>
      </c>
      <c r="AX83" s="4884"/>
    </row>
    <row r="84" spans="40:50" ht="25.5">
      <c r="AN84" s="2128"/>
      <c r="AO84" s="2131"/>
      <c r="AP84" s="2133" t="s">
        <v>1376</v>
      </c>
      <c r="AR84" s="2127">
        <v>11</v>
      </c>
      <c r="AS84" s="2126" t="s">
        <v>1375</v>
      </c>
      <c r="AV84" s="2127"/>
      <c r="AW84" s="4884"/>
      <c r="AX84" s="4884"/>
    </row>
    <row r="85" spans="40:50" ht="18.75">
      <c r="AN85" s="2128"/>
      <c r="AO85" s="2131"/>
      <c r="AP85" s="2133" t="s">
        <v>1374</v>
      </c>
      <c r="AR85" s="2127">
        <v>12</v>
      </c>
      <c r="AS85" s="2126" t="s">
        <v>1373</v>
      </c>
      <c r="AV85" s="2137" t="s">
        <v>1372</v>
      </c>
      <c r="AW85" s="4884" t="s">
        <v>1371</v>
      </c>
      <c r="AX85" s="4884"/>
    </row>
    <row r="86" spans="40:50" ht="18.75">
      <c r="AN86" s="2128"/>
      <c r="AO86" s="2131"/>
      <c r="AP86" s="2133" t="s">
        <v>1370</v>
      </c>
      <c r="AR86" s="2127">
        <v>13</v>
      </c>
      <c r="AS86" s="2126" t="s">
        <v>1369</v>
      </c>
      <c r="AV86" s="2127"/>
      <c r="AW86" s="4884"/>
      <c r="AX86" s="4884"/>
    </row>
    <row r="87" spans="40:50" ht="18.75">
      <c r="AN87" s="2128"/>
      <c r="AO87" s="2131"/>
      <c r="AP87" s="2133" t="s">
        <v>1368</v>
      </c>
      <c r="AR87" s="2127">
        <v>14</v>
      </c>
      <c r="AS87" s="2126" t="s">
        <v>1367</v>
      </c>
      <c r="AV87" s="2137" t="s">
        <v>1366</v>
      </c>
      <c r="AW87" s="2126" t="s">
        <v>1365</v>
      </c>
      <c r="AX87" s="2126"/>
    </row>
    <row r="88" spans="40:50" ht="18.75">
      <c r="AN88" s="2128"/>
      <c r="AO88" s="2131"/>
      <c r="AP88" s="2133" t="s">
        <v>1364</v>
      </c>
      <c r="AR88" s="2127">
        <v>15</v>
      </c>
      <c r="AS88" s="2126" t="s">
        <v>1363</v>
      </c>
      <c r="AV88" s="2137">
        <v>1</v>
      </c>
      <c r="AW88" s="2126" t="s">
        <v>1362</v>
      </c>
      <c r="AX88" s="2126"/>
    </row>
    <row r="89" spans="40:50" ht="18.75">
      <c r="AN89" s="2128"/>
      <c r="AO89" s="2131"/>
      <c r="AP89" s="2133" t="s">
        <v>1361</v>
      </c>
      <c r="AR89" s="2127">
        <v>16</v>
      </c>
      <c r="AS89" s="2126" t="s">
        <v>1360</v>
      </c>
      <c r="AV89" s="2137">
        <v>2</v>
      </c>
      <c r="AW89" s="2126" t="s">
        <v>1359</v>
      </c>
      <c r="AX89" s="2126"/>
    </row>
    <row r="90" spans="40:50" ht="25.5">
      <c r="AN90" s="2128"/>
      <c r="AO90" s="2131"/>
      <c r="AP90" s="2133" t="s">
        <v>1358</v>
      </c>
      <c r="AR90" s="2127"/>
      <c r="AS90" s="2125"/>
      <c r="AV90" s="2137">
        <v>3</v>
      </c>
      <c r="AW90" s="2126" t="s">
        <v>1357</v>
      </c>
      <c r="AX90" s="2126"/>
    </row>
    <row r="91" spans="40:50" ht="18.75">
      <c r="AN91" s="2128"/>
      <c r="AO91" s="2131"/>
      <c r="AP91" s="2133" t="s">
        <v>1356</v>
      </c>
      <c r="AR91" s="2127"/>
      <c r="AS91" s="2125"/>
      <c r="AV91" s="2137">
        <v>4</v>
      </c>
      <c r="AW91" s="2126" t="s">
        <v>1355</v>
      </c>
      <c r="AX91" s="2126"/>
    </row>
    <row r="92" spans="40:50" ht="25.5">
      <c r="AN92" s="2128"/>
      <c r="AO92" s="2131"/>
      <c r="AP92" s="2133" t="s">
        <v>1354</v>
      </c>
      <c r="AR92" s="2127">
        <v>1</v>
      </c>
      <c r="AS92" s="2126" t="s">
        <v>1353</v>
      </c>
      <c r="AV92" s="2127"/>
      <c r="AW92" s="2126"/>
      <c r="AX92" s="2126"/>
    </row>
    <row r="93" spans="40:50" ht="30">
      <c r="AN93" s="2128"/>
      <c r="AO93" s="2131"/>
      <c r="AP93" s="2134" t="s">
        <v>1291</v>
      </c>
      <c r="AR93" s="2127">
        <v>2</v>
      </c>
      <c r="AS93" s="2126" t="s">
        <v>1352</v>
      </c>
      <c r="AV93" s="2127"/>
      <c r="AW93" s="2126"/>
      <c r="AX93" s="2126"/>
    </row>
    <row r="94" spans="40:50" ht="18.75">
      <c r="AN94" s="2128"/>
      <c r="AO94" s="2131"/>
      <c r="AP94" s="2133" t="s">
        <v>1351</v>
      </c>
      <c r="AR94" s="2127">
        <v>3</v>
      </c>
      <c r="AS94" s="2126" t="s">
        <v>1350</v>
      </c>
      <c r="AV94" s="2127"/>
      <c r="AW94" s="4885" t="s">
        <v>1349</v>
      </c>
      <c r="AX94" s="4885"/>
    </row>
    <row r="95" spans="40:50" ht="18.75">
      <c r="AN95" s="2128"/>
      <c r="AO95" s="2131"/>
      <c r="AP95" s="2133" t="s">
        <v>1348</v>
      </c>
      <c r="AR95" s="2127">
        <v>4</v>
      </c>
      <c r="AS95" s="2126" t="s">
        <v>1347</v>
      </c>
      <c r="AV95" s="2127"/>
      <c r="AW95" s="4885"/>
      <c r="AX95" s="4885"/>
    </row>
    <row r="96" spans="40:50" ht="18.75">
      <c r="AN96" s="2128"/>
      <c r="AO96" s="2131"/>
      <c r="AP96" s="2133" t="s">
        <v>1346</v>
      </c>
      <c r="AR96" s="2127">
        <v>5</v>
      </c>
      <c r="AS96" s="2126" t="s">
        <v>1345</v>
      </c>
      <c r="AV96" s="2127"/>
      <c r="AW96" s="4885" t="s">
        <v>1344</v>
      </c>
      <c r="AX96" s="4885"/>
    </row>
    <row r="97" spans="40:50" ht="18.75">
      <c r="AN97" s="2128"/>
      <c r="AO97" s="2131"/>
      <c r="AP97" s="2133" t="s">
        <v>1343</v>
      </c>
      <c r="AR97" s="2127">
        <v>6</v>
      </c>
      <c r="AS97" s="2126" t="s">
        <v>1342</v>
      </c>
      <c r="AV97" s="2127"/>
      <c r="AW97" s="4885"/>
      <c r="AX97" s="4885"/>
    </row>
    <row r="98" spans="40:50" ht="30">
      <c r="AN98" s="2128"/>
      <c r="AO98" s="2131"/>
      <c r="AP98" s="2134" t="s">
        <v>31</v>
      </c>
      <c r="AR98" s="2127">
        <v>7</v>
      </c>
      <c r="AS98" s="2126" t="s">
        <v>1341</v>
      </c>
      <c r="AV98" s="2127"/>
      <c r="AW98" s="4885"/>
      <c r="AX98" s="4885"/>
    </row>
    <row r="99" spans="40:50" ht="18.75">
      <c r="AN99" s="2128"/>
      <c r="AO99" s="2131"/>
      <c r="AP99" s="2133" t="s">
        <v>1340</v>
      </c>
      <c r="AR99" s="2127">
        <v>8</v>
      </c>
      <c r="AS99" s="2126" t="s">
        <v>1339</v>
      </c>
      <c r="AV99" s="2127"/>
      <c r="AW99" s="2136" t="s">
        <v>1338</v>
      </c>
      <c r="AX99" s="2126"/>
    </row>
    <row r="100" spans="40:50" ht="30">
      <c r="AN100" s="2128"/>
      <c r="AO100" s="2131"/>
      <c r="AP100" s="2134" t="s">
        <v>1213</v>
      </c>
      <c r="AR100" s="2127">
        <v>9</v>
      </c>
      <c r="AS100" s="2126" t="s">
        <v>1337</v>
      </c>
      <c r="AV100" s="2127"/>
      <c r="AW100" s="4883" t="s">
        <v>1336</v>
      </c>
      <c r="AX100" s="4883"/>
    </row>
    <row r="101" spans="40:50" ht="18.75">
      <c r="AN101" s="2128"/>
      <c r="AO101" s="2131"/>
      <c r="AP101" s="2133" t="s">
        <v>1335</v>
      </c>
      <c r="AR101" s="2127">
        <v>10</v>
      </c>
      <c r="AS101" s="2126" t="s">
        <v>1334</v>
      </c>
      <c r="AV101" s="2127"/>
      <c r="AW101" s="4883" t="s">
        <v>1333</v>
      </c>
      <c r="AX101" s="4883"/>
    </row>
    <row r="102" spans="40:50" ht="18.75">
      <c r="AN102" s="2128"/>
      <c r="AO102" s="2131"/>
      <c r="AP102" s="2131"/>
      <c r="AR102" s="2127">
        <v>11</v>
      </c>
      <c r="AS102" s="2126" t="s">
        <v>1332</v>
      </c>
      <c r="AV102" s="2127"/>
      <c r="AW102" s="4883" t="s">
        <v>1331</v>
      </c>
      <c r="AX102" s="4883"/>
    </row>
    <row r="103" spans="40:50" ht="18.75">
      <c r="AN103" s="2128"/>
      <c r="AO103" s="2131"/>
      <c r="AP103" s="2133" t="s">
        <v>1330</v>
      </c>
      <c r="AR103" s="2127">
        <v>12</v>
      </c>
      <c r="AS103" s="2126" t="s">
        <v>1329</v>
      </c>
      <c r="AV103" s="2127"/>
      <c r="AW103" s="2126"/>
      <c r="AX103" s="2126"/>
    </row>
    <row r="104" spans="40:50" ht="18.75">
      <c r="AN104" s="2128"/>
      <c r="AO104" s="2131"/>
      <c r="AP104" s="2133" t="s">
        <v>1328</v>
      </c>
      <c r="AR104" s="2127">
        <v>13</v>
      </c>
      <c r="AS104" s="2126" t="s">
        <v>1327</v>
      </c>
    </row>
    <row r="105" spans="40:50" ht="18.75">
      <c r="AN105" s="2128"/>
      <c r="AO105" s="2131"/>
      <c r="AP105" s="2135" t="s">
        <v>1326</v>
      </c>
      <c r="AR105" s="2127">
        <v>14</v>
      </c>
      <c r="AS105" s="2126" t="s">
        <v>1325</v>
      </c>
    </row>
    <row r="106" spans="40:50" ht="18.75">
      <c r="AN106" s="2128"/>
      <c r="AO106" s="2131"/>
      <c r="AP106" s="2135" t="s">
        <v>1324</v>
      </c>
      <c r="AR106" s="2127">
        <v>15</v>
      </c>
      <c r="AS106" s="2126" t="s">
        <v>1323</v>
      </c>
    </row>
    <row r="107" spans="40:50" ht="30">
      <c r="AN107" s="2128"/>
      <c r="AO107" s="2131"/>
      <c r="AP107" s="2134" t="s">
        <v>1175</v>
      </c>
      <c r="AR107" s="2127"/>
      <c r="AS107" s="2126"/>
    </row>
    <row r="108" spans="40:50" ht="18.75">
      <c r="AN108" s="2128"/>
      <c r="AO108" s="2131"/>
      <c r="AP108" s="2133" t="s">
        <v>1322</v>
      </c>
      <c r="AR108" s="2127"/>
      <c r="AS108" s="2125"/>
    </row>
    <row r="109" spans="40:50" ht="30">
      <c r="AN109" s="2128"/>
      <c r="AO109" s="2131"/>
      <c r="AP109" s="2134" t="s">
        <v>344</v>
      </c>
      <c r="AR109" s="2127">
        <v>1</v>
      </c>
      <c r="AS109" s="2126" t="s">
        <v>1321</v>
      </c>
    </row>
    <row r="110" spans="40:50" ht="18.75">
      <c r="AN110" s="2128"/>
      <c r="AO110" s="2131"/>
      <c r="AP110" s="2133" t="s">
        <v>1320</v>
      </c>
      <c r="AR110" s="2127">
        <v>2</v>
      </c>
      <c r="AS110" s="2126" t="s">
        <v>1319</v>
      </c>
    </row>
    <row r="111" spans="40:50" ht="18.75">
      <c r="AN111" s="2128"/>
      <c r="AO111" s="2131"/>
      <c r="AP111" s="2133" t="s">
        <v>1318</v>
      </c>
      <c r="AR111" s="2127">
        <v>3</v>
      </c>
      <c r="AS111" s="2126" t="s">
        <v>1317</v>
      </c>
    </row>
    <row r="112" spans="40:50" ht="18.75">
      <c r="AN112" s="2128"/>
      <c r="AO112" s="2131"/>
      <c r="AP112" s="2131"/>
      <c r="AR112" s="2127">
        <v>4</v>
      </c>
      <c r="AS112" s="2126" t="s">
        <v>1316</v>
      </c>
    </row>
    <row r="113" spans="40:45" ht="18.75">
      <c r="AN113" s="2128"/>
      <c r="AO113" s="2131"/>
      <c r="AP113" s="2131"/>
      <c r="AR113" s="2127">
        <v>5</v>
      </c>
      <c r="AS113" s="2126" t="s">
        <v>1315</v>
      </c>
    </row>
    <row r="114" spans="40:45" ht="18.75">
      <c r="AN114" s="2128"/>
      <c r="AO114" s="2130" t="s">
        <v>108</v>
      </c>
      <c r="AP114" s="2129" t="s">
        <v>1314</v>
      </c>
      <c r="AR114" s="2127">
        <v>6</v>
      </c>
      <c r="AS114" s="2126" t="s">
        <v>1313</v>
      </c>
    </row>
    <row r="115" spans="40:45" ht="18.75">
      <c r="AN115" s="2128"/>
      <c r="AO115" s="2132"/>
      <c r="AP115" s="2129"/>
      <c r="AR115" s="2127">
        <v>7</v>
      </c>
      <c r="AS115" s="2126" t="s">
        <v>1312</v>
      </c>
    </row>
    <row r="116" spans="40:45" ht="18.75">
      <c r="AN116" s="2128"/>
      <c r="AO116" s="2130" t="s">
        <v>108</v>
      </c>
      <c r="AP116" s="2129" t="s">
        <v>1311</v>
      </c>
      <c r="AR116" s="2127">
        <v>8</v>
      </c>
      <c r="AS116" s="2126" t="s">
        <v>1310</v>
      </c>
    </row>
    <row r="117" spans="40:45" ht="18.75">
      <c r="AN117" s="2128"/>
      <c r="AP117" s="2131"/>
      <c r="AR117" s="2127"/>
      <c r="AS117" s="2125"/>
    </row>
    <row r="118" spans="40:45" ht="18.75">
      <c r="AN118" s="2128"/>
      <c r="AO118" s="2130" t="s">
        <v>108</v>
      </c>
      <c r="AP118" s="2129" t="s">
        <v>1309</v>
      </c>
      <c r="AR118" s="2127"/>
      <c r="AS118" s="2125"/>
    </row>
    <row r="119" spans="40:45" ht="18.75">
      <c r="AN119" s="2128"/>
      <c r="AR119" s="2127">
        <v>1</v>
      </c>
      <c r="AS119" s="2126" t="s">
        <v>1308</v>
      </c>
    </row>
    <row r="120" spans="40:45" ht="18.75">
      <c r="AN120" s="2128"/>
      <c r="AO120" s="2130" t="s">
        <v>108</v>
      </c>
      <c r="AP120" s="2129" t="s">
        <v>1307</v>
      </c>
      <c r="AR120" s="2127">
        <v>2</v>
      </c>
      <c r="AS120" s="2126" t="s">
        <v>1306</v>
      </c>
    </row>
    <row r="121" spans="40:45" ht="18.75">
      <c r="AN121" s="2128"/>
      <c r="AR121" s="2127">
        <v>3</v>
      </c>
      <c r="AS121" s="2126" t="s">
        <v>1305</v>
      </c>
    </row>
    <row r="122" spans="40:45" ht="18.75">
      <c r="AN122" s="2128"/>
      <c r="AO122" s="2130" t="s">
        <v>108</v>
      </c>
      <c r="AP122" s="2129" t="s">
        <v>1304</v>
      </c>
      <c r="AR122" s="2127">
        <v>4</v>
      </c>
      <c r="AS122" s="2126" t="s">
        <v>1303</v>
      </c>
    </row>
    <row r="123" spans="40:45" ht="18.75">
      <c r="AN123" s="2128"/>
      <c r="AR123" s="2127">
        <v>5</v>
      </c>
      <c r="AS123" s="2126" t="s">
        <v>1302</v>
      </c>
    </row>
    <row r="124" spans="40:45" ht="18.75">
      <c r="AN124" s="2128"/>
      <c r="AR124" s="2127">
        <v>6</v>
      </c>
      <c r="AS124" s="2126" t="s">
        <v>1301</v>
      </c>
    </row>
    <row r="125" spans="40:45" ht="18.75">
      <c r="AR125" s="2127">
        <v>7</v>
      </c>
      <c r="AS125" s="2126" t="s">
        <v>661</v>
      </c>
    </row>
    <row r="126" spans="40:45" ht="18.75">
      <c r="AR126" s="2127"/>
      <c r="AS126" s="2125"/>
    </row>
    <row r="127" spans="40:45" ht="18.75">
      <c r="AR127" s="2127"/>
      <c r="AS127" s="2125"/>
    </row>
    <row r="128" spans="40:45" ht="18.75">
      <c r="AR128" s="2127">
        <v>1</v>
      </c>
      <c r="AS128" s="2126" t="s">
        <v>1300</v>
      </c>
    </row>
    <row r="129" spans="44:45" ht="18.75">
      <c r="AR129" s="2127">
        <v>2</v>
      </c>
      <c r="AS129" s="2126" t="s">
        <v>1299</v>
      </c>
    </row>
    <row r="130" spans="44:45" ht="18.75">
      <c r="AR130" s="2127">
        <v>3</v>
      </c>
      <c r="AS130" s="2126" t="s">
        <v>1298</v>
      </c>
    </row>
    <row r="131" spans="44:45" ht="18.75">
      <c r="AR131" s="2127">
        <v>4</v>
      </c>
      <c r="AS131" s="2126" t="s">
        <v>1297</v>
      </c>
    </row>
  </sheetData>
  <mergeCells count="39">
    <mergeCell ref="AW11:AX12"/>
    <mergeCell ref="AW15:AX16"/>
    <mergeCell ref="AW17:AX18"/>
    <mergeCell ref="AW19:AX20"/>
    <mergeCell ref="W2:AM2"/>
    <mergeCell ref="AS5:AT5"/>
    <mergeCell ref="AW5:AX6"/>
    <mergeCell ref="B3:J3"/>
    <mergeCell ref="L3:T3"/>
    <mergeCell ref="AR3:AT3"/>
    <mergeCell ref="AV3:AX3"/>
    <mergeCell ref="AR4:AT4"/>
    <mergeCell ref="AV4:AX4"/>
    <mergeCell ref="AS23:AT24"/>
    <mergeCell ref="AS25:AT26"/>
    <mergeCell ref="AV27:AV28"/>
    <mergeCell ref="AW27:AX28"/>
    <mergeCell ref="AV31:AV32"/>
    <mergeCell ref="AW31:AX32"/>
    <mergeCell ref="AW79:AX80"/>
    <mergeCell ref="AW36:AX37"/>
    <mergeCell ref="AW42:AX43"/>
    <mergeCell ref="AW48:AX49"/>
    <mergeCell ref="AV50:AV51"/>
    <mergeCell ref="AW50:AX51"/>
    <mergeCell ref="AV52:AV53"/>
    <mergeCell ref="AW52:AX53"/>
    <mergeCell ref="AW54:AX55"/>
    <mergeCell ref="AV63:AV64"/>
    <mergeCell ref="AW63:AX64"/>
    <mergeCell ref="AV74:AV75"/>
    <mergeCell ref="AW74:AX75"/>
    <mergeCell ref="AW102:AX102"/>
    <mergeCell ref="AW83:AX84"/>
    <mergeCell ref="AW85:AX86"/>
    <mergeCell ref="AW94:AX95"/>
    <mergeCell ref="AW96:AX98"/>
    <mergeCell ref="AW100:AX100"/>
    <mergeCell ref="AW101:AX101"/>
  </mergeCells>
  <hyperlinks>
    <hyperlink ref="AP4" r:id="rId1" xr:uid="{5F980C86-FB62-40C8-9156-5A72FC4139D8}"/>
    <hyperlink ref="AP114" r:id="rId2" xr:uid="{31AC9F11-6B44-468F-BDF3-11EF013EF3A3}"/>
    <hyperlink ref="AP116" r:id="rId3" xr:uid="{DFE5D8A6-9A91-4FEA-80E9-45265042DB15}"/>
    <hyperlink ref="AP118" r:id="rId4" xr:uid="{8DFDB24B-49CD-4939-ADA1-BE7793E93C87}"/>
    <hyperlink ref="AP120" r:id="rId5" xr:uid="{EC1A23CD-8676-4589-84D2-E227877DFE9D}"/>
    <hyperlink ref="AP122" r:id="rId6" xr:uid="{A74C801C-F1CD-4D79-9FF7-5C2A3C89511D}"/>
    <hyperlink ref="X68" r:id="rId7" xr:uid="{F9E32601-B6B7-4972-945B-E003C48CCA54}"/>
    <hyperlink ref="X66" r:id="rId8" xr:uid="{CC3752AF-2B1E-4E2B-B654-47F0D5F3ECFA}"/>
    <hyperlink ref="X67" r:id="rId9" xr:uid="{185D1885-F8D7-4ED4-8AA1-A8E996E3FB69}"/>
    <hyperlink ref="AS23:AT24" r:id="rId10" display="source : Fiches techniques de cuisine Annette et Jean Pierre DOMERGUES" xr:uid="{DCD82F94-896E-49C3-8EB2-530AE5FB0435}"/>
    <hyperlink ref="AW99" r:id="rId11" xr:uid="{A348D0C2-1E77-42FC-9D56-ACC6584F761D}"/>
  </hyperlinks>
  <printOptions horizontalCentered="1"/>
  <pageMargins left="0.23622047244094491" right="0.23622047244094491" top="0.74803149606299213" bottom="0.74803149606299213" header="0.31496062992125984" footer="0.31496062992125984"/>
  <pageSetup paperSize="9" scale="39" orientation="portrait" horizontalDpi="300" verticalDpi="300" r:id="rId12"/>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307106-5177-4435-85A1-5E0ADD962C61}">
  <dimension ref="A1:CM174"/>
  <sheetViews>
    <sheetView zoomScale="75" zoomScaleNormal="75" workbookViewId="0">
      <selection activeCell="AC9" sqref="AC9"/>
    </sheetView>
  </sheetViews>
  <sheetFormatPr baseColWidth="10" defaultRowHeight="12.75"/>
  <cols>
    <col min="1" max="1" width="1.85546875" style="987" customWidth="1"/>
    <col min="2" max="2" width="12.7109375" style="987" customWidth="1"/>
    <col min="3" max="3" width="3.28515625" style="987" customWidth="1"/>
    <col min="4" max="5" width="12.7109375" style="987" customWidth="1"/>
    <col min="6" max="6" width="3.28515625" style="987" customWidth="1"/>
    <col min="7" max="8" width="12.7109375" style="987" customWidth="1"/>
    <col min="9" max="9" width="3.28515625" style="987" customWidth="1"/>
    <col min="10" max="10" width="19.28515625" style="987" customWidth="1"/>
    <col min="11" max="11" width="12.7109375" style="987" customWidth="1"/>
    <col min="12" max="12" width="3.28515625" style="987" customWidth="1"/>
    <col min="13" max="13" width="21" style="987" customWidth="1"/>
    <col min="14" max="14" width="3" style="987" customWidth="1"/>
    <col min="15" max="15" width="12.7109375" style="987" customWidth="1"/>
    <col min="16" max="16" width="3.28515625" style="987" customWidth="1"/>
    <col min="17" max="17" width="13.5703125" style="987" customWidth="1"/>
    <col min="18" max="18" width="12.7109375" style="987" customWidth="1"/>
    <col min="19" max="19" width="3.28515625" style="987" customWidth="1"/>
    <col min="20" max="20" width="13.42578125" style="987" customWidth="1"/>
    <col min="21" max="21" width="12.7109375" style="987" customWidth="1"/>
    <col min="22" max="22" width="3.28515625" style="987" customWidth="1"/>
    <col min="23" max="23" width="19.7109375" style="987" customWidth="1"/>
    <col min="24" max="24" width="11.42578125" style="987" customWidth="1"/>
    <col min="25" max="25" width="3.28515625" style="987" customWidth="1"/>
    <col min="26" max="26" width="21.7109375" style="987" customWidth="1"/>
    <col min="27" max="27" width="3" style="987" customWidth="1"/>
    <col min="28" max="29" width="11.42578125" style="987"/>
    <col min="30" max="30" width="27.28515625" style="2105" customWidth="1"/>
    <col min="31" max="31" width="9.7109375" style="2105" customWidth="1"/>
    <col min="32" max="32" width="1.42578125" style="2105" customWidth="1"/>
    <col min="33" max="33" width="9.7109375" style="2105" customWidth="1"/>
    <col min="34" max="34" width="1.42578125" style="2105" customWidth="1"/>
    <col min="35" max="35" width="9.7109375" style="2105" customWidth="1"/>
    <col min="36" max="36" width="1.42578125" style="2105" customWidth="1"/>
    <col min="37" max="37" width="9.7109375" style="2105" customWidth="1"/>
    <col min="38" max="38" width="1.42578125" style="2105" customWidth="1"/>
    <col min="39" max="39" width="9.7109375" style="2105" customWidth="1"/>
    <col min="40" max="40" width="1.42578125" style="2105" customWidth="1"/>
    <col min="41" max="41" width="9.7109375" style="2105" customWidth="1"/>
    <col min="42" max="42" width="1.42578125" style="2105" customWidth="1"/>
    <col min="43" max="43" width="9.7109375" style="2105" customWidth="1"/>
    <col min="44" max="44" width="1.42578125" style="2105" customWidth="1"/>
    <col min="45" max="45" width="9.7109375" style="2105" customWidth="1"/>
    <col min="46" max="46" width="1.42578125" style="2105" customWidth="1"/>
    <col min="47" max="47" width="9.7109375" style="2105" customWidth="1"/>
    <col min="48" max="48" width="1.42578125" style="2105" customWidth="1"/>
    <col min="49" max="49" width="9.7109375" style="2105" customWidth="1"/>
    <col min="50" max="50" width="1.42578125" style="2105" customWidth="1"/>
    <col min="51" max="51" width="9.7109375" style="2105" customWidth="1"/>
    <col min="52" max="52" width="1.42578125" style="2105" customWidth="1"/>
    <col min="53" max="53" width="9.7109375" style="2105" customWidth="1"/>
    <col min="54" max="54" width="1.42578125" style="2105" customWidth="1"/>
    <col min="55" max="55" width="11.42578125" style="2105"/>
    <col min="56" max="56" width="32.7109375" style="2105" customWidth="1"/>
    <col min="57" max="58" width="11.42578125" style="2105"/>
    <col min="59" max="59" width="4" style="2105" customWidth="1"/>
    <col min="60" max="61" width="11.42578125" style="2105"/>
    <col min="62" max="62" width="4" style="2105" customWidth="1"/>
    <col min="63" max="64" width="11.42578125" style="2105"/>
    <col min="65" max="65" width="4" style="2105" customWidth="1"/>
    <col min="66" max="67" width="11.42578125" style="2105"/>
    <col min="68" max="68" width="4" style="2105" customWidth="1"/>
    <col min="69" max="70" width="11.42578125" style="2105"/>
    <col min="71" max="71" width="4" style="2105" customWidth="1"/>
    <col min="72" max="73" width="11.42578125" style="2105"/>
    <col min="74" max="74" width="4" style="2105" customWidth="1"/>
    <col min="75" max="76" width="11.42578125" style="2105"/>
    <col min="77" max="77" width="4" style="2105" customWidth="1"/>
    <col min="78" max="79" width="11.42578125" style="2105"/>
    <col min="80" max="80" width="4" style="2105" customWidth="1"/>
    <col min="81" max="82" width="11.42578125" style="2105"/>
    <col min="83" max="83" width="4" style="2105" customWidth="1"/>
    <col min="84" max="85" width="11.42578125" style="2105"/>
    <col min="86" max="86" width="4" style="2105" customWidth="1"/>
    <col min="87" max="88" width="11.42578125" style="2105"/>
    <col min="89" max="89" width="4" style="2105" customWidth="1"/>
    <col min="90" max="91" width="11.42578125" style="2105"/>
    <col min="92" max="16384" width="11.42578125" style="989"/>
  </cols>
  <sheetData>
    <row r="1" spans="1:91" s="2125" customFormat="1" ht="15">
      <c r="A1" s="990"/>
      <c r="B1" s="990"/>
      <c r="C1" s="990"/>
      <c r="D1" s="990"/>
      <c r="E1" s="990"/>
      <c r="F1" s="990"/>
      <c r="G1" s="990"/>
      <c r="H1" s="990"/>
      <c r="I1" s="990"/>
      <c r="J1" s="990"/>
      <c r="K1" s="990"/>
      <c r="L1" s="990"/>
      <c r="M1" s="990"/>
      <c r="N1" s="990"/>
      <c r="O1" s="990"/>
      <c r="P1" s="990"/>
      <c r="Q1" s="990"/>
      <c r="R1" s="990"/>
      <c r="S1" s="990"/>
      <c r="T1" s="990"/>
      <c r="U1" s="990"/>
      <c r="V1" s="990"/>
      <c r="W1" s="990"/>
      <c r="X1" s="990"/>
      <c r="Y1" s="990"/>
      <c r="Z1" s="990"/>
    </row>
    <row r="2" spans="1:91" s="2125" customFormat="1" ht="26.25">
      <c r="A2" s="2398"/>
      <c r="B2" s="2398"/>
      <c r="C2" s="2398"/>
      <c r="D2" s="2398"/>
      <c r="E2" s="2398"/>
      <c r="F2" s="2398"/>
      <c r="G2" s="2398"/>
      <c r="H2" s="2398"/>
      <c r="I2" s="2398"/>
      <c r="J2" s="2398"/>
      <c r="K2" s="2398"/>
      <c r="L2" s="2398"/>
      <c r="M2" s="2398"/>
      <c r="N2" s="2398"/>
      <c r="O2" s="2398"/>
      <c r="P2" s="2398"/>
      <c r="Q2" s="2398"/>
      <c r="R2" s="2398"/>
      <c r="S2" s="2398"/>
      <c r="T2" s="2398"/>
      <c r="U2" s="2397" t="s">
        <v>1971</v>
      </c>
      <c r="V2" s="990"/>
      <c r="W2" s="990"/>
      <c r="X2" s="990"/>
      <c r="Y2" s="990"/>
      <c r="Z2" s="2192"/>
    </row>
    <row r="3" spans="1:91" s="2125" customFormat="1" ht="26.25">
      <c r="A3" s="990"/>
      <c r="B3" s="990"/>
      <c r="C3" s="990"/>
      <c r="D3" s="990"/>
      <c r="E3" s="990"/>
      <c r="F3" s="990"/>
      <c r="G3" s="990"/>
      <c r="H3" s="990"/>
      <c r="I3" s="990"/>
      <c r="J3" s="990"/>
      <c r="K3" s="990"/>
      <c r="L3" s="990"/>
      <c r="M3" s="990"/>
      <c r="N3" s="990"/>
      <c r="O3" s="990"/>
      <c r="P3" s="990"/>
      <c r="Q3" s="990"/>
      <c r="R3" s="990"/>
      <c r="S3" s="990"/>
      <c r="T3" s="990"/>
      <c r="U3" s="2397" t="s">
        <v>569</v>
      </c>
      <c r="V3" s="990"/>
      <c r="W3" s="990"/>
      <c r="X3" s="990"/>
      <c r="Y3" s="990"/>
      <c r="Z3" s="2192"/>
    </row>
    <row r="4" spans="1:91" s="2125" customFormat="1" ht="15">
      <c r="A4" s="990"/>
      <c r="B4" s="990"/>
      <c r="C4" s="990"/>
      <c r="D4" s="990"/>
      <c r="E4" s="990"/>
      <c r="F4" s="990"/>
      <c r="G4" s="990"/>
      <c r="H4" s="990"/>
      <c r="I4" s="990"/>
      <c r="J4" s="990"/>
      <c r="K4" s="990"/>
      <c r="L4" s="990"/>
      <c r="M4" s="990"/>
      <c r="N4" s="990"/>
      <c r="O4" s="990"/>
      <c r="P4" s="990"/>
      <c r="Q4" s="990"/>
      <c r="R4" s="990"/>
      <c r="S4" s="990"/>
      <c r="T4" s="990"/>
      <c r="U4" s="990"/>
      <c r="V4" s="990"/>
      <c r="W4" s="990"/>
      <c r="X4" s="990"/>
      <c r="Y4" s="990"/>
      <c r="Z4" s="990"/>
    </row>
    <row r="6" spans="1:91" ht="42">
      <c r="A6" s="2391">
        <v>0</v>
      </c>
      <c r="B6" s="2396" t="s">
        <v>2170</v>
      </c>
      <c r="C6" s="2395"/>
      <c r="D6" s="2394"/>
      <c r="E6" s="2393"/>
      <c r="F6" s="2393"/>
      <c r="G6" s="2393"/>
      <c r="H6" s="2393"/>
      <c r="I6" s="2393"/>
      <c r="J6" s="2393"/>
      <c r="K6" s="2393"/>
      <c r="L6" s="2393"/>
      <c r="M6" s="2393"/>
      <c r="N6" s="2393"/>
      <c r="O6" s="2393"/>
      <c r="P6" s="2393"/>
      <c r="Q6" s="2393"/>
      <c r="R6" s="2393"/>
      <c r="S6" s="2393"/>
      <c r="T6" s="2393"/>
      <c r="U6" s="2393"/>
      <c r="V6" s="2393"/>
      <c r="W6" s="2393"/>
      <c r="X6" s="2393"/>
      <c r="Y6" s="2393"/>
      <c r="Z6" s="2392"/>
      <c r="AB6" s="2391"/>
      <c r="AC6" s="2391"/>
    </row>
    <row r="7" spans="1:91">
      <c r="B7" s="2390" t="str">
        <f ca="1">CELL("nomfichier")</f>
        <v>E:\0-UPRT\1-UPRT.FR-SITE-WEB\ff-fiches-fabrications\ff-fiches-fabrication-maj-08-2020\[ff-2-A-collectivite.poids.portion.xlsx]Nota</v>
      </c>
      <c r="C7" s="2390"/>
      <c r="D7" s="2390"/>
      <c r="E7" s="2390"/>
      <c r="F7" s="2390"/>
      <c r="G7" s="2390"/>
      <c r="H7" s="2390"/>
      <c r="I7" s="2390"/>
      <c r="J7" s="2390"/>
      <c r="K7" s="2390"/>
      <c r="L7" s="2390"/>
      <c r="M7" s="2390"/>
      <c r="N7" s="2390"/>
      <c r="O7" s="2390"/>
      <c r="P7" s="2390"/>
      <c r="Q7" s="2390"/>
      <c r="R7" s="2390"/>
      <c r="S7" s="2390"/>
      <c r="T7" s="2390"/>
      <c r="U7" s="2390"/>
      <c r="V7" s="2390"/>
      <c r="W7" s="2390"/>
      <c r="X7" s="2390"/>
      <c r="Y7" s="2390"/>
      <c r="Z7" s="2390"/>
    </row>
    <row r="8" spans="1:91" ht="30">
      <c r="B8" s="2230" t="s">
        <v>2029</v>
      </c>
      <c r="C8" s="2229"/>
      <c r="D8" s="2228" t="s">
        <v>2028</v>
      </c>
      <c r="E8" s="2250" t="s">
        <v>2169</v>
      </c>
      <c r="F8" s="2249"/>
      <c r="G8" s="2249"/>
      <c r="H8" s="2249"/>
      <c r="I8" s="2249"/>
      <c r="J8" s="2249"/>
      <c r="K8" s="2249"/>
      <c r="L8" s="2249"/>
      <c r="M8" s="2248"/>
      <c r="O8" s="2230" t="s">
        <v>2029</v>
      </c>
      <c r="P8" s="2229"/>
      <c r="Q8" s="2228" t="s">
        <v>2028</v>
      </c>
      <c r="R8" s="2233" t="s">
        <v>2168</v>
      </c>
      <c r="S8" s="2232"/>
      <c r="T8" s="2232"/>
      <c r="U8" s="2232"/>
      <c r="V8" s="2232"/>
      <c r="W8" s="2232"/>
      <c r="X8" s="2232"/>
      <c r="Y8" s="2232"/>
      <c r="Z8" s="2231"/>
      <c r="AD8" s="987"/>
      <c r="AE8" s="987"/>
      <c r="AF8" s="987"/>
      <c r="AG8" s="987"/>
      <c r="AH8" s="987"/>
      <c r="AI8" s="987"/>
      <c r="AJ8" s="987"/>
      <c r="AK8" s="987"/>
      <c r="AL8" s="987"/>
      <c r="AM8" s="987"/>
      <c r="AN8" s="987"/>
      <c r="AO8" s="987"/>
      <c r="AP8" s="987"/>
      <c r="AQ8" s="987"/>
      <c r="AR8" s="987"/>
      <c r="AS8" s="987"/>
      <c r="AT8" s="987"/>
      <c r="AU8" s="987"/>
      <c r="AV8" s="989"/>
      <c r="AW8" s="989"/>
      <c r="AX8" s="989"/>
      <c r="AY8" s="989"/>
      <c r="AZ8" s="989"/>
      <c r="BA8" s="989"/>
      <c r="BB8" s="989"/>
      <c r="BC8" s="989"/>
      <c r="BD8" s="989"/>
      <c r="BE8" s="989"/>
      <c r="BF8" s="989"/>
      <c r="BG8" s="989"/>
      <c r="BH8" s="989"/>
      <c r="BI8" s="989"/>
      <c r="BJ8" s="989"/>
      <c r="BK8" s="989"/>
      <c r="BL8" s="989"/>
      <c r="BM8" s="989"/>
      <c r="BN8" s="989"/>
      <c r="BO8" s="989"/>
      <c r="BP8" s="989"/>
      <c r="BQ8" s="989"/>
      <c r="BR8" s="989"/>
      <c r="BS8" s="989"/>
      <c r="BT8" s="989"/>
      <c r="BU8" s="989"/>
      <c r="BV8" s="989"/>
      <c r="BW8" s="989"/>
      <c r="BX8" s="989"/>
      <c r="BY8" s="989"/>
      <c r="BZ8" s="989"/>
      <c r="CA8" s="989"/>
      <c r="CB8" s="989"/>
      <c r="CC8" s="989"/>
      <c r="CD8" s="989"/>
      <c r="CE8" s="989"/>
      <c r="CF8" s="989"/>
      <c r="CG8" s="989"/>
      <c r="CH8" s="989"/>
      <c r="CI8" s="989"/>
      <c r="CJ8" s="989"/>
      <c r="CK8" s="989"/>
      <c r="CL8" s="989"/>
      <c r="CM8" s="989"/>
    </row>
    <row r="9" spans="1:91" ht="30">
      <c r="B9" s="2223">
        <v>45</v>
      </c>
      <c r="C9" s="2222" t="s">
        <v>1972</v>
      </c>
      <c r="D9" s="2389">
        <f>B9</f>
        <v>45</v>
      </c>
      <c r="E9" s="2388" t="s">
        <v>2025</v>
      </c>
      <c r="F9" s="2388"/>
      <c r="G9" s="2387"/>
      <c r="H9" s="2387"/>
      <c r="I9" s="2387"/>
      <c r="J9" s="2387"/>
      <c r="K9" s="2387"/>
      <c r="L9" s="2387"/>
      <c r="M9" s="2386"/>
      <c r="O9" s="2223" t="s">
        <v>2026</v>
      </c>
      <c r="P9" s="2222" t="s">
        <v>1972</v>
      </c>
      <c r="Q9" s="2385" t="str">
        <f>O9</f>
        <v>Aa</v>
      </c>
      <c r="R9" s="2384" t="s">
        <v>2025</v>
      </c>
      <c r="S9" s="2384"/>
      <c r="T9" s="2384"/>
      <c r="U9" s="2384"/>
      <c r="V9" s="2384"/>
      <c r="W9" s="2384"/>
      <c r="X9" s="2384"/>
      <c r="Y9" s="2384"/>
      <c r="Z9" s="2383"/>
      <c r="AC9" s="2202"/>
    </row>
    <row r="10" spans="1:91" ht="30">
      <c r="B10" s="2217"/>
      <c r="M10" s="2216"/>
      <c r="O10" s="2217"/>
      <c r="Z10" s="2216"/>
      <c r="AC10" s="2202"/>
      <c r="AD10" s="2377" t="s">
        <v>2167</v>
      </c>
      <c r="BE10" s="2328" t="s">
        <v>2167</v>
      </c>
    </row>
    <row r="11" spans="1:91" ht="20.25">
      <c r="B11" s="2215" t="s">
        <v>2024</v>
      </c>
      <c r="C11" s="4906" t="s">
        <v>2020</v>
      </c>
      <c r="D11" s="4907"/>
      <c r="E11" s="2214" t="s">
        <v>2023</v>
      </c>
      <c r="F11" s="4906" t="s">
        <v>2020</v>
      </c>
      <c r="G11" s="4907"/>
      <c r="H11" s="2214" t="s">
        <v>2022</v>
      </c>
      <c r="I11" s="4906" t="s">
        <v>2020</v>
      </c>
      <c r="J11" s="4907"/>
      <c r="K11" s="2214" t="s">
        <v>2021</v>
      </c>
      <c r="L11" s="4906" t="s">
        <v>2020</v>
      </c>
      <c r="M11" s="4909"/>
      <c r="O11" s="2215" t="s">
        <v>2024</v>
      </c>
      <c r="P11" s="4898" t="s">
        <v>2020</v>
      </c>
      <c r="Q11" s="4899"/>
      <c r="R11" s="2214" t="s">
        <v>2023</v>
      </c>
      <c r="S11" s="4898" t="s">
        <v>2020</v>
      </c>
      <c r="T11" s="4899"/>
      <c r="U11" s="2214" t="s">
        <v>2022</v>
      </c>
      <c r="V11" s="4898" t="s">
        <v>2020</v>
      </c>
      <c r="W11" s="4899"/>
      <c r="X11" s="2214" t="s">
        <v>2021</v>
      </c>
      <c r="Y11" s="4898" t="s">
        <v>2020</v>
      </c>
      <c r="Z11" s="4900"/>
      <c r="AC11" s="2202"/>
    </row>
    <row r="12" spans="1:91" ht="44.25">
      <c r="A12" s="2202"/>
      <c r="B12" s="2209" t="s">
        <v>2</v>
      </c>
      <c r="C12" s="2204" t="s">
        <v>1972</v>
      </c>
      <c r="D12" s="2362" t="s">
        <v>2</v>
      </c>
      <c r="E12" s="2208" t="s">
        <v>2019</v>
      </c>
      <c r="F12" s="2204" t="s">
        <v>1972</v>
      </c>
      <c r="G12" s="2361" t="s">
        <v>2019</v>
      </c>
      <c r="H12" s="2205">
        <v>1</v>
      </c>
      <c r="I12" s="2204" t="s">
        <v>1972</v>
      </c>
      <c r="J12" s="2362">
        <v>1</v>
      </c>
      <c r="K12" s="2205">
        <v>27</v>
      </c>
      <c r="L12" s="2204" t="s">
        <v>1972</v>
      </c>
      <c r="M12" s="2359">
        <v>27</v>
      </c>
      <c r="N12" s="2202"/>
      <c r="O12" s="2209" t="s">
        <v>2</v>
      </c>
      <c r="P12" s="2204" t="s">
        <v>1972</v>
      </c>
      <c r="Q12" s="2356" t="s">
        <v>2</v>
      </c>
      <c r="R12" s="2208" t="s">
        <v>2019</v>
      </c>
      <c r="S12" s="2204" t="s">
        <v>1972</v>
      </c>
      <c r="T12" s="2358" t="s">
        <v>2019</v>
      </c>
      <c r="U12" s="2205">
        <v>1</v>
      </c>
      <c r="V12" s="2204" t="s">
        <v>1972</v>
      </c>
      <c r="W12" s="2356">
        <v>1</v>
      </c>
      <c r="X12" s="2205">
        <v>27</v>
      </c>
      <c r="Y12" s="2204" t="s">
        <v>1972</v>
      </c>
      <c r="Z12" s="2354">
        <v>27</v>
      </c>
      <c r="AA12" s="2202"/>
      <c r="AB12" s="2202"/>
      <c r="AC12" s="2202"/>
      <c r="AD12" s="2325" t="s">
        <v>2088</v>
      </c>
      <c r="AE12" s="2381" t="s">
        <v>2166</v>
      </c>
      <c r="AF12" s="2382"/>
      <c r="AG12" s="2381" t="s">
        <v>2165</v>
      </c>
      <c r="AH12" s="2382"/>
      <c r="AI12" s="2381" t="s">
        <v>2164</v>
      </c>
      <c r="AJ12" s="2382"/>
      <c r="AK12" s="2381" t="s">
        <v>2163</v>
      </c>
      <c r="AL12" s="2382"/>
      <c r="AM12" s="2381" t="s">
        <v>2162</v>
      </c>
      <c r="AN12" s="2382"/>
      <c r="AO12" s="2381" t="s">
        <v>2161</v>
      </c>
      <c r="AP12" s="2382"/>
      <c r="AQ12" s="2381" t="s">
        <v>2160</v>
      </c>
      <c r="AR12" s="2382"/>
      <c r="AS12" s="2381" t="s">
        <v>2159</v>
      </c>
      <c r="AT12" s="2382"/>
      <c r="AU12" s="2381" t="s">
        <v>2158</v>
      </c>
      <c r="AV12" s="2382"/>
      <c r="AW12" s="2381" t="s">
        <v>2157</v>
      </c>
      <c r="AX12" s="2382"/>
      <c r="AY12" s="2381" t="s">
        <v>2156</v>
      </c>
      <c r="AZ12" s="2382"/>
      <c r="BA12" s="2381" t="s">
        <v>2155</v>
      </c>
      <c r="BD12" s="4923" t="s">
        <v>2072</v>
      </c>
      <c r="BE12" s="2327">
        <v>1</v>
      </c>
      <c r="BF12" s="2326"/>
      <c r="BG12" s="2319"/>
      <c r="BH12" s="2327">
        <v>2</v>
      </c>
      <c r="BI12" s="2326"/>
      <c r="BJ12" s="2319"/>
      <c r="BK12" s="2327">
        <v>3</v>
      </c>
      <c r="BL12" s="2326"/>
      <c r="BM12" s="2319"/>
      <c r="BN12" s="2327">
        <v>4</v>
      </c>
      <c r="BO12" s="2326"/>
      <c r="BP12" s="2319"/>
      <c r="BQ12" s="2327">
        <v>5</v>
      </c>
      <c r="BR12" s="2326"/>
      <c r="BS12" s="2319"/>
      <c r="BT12" s="2327">
        <v>6</v>
      </c>
      <c r="BU12" s="2326"/>
      <c r="BV12" s="2319"/>
      <c r="BW12" s="2327">
        <v>7</v>
      </c>
      <c r="BX12" s="2326"/>
      <c r="BY12" s="2319"/>
      <c r="BZ12" s="2327">
        <v>8</v>
      </c>
      <c r="CA12" s="2326"/>
      <c r="CB12" s="2319"/>
      <c r="CC12" s="2327">
        <v>9</v>
      </c>
      <c r="CD12" s="2326"/>
      <c r="CE12" s="2319"/>
      <c r="CF12" s="2327">
        <v>0</v>
      </c>
      <c r="CG12" s="2326"/>
      <c r="CH12" s="2319"/>
      <c r="CI12" s="2327" t="s">
        <v>2147</v>
      </c>
      <c r="CJ12" s="2326"/>
      <c r="CK12" s="2319"/>
      <c r="CL12" s="2380" t="s">
        <v>2146</v>
      </c>
      <c r="CM12" s="2326"/>
    </row>
    <row r="13" spans="1:91" ht="44.25" customHeight="1">
      <c r="A13" s="2202"/>
      <c r="B13" s="2209" t="s">
        <v>27</v>
      </c>
      <c r="C13" s="2204" t="s">
        <v>1972</v>
      </c>
      <c r="D13" s="2362" t="s">
        <v>27</v>
      </c>
      <c r="E13" s="2208" t="s">
        <v>2018</v>
      </c>
      <c r="F13" s="2204" t="s">
        <v>1972</v>
      </c>
      <c r="G13" s="2361" t="s">
        <v>2018</v>
      </c>
      <c r="H13" s="2205">
        <v>2</v>
      </c>
      <c r="I13" s="2204" t="s">
        <v>1972</v>
      </c>
      <c r="J13" s="2362">
        <v>2</v>
      </c>
      <c r="K13" s="2205">
        <v>28</v>
      </c>
      <c r="L13" s="2204" t="s">
        <v>1972</v>
      </c>
      <c r="M13" s="2359">
        <v>28</v>
      </c>
      <c r="N13" s="2202"/>
      <c r="O13" s="2209" t="s">
        <v>27</v>
      </c>
      <c r="P13" s="2204" t="s">
        <v>1972</v>
      </c>
      <c r="Q13" s="2356" t="s">
        <v>27</v>
      </c>
      <c r="R13" s="2208" t="s">
        <v>2018</v>
      </c>
      <c r="S13" s="2204" t="s">
        <v>1972</v>
      </c>
      <c r="T13" s="2358" t="s">
        <v>2018</v>
      </c>
      <c r="U13" s="2205">
        <v>2</v>
      </c>
      <c r="V13" s="2204" t="s">
        <v>1972</v>
      </c>
      <c r="W13" s="2356">
        <v>2</v>
      </c>
      <c r="X13" s="2205">
        <v>28</v>
      </c>
      <c r="Y13" s="2204" t="s">
        <v>1972</v>
      </c>
      <c r="Z13" s="2354">
        <v>28</v>
      </c>
      <c r="AA13" s="2202"/>
      <c r="AB13" s="2202"/>
      <c r="AC13" s="2202"/>
      <c r="AD13" s="2303"/>
      <c r="AE13" s="2379"/>
      <c r="AF13" s="2379"/>
      <c r="AG13" s="2379"/>
      <c r="AH13" s="2379"/>
      <c r="AI13" s="2379"/>
      <c r="AJ13" s="2379"/>
      <c r="AK13" s="2379"/>
      <c r="AL13" s="2379"/>
      <c r="AM13" s="2379"/>
      <c r="AN13" s="2379"/>
      <c r="AO13" s="2379"/>
      <c r="AP13" s="2379"/>
      <c r="AQ13" s="2379"/>
      <c r="AR13" s="2379"/>
      <c r="AS13" s="2379"/>
      <c r="AT13" s="2379"/>
      <c r="AU13" s="2379"/>
      <c r="AV13" s="2379"/>
      <c r="AW13" s="2379"/>
      <c r="AX13" s="2379"/>
      <c r="AY13" s="2379"/>
      <c r="AZ13" s="2379"/>
      <c r="BA13" s="2379"/>
      <c r="BD13" s="4923"/>
      <c r="BE13" s="2322" t="s">
        <v>376</v>
      </c>
      <c r="BF13" s="2321"/>
      <c r="BG13" s="2319"/>
      <c r="BH13" s="2322" t="s">
        <v>1994</v>
      </c>
      <c r="BI13" s="2321" t="s">
        <v>1984</v>
      </c>
      <c r="BJ13" s="2319"/>
      <c r="BK13" s="2322" t="s">
        <v>380</v>
      </c>
      <c r="BL13" s="2321" t="s">
        <v>379</v>
      </c>
      <c r="BM13" s="2319"/>
      <c r="BN13" s="2378" t="s">
        <v>2133</v>
      </c>
      <c r="BO13" s="2321" t="s">
        <v>1980</v>
      </c>
      <c r="BP13" s="2319"/>
      <c r="BQ13" s="2322" t="s">
        <v>1991</v>
      </c>
      <c r="BR13" s="2321" t="s">
        <v>1985</v>
      </c>
      <c r="BS13" s="2319"/>
      <c r="BT13" s="2378" t="s">
        <v>1990</v>
      </c>
      <c r="BU13" s="2321" t="s">
        <v>1974</v>
      </c>
      <c r="BV13" s="2319"/>
      <c r="BW13" s="2322" t="s">
        <v>1992</v>
      </c>
      <c r="BX13" s="2321" t="s">
        <v>2132</v>
      </c>
      <c r="BY13" s="2319"/>
      <c r="BZ13" s="2322" t="s">
        <v>1973</v>
      </c>
      <c r="CA13" s="2321" t="s">
        <v>1979</v>
      </c>
      <c r="CB13" s="2319"/>
      <c r="CC13" s="2322" t="s">
        <v>1986</v>
      </c>
      <c r="CD13" s="2321" t="s">
        <v>2106</v>
      </c>
      <c r="CE13" s="2319"/>
      <c r="CF13" s="2322" t="s">
        <v>33</v>
      </c>
      <c r="CG13" s="2321" t="s">
        <v>375</v>
      </c>
      <c r="CH13" s="2319"/>
      <c r="CI13" s="2322" t="s">
        <v>1988</v>
      </c>
      <c r="CJ13" s="2321" t="s">
        <v>1983</v>
      </c>
      <c r="CK13" s="2319"/>
      <c r="CL13" s="2378" t="s">
        <v>1972</v>
      </c>
      <c r="CM13" s="2321" t="s">
        <v>1976</v>
      </c>
    </row>
    <row r="14" spans="1:91" ht="44.25">
      <c r="A14" s="2202"/>
      <c r="B14" s="2209" t="s">
        <v>39</v>
      </c>
      <c r="C14" s="2204" t="s">
        <v>1972</v>
      </c>
      <c r="D14" s="2362" t="s">
        <v>39</v>
      </c>
      <c r="E14" s="2208" t="s">
        <v>2017</v>
      </c>
      <c r="F14" s="2204" t="s">
        <v>1972</v>
      </c>
      <c r="G14" s="2361" t="s">
        <v>2017</v>
      </c>
      <c r="H14" s="2205">
        <v>3</v>
      </c>
      <c r="I14" s="2204" t="s">
        <v>1972</v>
      </c>
      <c r="J14" s="2362">
        <v>3</v>
      </c>
      <c r="K14" s="2205">
        <v>29</v>
      </c>
      <c r="L14" s="2204" t="s">
        <v>1972</v>
      </c>
      <c r="M14" s="2359">
        <v>29</v>
      </c>
      <c r="N14" s="2202"/>
      <c r="O14" s="2209" t="s">
        <v>39</v>
      </c>
      <c r="P14" s="2204" t="s">
        <v>1972</v>
      </c>
      <c r="Q14" s="2356" t="s">
        <v>39</v>
      </c>
      <c r="R14" s="2208" t="s">
        <v>2017</v>
      </c>
      <c r="S14" s="2204" t="s">
        <v>1972</v>
      </c>
      <c r="T14" s="2358" t="s">
        <v>2017</v>
      </c>
      <c r="U14" s="2205">
        <v>3</v>
      </c>
      <c r="V14" s="2204" t="s">
        <v>1972</v>
      </c>
      <c r="W14" s="2356">
        <v>3</v>
      </c>
      <c r="X14" s="2205">
        <v>29</v>
      </c>
      <c r="Y14" s="2204" t="s">
        <v>1972</v>
      </c>
      <c r="Z14" s="2354">
        <v>29</v>
      </c>
      <c r="AA14" s="2202"/>
      <c r="AB14" s="2202"/>
      <c r="AC14" s="2202"/>
      <c r="AD14" s="2325" t="s">
        <v>446</v>
      </c>
      <c r="AE14" s="2337" t="s">
        <v>2154</v>
      </c>
      <c r="AF14" s="2338"/>
      <c r="AG14" s="2337" t="s">
        <v>2153</v>
      </c>
      <c r="AH14" s="2338"/>
      <c r="AI14" s="2337" t="s">
        <v>2152</v>
      </c>
      <c r="AJ14" s="2338"/>
      <c r="AK14" s="2337" t="s">
        <v>2151</v>
      </c>
      <c r="AL14" s="2338"/>
      <c r="AM14" s="2337" t="s">
        <v>372</v>
      </c>
      <c r="AN14" s="2338"/>
      <c r="AO14" s="2337" t="s">
        <v>345</v>
      </c>
      <c r="AP14" s="2338"/>
      <c r="AQ14" s="2337" t="s">
        <v>2150</v>
      </c>
      <c r="AR14" s="2338"/>
      <c r="AS14" s="2337" t="s">
        <v>2149</v>
      </c>
      <c r="AT14" s="2338"/>
      <c r="AU14" s="2337" t="s">
        <v>2148</v>
      </c>
      <c r="AV14" s="2338"/>
      <c r="AW14" s="2337" t="s">
        <v>371</v>
      </c>
      <c r="AX14" s="2338"/>
      <c r="AY14" s="2337" t="s">
        <v>370</v>
      </c>
      <c r="AZ14" s="2338"/>
      <c r="BA14" s="2337" t="s">
        <v>369</v>
      </c>
      <c r="BD14" s="2314"/>
      <c r="BE14" s="2319"/>
      <c r="BF14" s="2319"/>
      <c r="BG14" s="2319"/>
      <c r="BH14" s="2319"/>
      <c r="BI14" s="2319"/>
      <c r="BJ14" s="2319"/>
      <c r="BK14" s="2319"/>
      <c r="BL14" s="2319"/>
      <c r="BM14" s="2319"/>
      <c r="BN14" s="2319"/>
      <c r="BO14" s="2319"/>
      <c r="BP14" s="2319"/>
      <c r="BQ14" s="2319"/>
      <c r="BR14" s="2319"/>
      <c r="BS14" s="2319"/>
      <c r="BT14" s="2319"/>
      <c r="BU14" s="2319"/>
      <c r="BV14" s="2319"/>
      <c r="BW14" s="2319"/>
      <c r="BX14" s="2319"/>
      <c r="BY14" s="2319"/>
      <c r="BZ14" s="2319"/>
      <c r="CA14" s="2319"/>
      <c r="CB14" s="2319"/>
      <c r="CC14" s="2319"/>
      <c r="CD14" s="2319"/>
      <c r="CE14" s="2319"/>
      <c r="CF14" s="2319"/>
      <c r="CG14" s="2319"/>
      <c r="CH14" s="2319"/>
      <c r="CI14" s="2319"/>
      <c r="CJ14" s="2319"/>
      <c r="CK14" s="2319"/>
      <c r="CL14" s="2319"/>
      <c r="CM14" s="2319"/>
    </row>
    <row r="15" spans="1:91" ht="44.25">
      <c r="A15" s="2202"/>
      <c r="B15" s="2209" t="s">
        <v>52</v>
      </c>
      <c r="C15" s="2204" t="s">
        <v>1972</v>
      </c>
      <c r="D15" s="2362" t="s">
        <v>52</v>
      </c>
      <c r="E15" s="2208" t="s">
        <v>2016</v>
      </c>
      <c r="F15" s="2204" t="s">
        <v>1972</v>
      </c>
      <c r="G15" s="2361" t="s">
        <v>2016</v>
      </c>
      <c r="H15" s="2205">
        <v>4</v>
      </c>
      <c r="I15" s="2204" t="s">
        <v>1972</v>
      </c>
      <c r="J15" s="2362">
        <v>4</v>
      </c>
      <c r="K15" s="2205">
        <v>30</v>
      </c>
      <c r="L15" s="2204" t="s">
        <v>1972</v>
      </c>
      <c r="M15" s="2359">
        <v>30</v>
      </c>
      <c r="N15" s="2202"/>
      <c r="O15" s="2209" t="s">
        <v>52</v>
      </c>
      <c r="P15" s="2204" t="s">
        <v>1972</v>
      </c>
      <c r="Q15" s="2356" t="s">
        <v>52</v>
      </c>
      <c r="R15" s="2208" t="s">
        <v>2016</v>
      </c>
      <c r="S15" s="2204" t="s">
        <v>1972</v>
      </c>
      <c r="T15" s="2358" t="s">
        <v>2016</v>
      </c>
      <c r="U15" s="2205">
        <v>4</v>
      </c>
      <c r="V15" s="2204" t="s">
        <v>1972</v>
      </c>
      <c r="W15" s="2356">
        <v>4</v>
      </c>
      <c r="X15" s="2205">
        <v>30</v>
      </c>
      <c r="Y15" s="2204" t="s">
        <v>1972</v>
      </c>
      <c r="Z15" s="2354">
        <v>30</v>
      </c>
      <c r="AA15" s="2202"/>
      <c r="AB15" s="2202"/>
      <c r="AC15" s="2202"/>
      <c r="AD15" s="2303"/>
      <c r="AE15" s="2295"/>
      <c r="AF15" s="2295"/>
      <c r="AG15" s="2295"/>
      <c r="AH15" s="2295"/>
      <c r="AI15" s="2295"/>
      <c r="AJ15" s="2295"/>
      <c r="AK15" s="2295"/>
      <c r="AL15" s="2295"/>
      <c r="AM15" s="2295"/>
      <c r="AN15" s="2295"/>
      <c r="AO15" s="2295"/>
      <c r="AP15" s="2295"/>
      <c r="AQ15" s="2295"/>
      <c r="AR15" s="2295"/>
      <c r="AS15" s="2295"/>
      <c r="AT15" s="2295"/>
      <c r="AU15" s="2295"/>
      <c r="AV15" s="2295"/>
      <c r="AW15" s="2295"/>
      <c r="AX15" s="2295"/>
      <c r="AY15" s="2295"/>
      <c r="AZ15" s="2295"/>
      <c r="BA15" s="2295"/>
      <c r="BD15" s="4919" t="s">
        <v>2058</v>
      </c>
      <c r="BE15" s="2318">
        <v>1</v>
      </c>
      <c r="BF15" s="2317"/>
      <c r="BG15" s="2335"/>
      <c r="BH15" s="2318">
        <v>2</v>
      </c>
      <c r="BI15" s="2317"/>
      <c r="BJ15" s="2335"/>
      <c r="BK15" s="2318">
        <v>3</v>
      </c>
      <c r="BL15" s="2317"/>
      <c r="BM15" s="2335"/>
      <c r="BN15" s="2318">
        <v>4</v>
      </c>
      <c r="BO15" s="2317"/>
      <c r="BP15" s="2335"/>
      <c r="BQ15" s="2318">
        <v>5</v>
      </c>
      <c r="BR15" s="2317"/>
      <c r="BS15" s="2335"/>
      <c r="BT15" s="2318">
        <v>6</v>
      </c>
      <c r="BU15" s="2317"/>
      <c r="BV15" s="2335"/>
      <c r="BW15" s="2318">
        <v>7</v>
      </c>
      <c r="BX15" s="2317"/>
      <c r="BY15" s="2335"/>
      <c r="BZ15" s="2318">
        <v>8</v>
      </c>
      <c r="CA15" s="2317"/>
      <c r="CB15" s="2335"/>
      <c r="CC15" s="2318">
        <v>9</v>
      </c>
      <c r="CD15" s="2317"/>
      <c r="CE15" s="2335"/>
      <c r="CF15" s="2318">
        <v>0</v>
      </c>
      <c r="CG15" s="2317"/>
      <c r="CH15" s="2335"/>
      <c r="CI15" s="2318" t="s">
        <v>2147</v>
      </c>
      <c r="CJ15" s="2317"/>
      <c r="CK15" s="2335"/>
      <c r="CL15" s="2318" t="s">
        <v>2146</v>
      </c>
      <c r="CM15" s="2317"/>
    </row>
    <row r="16" spans="1:91" ht="44.25">
      <c r="A16" s="2202"/>
      <c r="B16" s="2209" t="s">
        <v>771</v>
      </c>
      <c r="C16" s="2204" t="s">
        <v>1972</v>
      </c>
      <c r="D16" s="2362" t="s">
        <v>771</v>
      </c>
      <c r="E16" s="2208" t="s">
        <v>2015</v>
      </c>
      <c r="F16" s="2204" t="s">
        <v>1972</v>
      </c>
      <c r="G16" s="2361" t="s">
        <v>2015</v>
      </c>
      <c r="H16" s="2205">
        <v>5</v>
      </c>
      <c r="I16" s="2204" t="s">
        <v>1972</v>
      </c>
      <c r="J16" s="2362">
        <v>5</v>
      </c>
      <c r="K16" s="2205">
        <v>31</v>
      </c>
      <c r="L16" s="2204" t="s">
        <v>1972</v>
      </c>
      <c r="M16" s="2359">
        <v>31</v>
      </c>
      <c r="N16" s="2202"/>
      <c r="O16" s="2209" t="s">
        <v>771</v>
      </c>
      <c r="P16" s="2204" t="s">
        <v>1972</v>
      </c>
      <c r="Q16" s="2356" t="s">
        <v>771</v>
      </c>
      <c r="R16" s="2208" t="s">
        <v>2015</v>
      </c>
      <c r="S16" s="2204" t="s">
        <v>1972</v>
      </c>
      <c r="T16" s="2358" t="s">
        <v>2015</v>
      </c>
      <c r="U16" s="2205">
        <v>5</v>
      </c>
      <c r="V16" s="2204" t="s">
        <v>1972</v>
      </c>
      <c r="W16" s="2356">
        <v>5</v>
      </c>
      <c r="X16" s="2205">
        <v>31</v>
      </c>
      <c r="Y16" s="2204" t="s">
        <v>1972</v>
      </c>
      <c r="Z16" s="2354">
        <v>31</v>
      </c>
      <c r="AA16" s="2202"/>
      <c r="AB16" s="2202"/>
      <c r="AC16" s="2202"/>
      <c r="AD16" s="2325" t="s">
        <v>2058</v>
      </c>
      <c r="AE16" s="2334" t="s">
        <v>2154</v>
      </c>
      <c r="AF16" s="2335">
        <v>0</v>
      </c>
      <c r="AG16" s="2334" t="s">
        <v>2153</v>
      </c>
      <c r="AH16" s="2335">
        <v>0</v>
      </c>
      <c r="AI16" s="2334" t="s">
        <v>2152</v>
      </c>
      <c r="AJ16" s="2335">
        <v>0</v>
      </c>
      <c r="AK16" s="2334" t="s">
        <v>2151</v>
      </c>
      <c r="AL16" s="2335">
        <v>0</v>
      </c>
      <c r="AM16" s="2334" t="s">
        <v>372</v>
      </c>
      <c r="AN16" s="2335">
        <v>0</v>
      </c>
      <c r="AO16" s="2334" t="s">
        <v>345</v>
      </c>
      <c r="AP16" s="2335">
        <v>0</v>
      </c>
      <c r="AQ16" s="2334" t="s">
        <v>2150</v>
      </c>
      <c r="AR16" s="2335">
        <v>0</v>
      </c>
      <c r="AS16" s="2334" t="s">
        <v>2149</v>
      </c>
      <c r="AT16" s="2335">
        <v>0</v>
      </c>
      <c r="AU16" s="2334" t="s">
        <v>2148</v>
      </c>
      <c r="AV16" s="2335">
        <v>0</v>
      </c>
      <c r="AW16" s="2334" t="s">
        <v>371</v>
      </c>
      <c r="AX16" s="2335">
        <v>0</v>
      </c>
      <c r="AY16" s="2334" t="s">
        <v>370</v>
      </c>
      <c r="AZ16" s="2335">
        <v>0</v>
      </c>
      <c r="BA16" s="2334" t="s">
        <v>369</v>
      </c>
      <c r="BD16" s="4919"/>
      <c r="BE16" s="2316" t="s">
        <v>376</v>
      </c>
      <c r="BF16" s="2315"/>
      <c r="BG16" s="2335"/>
      <c r="BH16" s="2316" t="s">
        <v>1994</v>
      </c>
      <c r="BI16" s="2315" t="s">
        <v>1984</v>
      </c>
      <c r="BJ16" s="2335"/>
      <c r="BK16" s="2316" t="s">
        <v>380</v>
      </c>
      <c r="BL16" s="2315" t="s">
        <v>379</v>
      </c>
      <c r="BM16" s="2335"/>
      <c r="BN16" s="2316" t="s">
        <v>2133</v>
      </c>
      <c r="BO16" s="2315" t="s">
        <v>1980</v>
      </c>
      <c r="BP16" s="2335"/>
      <c r="BQ16" s="2316" t="s">
        <v>1991</v>
      </c>
      <c r="BR16" s="2315" t="s">
        <v>1985</v>
      </c>
      <c r="BS16" s="2335"/>
      <c r="BT16" s="2316" t="s">
        <v>1990</v>
      </c>
      <c r="BU16" s="2315" t="s">
        <v>1974</v>
      </c>
      <c r="BV16" s="2335"/>
      <c r="BW16" s="2316" t="s">
        <v>1992</v>
      </c>
      <c r="BX16" s="2315" t="s">
        <v>2132</v>
      </c>
      <c r="BY16" s="2335"/>
      <c r="BZ16" s="2316" t="s">
        <v>1973</v>
      </c>
      <c r="CA16" s="2315" t="s">
        <v>1979</v>
      </c>
      <c r="CB16" s="2335"/>
      <c r="CC16" s="2316" t="s">
        <v>1986</v>
      </c>
      <c r="CD16" s="2315" t="s">
        <v>2106</v>
      </c>
      <c r="CE16" s="2335"/>
      <c r="CF16" s="2316" t="s">
        <v>33</v>
      </c>
      <c r="CG16" s="2315" t="s">
        <v>375</v>
      </c>
      <c r="CH16" s="2335"/>
      <c r="CI16" s="2316" t="s">
        <v>1988</v>
      </c>
      <c r="CJ16" s="2315" t="s">
        <v>1983</v>
      </c>
      <c r="CK16" s="2335"/>
      <c r="CL16" s="2316" t="s">
        <v>1972</v>
      </c>
      <c r="CM16" s="2315" t="s">
        <v>1976</v>
      </c>
    </row>
    <row r="17" spans="1:91" ht="44.25">
      <c r="A17" s="2202"/>
      <c r="B17" s="2209" t="s">
        <v>874</v>
      </c>
      <c r="C17" s="2204" t="s">
        <v>1972</v>
      </c>
      <c r="D17" s="2362" t="s">
        <v>874</v>
      </c>
      <c r="E17" s="2208" t="s">
        <v>2014</v>
      </c>
      <c r="F17" s="2204" t="s">
        <v>1972</v>
      </c>
      <c r="G17" s="2361" t="s">
        <v>2014</v>
      </c>
      <c r="H17" s="2205">
        <v>6</v>
      </c>
      <c r="I17" s="2204" t="s">
        <v>1972</v>
      </c>
      <c r="J17" s="2362">
        <v>6</v>
      </c>
      <c r="K17" s="2205">
        <v>32</v>
      </c>
      <c r="L17" s="2204" t="s">
        <v>1972</v>
      </c>
      <c r="M17" s="2359">
        <v>32</v>
      </c>
      <c r="N17" s="2202"/>
      <c r="O17" s="2209" t="s">
        <v>874</v>
      </c>
      <c r="P17" s="2204" t="s">
        <v>1972</v>
      </c>
      <c r="Q17" s="2356" t="s">
        <v>874</v>
      </c>
      <c r="R17" s="2208" t="s">
        <v>2014</v>
      </c>
      <c r="S17" s="2204" t="s">
        <v>1972</v>
      </c>
      <c r="T17" s="2358" t="s">
        <v>2014</v>
      </c>
      <c r="U17" s="2205">
        <v>6</v>
      </c>
      <c r="V17" s="2204" t="s">
        <v>1972</v>
      </c>
      <c r="W17" s="2356">
        <v>6</v>
      </c>
      <c r="X17" s="2205">
        <v>32</v>
      </c>
      <c r="Y17" s="2204" t="s">
        <v>1972</v>
      </c>
      <c r="Z17" s="2354">
        <v>32</v>
      </c>
      <c r="AA17" s="2202"/>
      <c r="AB17" s="2202"/>
      <c r="AC17" s="2202"/>
      <c r="AD17" s="2303"/>
      <c r="AE17" s="2295"/>
      <c r="AF17" s="2295"/>
      <c r="AG17" s="2295"/>
      <c r="AH17" s="2295"/>
      <c r="AI17" s="2295"/>
      <c r="AJ17" s="2295"/>
      <c r="AK17" s="2295"/>
      <c r="AL17" s="2295"/>
      <c r="AM17" s="2295"/>
      <c r="AN17" s="2295"/>
      <c r="AO17" s="2295"/>
      <c r="AP17" s="2295"/>
      <c r="AQ17" s="2295"/>
      <c r="AR17" s="2295"/>
      <c r="AS17" s="2295"/>
      <c r="AT17" s="2295"/>
      <c r="AU17" s="2295"/>
      <c r="AV17" s="2295"/>
      <c r="AW17" s="2295"/>
      <c r="AX17" s="2295"/>
      <c r="AY17" s="2295"/>
      <c r="AZ17" s="2295"/>
      <c r="BA17" s="2295"/>
      <c r="BD17" s="2314"/>
      <c r="BE17" s="2295"/>
      <c r="BF17" s="2295"/>
      <c r="BG17" s="2295"/>
      <c r="BH17" s="2295"/>
      <c r="BI17" s="2295"/>
      <c r="BJ17" s="2295"/>
      <c r="BK17" s="2295"/>
      <c r="BL17" s="2295"/>
      <c r="BM17" s="2295"/>
      <c r="BN17" s="2295"/>
      <c r="BO17" s="2295"/>
      <c r="BP17" s="2295"/>
      <c r="BQ17" s="2295"/>
      <c r="BR17" s="2295"/>
      <c r="BS17" s="2295"/>
      <c r="BT17" s="2295"/>
      <c r="BU17" s="2295"/>
      <c r="BV17" s="2295"/>
      <c r="BW17" s="2295"/>
      <c r="BX17" s="2295"/>
      <c r="BY17" s="2295"/>
      <c r="BZ17" s="2295"/>
      <c r="CA17" s="2295"/>
      <c r="CB17" s="2295"/>
      <c r="CC17" s="2295"/>
      <c r="CD17" s="2295"/>
      <c r="CE17" s="2295"/>
      <c r="CF17" s="2295"/>
      <c r="CG17" s="2295"/>
      <c r="CH17" s="2295"/>
      <c r="CI17" s="2295"/>
      <c r="CJ17" s="2295"/>
      <c r="CK17" s="2295"/>
      <c r="CL17" s="2295"/>
      <c r="CM17" s="2295"/>
    </row>
    <row r="18" spans="1:91" ht="44.25" customHeight="1">
      <c r="A18" s="2202"/>
      <c r="B18" s="2209" t="s">
        <v>18</v>
      </c>
      <c r="C18" s="2204" t="s">
        <v>1972</v>
      </c>
      <c r="D18" s="2362" t="s">
        <v>18</v>
      </c>
      <c r="E18" s="2208" t="s">
        <v>598</v>
      </c>
      <c r="F18" s="2204" t="s">
        <v>1972</v>
      </c>
      <c r="G18" s="2361" t="s">
        <v>598</v>
      </c>
      <c r="H18" s="2205">
        <v>7</v>
      </c>
      <c r="I18" s="2204" t="s">
        <v>1972</v>
      </c>
      <c r="J18" s="2362">
        <v>7</v>
      </c>
      <c r="K18" s="2205">
        <v>33</v>
      </c>
      <c r="L18" s="2204" t="s">
        <v>1972</v>
      </c>
      <c r="M18" s="2359">
        <v>33</v>
      </c>
      <c r="N18" s="2202"/>
      <c r="O18" s="2209" t="s">
        <v>18</v>
      </c>
      <c r="P18" s="2204" t="s">
        <v>1972</v>
      </c>
      <c r="Q18" s="2356" t="s">
        <v>18</v>
      </c>
      <c r="R18" s="2208" t="s">
        <v>598</v>
      </c>
      <c r="S18" s="2204" t="s">
        <v>1972</v>
      </c>
      <c r="T18" s="2358" t="s">
        <v>598</v>
      </c>
      <c r="U18" s="2205">
        <v>7</v>
      </c>
      <c r="V18" s="2204" t="s">
        <v>1972</v>
      </c>
      <c r="W18" s="2356">
        <v>7</v>
      </c>
      <c r="X18" s="2205">
        <v>33</v>
      </c>
      <c r="Y18" s="2204" t="s">
        <v>1972</v>
      </c>
      <c r="Z18" s="2354">
        <v>33</v>
      </c>
      <c r="AA18" s="2202"/>
      <c r="AB18" s="2202"/>
      <c r="AC18" s="2202"/>
      <c r="AD18" s="2325" t="s">
        <v>2075</v>
      </c>
      <c r="AE18" s="2331" t="s">
        <v>2154</v>
      </c>
      <c r="AF18" s="2332">
        <v>0</v>
      </c>
      <c r="AG18" s="2331" t="s">
        <v>2153</v>
      </c>
      <c r="AH18" s="2332">
        <v>0</v>
      </c>
      <c r="AI18" s="2331" t="s">
        <v>2152</v>
      </c>
      <c r="AJ18" s="2332">
        <v>0</v>
      </c>
      <c r="AK18" s="2331" t="s">
        <v>2151</v>
      </c>
      <c r="AL18" s="2332">
        <v>0</v>
      </c>
      <c r="AM18" s="2331" t="s">
        <v>372</v>
      </c>
      <c r="AN18" s="2332">
        <v>0</v>
      </c>
      <c r="AO18" s="2331" t="s">
        <v>345</v>
      </c>
      <c r="AP18" s="2332">
        <v>0</v>
      </c>
      <c r="AQ18" s="2331" t="s">
        <v>2150</v>
      </c>
      <c r="AR18" s="2332">
        <v>0</v>
      </c>
      <c r="AS18" s="2331" t="s">
        <v>2149</v>
      </c>
      <c r="AT18" s="2332">
        <v>0</v>
      </c>
      <c r="AU18" s="2331" t="s">
        <v>2148</v>
      </c>
      <c r="AV18" s="2332">
        <v>0</v>
      </c>
      <c r="AW18" s="2331" t="s">
        <v>371</v>
      </c>
      <c r="AX18" s="2332">
        <v>0</v>
      </c>
      <c r="AY18" s="2331" t="s">
        <v>370</v>
      </c>
      <c r="AZ18" s="2332">
        <v>0</v>
      </c>
      <c r="BA18" s="2331" t="s">
        <v>369</v>
      </c>
      <c r="BD18" s="4919" t="s">
        <v>2056</v>
      </c>
      <c r="BE18" s="2313">
        <v>1</v>
      </c>
      <c r="BF18" s="2312"/>
      <c r="BG18" s="2332"/>
      <c r="BH18" s="2313">
        <v>2</v>
      </c>
      <c r="BI18" s="2312"/>
      <c r="BJ18" s="2332"/>
      <c r="BK18" s="2313">
        <v>3</v>
      </c>
      <c r="BL18" s="2312"/>
      <c r="BM18" s="2332"/>
      <c r="BN18" s="2313">
        <v>4</v>
      </c>
      <c r="BO18" s="2312"/>
      <c r="BP18" s="2332"/>
      <c r="BQ18" s="2313">
        <v>5</v>
      </c>
      <c r="BR18" s="2312"/>
      <c r="BS18" s="2332"/>
      <c r="BT18" s="2313">
        <v>6</v>
      </c>
      <c r="BU18" s="2312"/>
      <c r="BV18" s="2332"/>
      <c r="BW18" s="2313">
        <v>7</v>
      </c>
      <c r="BX18" s="2312"/>
      <c r="BY18" s="2332"/>
      <c r="BZ18" s="2313">
        <v>8</v>
      </c>
      <c r="CA18" s="2312"/>
      <c r="CB18" s="2332"/>
      <c r="CC18" s="2313">
        <v>9</v>
      </c>
      <c r="CD18" s="2312"/>
      <c r="CE18" s="2332"/>
      <c r="CF18" s="2313">
        <v>0</v>
      </c>
      <c r="CG18" s="2312"/>
      <c r="CH18" s="2332"/>
      <c r="CI18" s="2313" t="s">
        <v>2147</v>
      </c>
      <c r="CJ18" s="2312"/>
      <c r="CK18" s="2332"/>
      <c r="CL18" s="2313" t="s">
        <v>2146</v>
      </c>
      <c r="CM18" s="2312"/>
    </row>
    <row r="19" spans="1:91" ht="44.25">
      <c r="A19" s="2202"/>
      <c r="B19" s="2209" t="s">
        <v>30</v>
      </c>
      <c r="C19" s="2204" t="s">
        <v>1972</v>
      </c>
      <c r="D19" s="2362" t="s">
        <v>30</v>
      </c>
      <c r="E19" s="2208" t="s">
        <v>2013</v>
      </c>
      <c r="F19" s="2204" t="s">
        <v>1972</v>
      </c>
      <c r="G19" s="2361" t="s">
        <v>2013</v>
      </c>
      <c r="H19" s="2205">
        <v>8</v>
      </c>
      <c r="I19" s="2204" t="s">
        <v>1972</v>
      </c>
      <c r="J19" s="2362">
        <v>8</v>
      </c>
      <c r="K19" s="2205">
        <v>34</v>
      </c>
      <c r="L19" s="2204" t="s">
        <v>1972</v>
      </c>
      <c r="M19" s="2359">
        <v>34</v>
      </c>
      <c r="N19" s="2202"/>
      <c r="O19" s="2209" t="s">
        <v>30</v>
      </c>
      <c r="P19" s="2204" t="s">
        <v>1972</v>
      </c>
      <c r="Q19" s="2356" t="s">
        <v>30</v>
      </c>
      <c r="R19" s="2208" t="s">
        <v>2013</v>
      </c>
      <c r="S19" s="2204" t="s">
        <v>1972</v>
      </c>
      <c r="T19" s="2358" t="s">
        <v>2013</v>
      </c>
      <c r="U19" s="2205">
        <v>8</v>
      </c>
      <c r="V19" s="2204" t="s">
        <v>1972</v>
      </c>
      <c r="W19" s="2356">
        <v>8</v>
      </c>
      <c r="X19" s="2205">
        <v>34</v>
      </c>
      <c r="Y19" s="2204" t="s">
        <v>1972</v>
      </c>
      <c r="Z19" s="2354">
        <v>34</v>
      </c>
      <c r="AA19" s="2202"/>
      <c r="AB19" s="2202"/>
      <c r="AC19" s="2202"/>
      <c r="AD19" s="2303"/>
      <c r="AE19" s="2295"/>
      <c r="AF19" s="2295"/>
      <c r="AG19" s="2295"/>
      <c r="AH19" s="2295"/>
      <c r="AI19" s="2295"/>
      <c r="AJ19" s="2295"/>
      <c r="AK19" s="2295"/>
      <c r="AL19" s="2295"/>
      <c r="AM19" s="2295"/>
      <c r="AN19" s="2295"/>
      <c r="AO19" s="2295"/>
      <c r="AP19" s="2295"/>
      <c r="AQ19" s="2295"/>
      <c r="AR19" s="2295"/>
      <c r="AS19" s="2295"/>
      <c r="AT19" s="2295"/>
      <c r="AU19" s="2295"/>
      <c r="AV19" s="2295"/>
      <c r="AW19" s="2295"/>
      <c r="AX19" s="2295"/>
      <c r="AY19" s="2295"/>
      <c r="AZ19" s="2295"/>
      <c r="BA19" s="2295"/>
      <c r="BD19" s="4919"/>
      <c r="BE19" s="2310" t="s">
        <v>376</v>
      </c>
      <c r="BF19" s="2309"/>
      <c r="BG19" s="2332"/>
      <c r="BH19" s="2310" t="s">
        <v>1994</v>
      </c>
      <c r="BI19" s="2309" t="s">
        <v>1984</v>
      </c>
      <c r="BJ19" s="2332"/>
      <c r="BK19" s="2310" t="s">
        <v>380</v>
      </c>
      <c r="BL19" s="2309" t="s">
        <v>379</v>
      </c>
      <c r="BM19" s="2332"/>
      <c r="BN19" s="2310" t="s">
        <v>2133</v>
      </c>
      <c r="BO19" s="2309" t="s">
        <v>1980</v>
      </c>
      <c r="BP19" s="2332"/>
      <c r="BQ19" s="2310" t="s">
        <v>1991</v>
      </c>
      <c r="BR19" s="2309" t="s">
        <v>1985</v>
      </c>
      <c r="BS19" s="2332"/>
      <c r="BT19" s="2310" t="s">
        <v>1990</v>
      </c>
      <c r="BU19" s="2309" t="s">
        <v>1974</v>
      </c>
      <c r="BV19" s="2332"/>
      <c r="BW19" s="2310" t="s">
        <v>1992</v>
      </c>
      <c r="BX19" s="2309" t="s">
        <v>2132</v>
      </c>
      <c r="BY19" s="2332"/>
      <c r="BZ19" s="2310" t="s">
        <v>1973</v>
      </c>
      <c r="CA19" s="2309" t="s">
        <v>1979</v>
      </c>
      <c r="CB19" s="2332"/>
      <c r="CC19" s="2310" t="s">
        <v>1986</v>
      </c>
      <c r="CD19" s="2309" t="s">
        <v>2106</v>
      </c>
      <c r="CE19" s="2332"/>
      <c r="CF19" s="2310" t="s">
        <v>33</v>
      </c>
      <c r="CG19" s="2309" t="s">
        <v>375</v>
      </c>
      <c r="CH19" s="2332"/>
      <c r="CI19" s="2310" t="s">
        <v>1988</v>
      </c>
      <c r="CJ19" s="2309" t="s">
        <v>1983</v>
      </c>
      <c r="CK19" s="2332"/>
      <c r="CL19" s="2310" t="s">
        <v>1972</v>
      </c>
      <c r="CM19" s="2309" t="s">
        <v>1976</v>
      </c>
    </row>
    <row r="20" spans="1:91" ht="44.25">
      <c r="A20" s="2202"/>
      <c r="B20" s="2209" t="s">
        <v>872</v>
      </c>
      <c r="C20" s="2204" t="s">
        <v>1972</v>
      </c>
      <c r="D20" s="2362" t="s">
        <v>872</v>
      </c>
      <c r="E20" s="2208" t="s">
        <v>2012</v>
      </c>
      <c r="F20" s="2204" t="s">
        <v>1972</v>
      </c>
      <c r="G20" s="2361" t="s">
        <v>2012</v>
      </c>
      <c r="H20" s="2205">
        <v>9</v>
      </c>
      <c r="I20" s="2204" t="s">
        <v>1972</v>
      </c>
      <c r="J20" s="2362">
        <v>9</v>
      </c>
      <c r="K20" s="2205">
        <v>35</v>
      </c>
      <c r="L20" s="2204" t="s">
        <v>1972</v>
      </c>
      <c r="M20" s="2359">
        <v>35</v>
      </c>
      <c r="N20" s="2202"/>
      <c r="O20" s="2209" t="s">
        <v>872</v>
      </c>
      <c r="P20" s="2204" t="s">
        <v>1972</v>
      </c>
      <c r="Q20" s="2356" t="s">
        <v>872</v>
      </c>
      <c r="R20" s="2208" t="s">
        <v>2012</v>
      </c>
      <c r="S20" s="2204" t="s">
        <v>1972</v>
      </c>
      <c r="T20" s="2358" t="s">
        <v>2012</v>
      </c>
      <c r="U20" s="2205">
        <v>9</v>
      </c>
      <c r="V20" s="2204" t="s">
        <v>1972</v>
      </c>
      <c r="W20" s="2356">
        <v>9</v>
      </c>
      <c r="X20" s="2205">
        <v>35</v>
      </c>
      <c r="Y20" s="2204" t="s">
        <v>1972</v>
      </c>
      <c r="Z20" s="2354">
        <v>35</v>
      </c>
      <c r="AA20" s="2202"/>
      <c r="AB20" s="2202"/>
      <c r="AC20" s="2202"/>
      <c r="AD20" s="2325" t="s">
        <v>2074</v>
      </c>
      <c r="AE20" s="2329" t="s">
        <v>2154</v>
      </c>
      <c r="AF20" s="2330">
        <v>0</v>
      </c>
      <c r="AG20" s="2329" t="s">
        <v>2153</v>
      </c>
      <c r="AH20" s="2330">
        <v>0</v>
      </c>
      <c r="AI20" s="2329" t="s">
        <v>2152</v>
      </c>
      <c r="AJ20" s="2330">
        <v>0</v>
      </c>
      <c r="AK20" s="2329" t="s">
        <v>2151</v>
      </c>
      <c r="AL20" s="2330">
        <v>0</v>
      </c>
      <c r="AM20" s="2329" t="s">
        <v>372</v>
      </c>
      <c r="AN20" s="2330">
        <v>0</v>
      </c>
      <c r="AO20" s="2329" t="s">
        <v>345</v>
      </c>
      <c r="AP20" s="2330">
        <v>0</v>
      </c>
      <c r="AQ20" s="2329" t="s">
        <v>2150</v>
      </c>
      <c r="AR20" s="2330">
        <v>0</v>
      </c>
      <c r="AS20" s="2329" t="s">
        <v>2149</v>
      </c>
      <c r="AT20" s="2330">
        <v>0</v>
      </c>
      <c r="AU20" s="2329" t="s">
        <v>2148</v>
      </c>
      <c r="AV20" s="2330">
        <v>0</v>
      </c>
      <c r="AW20" s="2329" t="s">
        <v>371</v>
      </c>
      <c r="AX20" s="2330">
        <v>0</v>
      </c>
      <c r="AY20" s="2329" t="s">
        <v>370</v>
      </c>
      <c r="AZ20" s="2330">
        <v>0</v>
      </c>
      <c r="BA20" s="2329" t="s">
        <v>369</v>
      </c>
      <c r="BD20" s="2303"/>
      <c r="BE20" s="2295"/>
      <c r="BF20" s="2295"/>
      <c r="BG20" s="2295"/>
      <c r="BH20" s="2295"/>
      <c r="BI20" s="2295"/>
      <c r="BJ20" s="2295"/>
      <c r="BK20" s="2295"/>
      <c r="BL20" s="2295"/>
      <c r="BM20" s="2295"/>
      <c r="BN20" s="2295"/>
      <c r="BO20" s="2295"/>
      <c r="BP20" s="2295"/>
      <c r="BQ20" s="2295"/>
      <c r="BR20" s="2295"/>
      <c r="BS20" s="2295"/>
      <c r="BT20" s="2295"/>
      <c r="BU20" s="2295"/>
      <c r="BV20" s="2295"/>
      <c r="BW20" s="2295"/>
      <c r="BX20" s="2295"/>
      <c r="BY20" s="2295"/>
      <c r="BZ20" s="2295"/>
      <c r="CA20" s="2295"/>
      <c r="CB20" s="2295"/>
      <c r="CC20" s="2295"/>
      <c r="CD20" s="2295"/>
      <c r="CE20" s="2295"/>
      <c r="CF20" s="2295"/>
      <c r="CG20" s="2295"/>
      <c r="CH20" s="2295"/>
      <c r="CI20" s="2295"/>
      <c r="CJ20" s="2295"/>
      <c r="CK20" s="2295"/>
      <c r="CL20" s="2295"/>
      <c r="CM20" s="2295"/>
    </row>
    <row r="21" spans="1:91" ht="44.25">
      <c r="A21" s="2202"/>
      <c r="B21" s="2209" t="s">
        <v>870</v>
      </c>
      <c r="C21" s="2204" t="s">
        <v>1972</v>
      </c>
      <c r="D21" s="2362" t="s">
        <v>870</v>
      </c>
      <c r="E21" s="2208" t="s">
        <v>2011</v>
      </c>
      <c r="F21" s="2204" t="s">
        <v>1972</v>
      </c>
      <c r="G21" s="2361" t="s">
        <v>2011</v>
      </c>
      <c r="H21" s="2205">
        <v>10</v>
      </c>
      <c r="I21" s="2204" t="s">
        <v>1972</v>
      </c>
      <c r="J21" s="2362">
        <v>10</v>
      </c>
      <c r="K21" s="2205">
        <v>36</v>
      </c>
      <c r="L21" s="2204" t="s">
        <v>1972</v>
      </c>
      <c r="M21" s="2359">
        <v>36</v>
      </c>
      <c r="N21" s="2202"/>
      <c r="O21" s="2209" t="s">
        <v>870</v>
      </c>
      <c r="P21" s="2204" t="s">
        <v>1972</v>
      </c>
      <c r="Q21" s="2356" t="s">
        <v>870</v>
      </c>
      <c r="R21" s="2208" t="s">
        <v>2011</v>
      </c>
      <c r="S21" s="2204" t="s">
        <v>1972</v>
      </c>
      <c r="T21" s="2358" t="s">
        <v>2011</v>
      </c>
      <c r="U21" s="2205">
        <v>10</v>
      </c>
      <c r="V21" s="2204" t="s">
        <v>1972</v>
      </c>
      <c r="W21" s="2356">
        <v>10</v>
      </c>
      <c r="X21" s="2205">
        <v>36</v>
      </c>
      <c r="Y21" s="2204" t="s">
        <v>1972</v>
      </c>
      <c r="Z21" s="2354">
        <v>36</v>
      </c>
      <c r="AA21" s="2202"/>
      <c r="AB21" s="2202"/>
      <c r="AC21" s="2202"/>
      <c r="AD21" s="2303"/>
      <c r="AE21" s="2295"/>
      <c r="AF21" s="2295"/>
      <c r="AG21" s="2295"/>
      <c r="AH21" s="2295"/>
      <c r="AI21" s="2295"/>
      <c r="AJ21" s="2295"/>
      <c r="AK21" s="2295"/>
      <c r="AL21" s="2295"/>
      <c r="AM21" s="2295"/>
      <c r="AN21" s="2295"/>
      <c r="AO21" s="2295"/>
      <c r="AP21" s="2295"/>
      <c r="AQ21" s="2295"/>
      <c r="AR21" s="2295"/>
      <c r="AS21" s="2295"/>
      <c r="AT21" s="2295"/>
      <c r="AU21" s="2295"/>
      <c r="AV21" s="2295"/>
      <c r="AW21" s="2295"/>
      <c r="AX21" s="2295"/>
      <c r="AY21" s="2295"/>
      <c r="AZ21" s="2295"/>
      <c r="BA21" s="2295"/>
      <c r="BD21" s="4919" t="s">
        <v>2053</v>
      </c>
      <c r="BE21" s="2308">
        <v>1</v>
      </c>
      <c r="BF21" s="2307"/>
      <c r="BG21" s="2330"/>
      <c r="BH21" s="2308">
        <v>2</v>
      </c>
      <c r="BI21" s="2307"/>
      <c r="BJ21" s="2330"/>
      <c r="BK21" s="2308">
        <v>3</v>
      </c>
      <c r="BL21" s="2307"/>
      <c r="BM21" s="2330"/>
      <c r="BN21" s="2308">
        <v>4</v>
      </c>
      <c r="BO21" s="2307"/>
      <c r="BP21" s="2330"/>
      <c r="BQ21" s="2308">
        <v>5</v>
      </c>
      <c r="BR21" s="2307"/>
      <c r="BS21" s="2330"/>
      <c r="BT21" s="2308">
        <v>6</v>
      </c>
      <c r="BU21" s="2307"/>
      <c r="BV21" s="2330"/>
      <c r="BW21" s="2308">
        <v>7</v>
      </c>
      <c r="BX21" s="2307"/>
      <c r="BY21" s="2330"/>
      <c r="BZ21" s="2308">
        <v>8</v>
      </c>
      <c r="CA21" s="2307"/>
      <c r="CB21" s="2330"/>
      <c r="CC21" s="2308">
        <v>9</v>
      </c>
      <c r="CD21" s="2307"/>
      <c r="CE21" s="2330"/>
      <c r="CF21" s="2308">
        <v>0</v>
      </c>
      <c r="CG21" s="2307"/>
      <c r="CH21" s="2330"/>
      <c r="CI21" s="2308" t="s">
        <v>2147</v>
      </c>
      <c r="CJ21" s="2307"/>
      <c r="CK21" s="2330"/>
      <c r="CL21" s="2308" t="s">
        <v>2146</v>
      </c>
      <c r="CM21" s="2307"/>
    </row>
    <row r="22" spans="1:91" ht="44.25">
      <c r="A22" s="2202"/>
      <c r="B22" s="2209" t="s">
        <v>868</v>
      </c>
      <c r="C22" s="2204" t="s">
        <v>1972</v>
      </c>
      <c r="D22" s="2362" t="s">
        <v>868</v>
      </c>
      <c r="E22" s="2208" t="s">
        <v>2010</v>
      </c>
      <c r="F22" s="2204" t="s">
        <v>1972</v>
      </c>
      <c r="G22" s="2361" t="s">
        <v>2010</v>
      </c>
      <c r="H22" s="2205">
        <v>11</v>
      </c>
      <c r="I22" s="2204" t="s">
        <v>1972</v>
      </c>
      <c r="J22" s="2362">
        <v>11</v>
      </c>
      <c r="K22" s="2205">
        <v>37</v>
      </c>
      <c r="L22" s="2204" t="s">
        <v>1972</v>
      </c>
      <c r="M22" s="2359">
        <v>37</v>
      </c>
      <c r="N22" s="2202"/>
      <c r="O22" s="2209" t="s">
        <v>868</v>
      </c>
      <c r="P22" s="2204" t="s">
        <v>1972</v>
      </c>
      <c r="Q22" s="2356" t="s">
        <v>868</v>
      </c>
      <c r="R22" s="2208" t="s">
        <v>2010</v>
      </c>
      <c r="S22" s="2204" t="s">
        <v>1972</v>
      </c>
      <c r="T22" s="2358" t="s">
        <v>2010</v>
      </c>
      <c r="U22" s="2205">
        <v>11</v>
      </c>
      <c r="V22" s="2204" t="s">
        <v>1972</v>
      </c>
      <c r="W22" s="2356">
        <v>11</v>
      </c>
      <c r="X22" s="2205">
        <v>37</v>
      </c>
      <c r="Y22" s="2204" t="s">
        <v>1972</v>
      </c>
      <c r="Z22" s="2354">
        <v>37</v>
      </c>
      <c r="AA22" s="2202"/>
      <c r="AB22" s="2202"/>
      <c r="AC22" s="2202"/>
      <c r="AD22" s="2325" t="s">
        <v>2051</v>
      </c>
      <c r="AE22" s="2323" t="s">
        <v>2154</v>
      </c>
      <c r="AF22" s="2324">
        <v>0</v>
      </c>
      <c r="AG22" s="2323" t="s">
        <v>2153</v>
      </c>
      <c r="AH22" s="2324">
        <v>0</v>
      </c>
      <c r="AI22" s="2323" t="s">
        <v>2152</v>
      </c>
      <c r="AJ22" s="2324">
        <v>0</v>
      </c>
      <c r="AK22" s="2323" t="s">
        <v>2151</v>
      </c>
      <c r="AL22" s="2324">
        <v>0</v>
      </c>
      <c r="AM22" s="2323" t="s">
        <v>372</v>
      </c>
      <c r="AN22" s="2324">
        <v>0</v>
      </c>
      <c r="AO22" s="2323" t="s">
        <v>345</v>
      </c>
      <c r="AP22" s="2324">
        <v>0</v>
      </c>
      <c r="AQ22" s="2323" t="s">
        <v>2150</v>
      </c>
      <c r="AR22" s="2324">
        <v>0</v>
      </c>
      <c r="AS22" s="2323" t="s">
        <v>2149</v>
      </c>
      <c r="AT22" s="2324">
        <v>0</v>
      </c>
      <c r="AU22" s="2323" t="s">
        <v>2148</v>
      </c>
      <c r="AV22" s="2324">
        <v>0</v>
      </c>
      <c r="AW22" s="2323" t="s">
        <v>371</v>
      </c>
      <c r="AX22" s="2324">
        <v>0</v>
      </c>
      <c r="AY22" s="2323" t="s">
        <v>370</v>
      </c>
      <c r="AZ22" s="2324">
        <v>0</v>
      </c>
      <c r="BA22" s="2323" t="s">
        <v>369</v>
      </c>
      <c r="BD22" s="4919"/>
      <c r="BE22" s="2305" t="s">
        <v>376</v>
      </c>
      <c r="BF22" s="2304"/>
      <c r="BG22" s="2330"/>
      <c r="BH22" s="2305" t="s">
        <v>1994</v>
      </c>
      <c r="BI22" s="2304" t="s">
        <v>1984</v>
      </c>
      <c r="BJ22" s="2330"/>
      <c r="BK22" s="2305" t="s">
        <v>380</v>
      </c>
      <c r="BL22" s="2304" t="s">
        <v>379</v>
      </c>
      <c r="BM22" s="2330"/>
      <c r="BN22" s="2305" t="s">
        <v>2133</v>
      </c>
      <c r="BO22" s="2304" t="s">
        <v>1980</v>
      </c>
      <c r="BP22" s="2330"/>
      <c r="BQ22" s="2305" t="s">
        <v>1991</v>
      </c>
      <c r="BR22" s="2304" t="s">
        <v>1985</v>
      </c>
      <c r="BS22" s="2330"/>
      <c r="BT22" s="2305" t="s">
        <v>1990</v>
      </c>
      <c r="BU22" s="2304" t="s">
        <v>1974</v>
      </c>
      <c r="BV22" s="2330"/>
      <c r="BW22" s="2305" t="s">
        <v>1992</v>
      </c>
      <c r="BX22" s="2304" t="s">
        <v>2132</v>
      </c>
      <c r="BY22" s="2330"/>
      <c r="BZ22" s="2305" t="s">
        <v>1973</v>
      </c>
      <c r="CA22" s="2304" t="s">
        <v>1979</v>
      </c>
      <c r="CB22" s="2330"/>
      <c r="CC22" s="2305" t="s">
        <v>1986</v>
      </c>
      <c r="CD22" s="2304" t="s">
        <v>2106</v>
      </c>
      <c r="CE22" s="2330"/>
      <c r="CF22" s="2305" t="s">
        <v>33</v>
      </c>
      <c r="CG22" s="2304" t="s">
        <v>375</v>
      </c>
      <c r="CH22" s="2330"/>
      <c r="CI22" s="2305" t="s">
        <v>1988</v>
      </c>
      <c r="CJ22" s="2304" t="s">
        <v>1983</v>
      </c>
      <c r="CK22" s="2330"/>
      <c r="CL22" s="2305" t="s">
        <v>1972</v>
      </c>
      <c r="CM22" s="2304" t="s">
        <v>1976</v>
      </c>
    </row>
    <row r="23" spans="1:91" ht="44.25">
      <c r="A23" s="2202"/>
      <c r="B23" s="2209" t="s">
        <v>642</v>
      </c>
      <c r="C23" s="2204" t="s">
        <v>1972</v>
      </c>
      <c r="D23" s="2362" t="s">
        <v>642</v>
      </c>
      <c r="E23" s="2208" t="s">
        <v>2009</v>
      </c>
      <c r="F23" s="2204" t="s">
        <v>1972</v>
      </c>
      <c r="G23" s="2361" t="s">
        <v>2009</v>
      </c>
      <c r="H23" s="2205">
        <v>12</v>
      </c>
      <c r="I23" s="2204" t="s">
        <v>1972</v>
      </c>
      <c r="J23" s="2360">
        <v>12</v>
      </c>
      <c r="K23" s="2205">
        <v>38</v>
      </c>
      <c r="L23" s="2204" t="s">
        <v>1972</v>
      </c>
      <c r="M23" s="2359">
        <v>38</v>
      </c>
      <c r="N23" s="2202"/>
      <c r="O23" s="2209" t="s">
        <v>642</v>
      </c>
      <c r="P23" s="2204" t="s">
        <v>1972</v>
      </c>
      <c r="Q23" s="2356" t="s">
        <v>642</v>
      </c>
      <c r="R23" s="2208" t="s">
        <v>2009</v>
      </c>
      <c r="S23" s="2204" t="s">
        <v>1972</v>
      </c>
      <c r="T23" s="2358" t="s">
        <v>2009</v>
      </c>
      <c r="U23" s="2205">
        <v>12</v>
      </c>
      <c r="V23" s="2204" t="s">
        <v>1972</v>
      </c>
      <c r="W23" s="2356">
        <v>12</v>
      </c>
      <c r="X23" s="2205">
        <v>38</v>
      </c>
      <c r="Y23" s="2204" t="s">
        <v>1972</v>
      </c>
      <c r="Z23" s="2354">
        <v>38</v>
      </c>
      <c r="AA23" s="2202"/>
      <c r="AB23" s="2202"/>
      <c r="AC23" s="2202"/>
      <c r="BD23" s="2303"/>
      <c r="BE23" s="2295"/>
      <c r="BF23" s="2295"/>
      <c r="BG23" s="2295"/>
      <c r="BH23" s="2295"/>
      <c r="BI23" s="2295"/>
      <c r="BJ23" s="2295"/>
      <c r="BK23" s="2295"/>
      <c r="BL23" s="2295"/>
      <c r="BM23" s="2295"/>
      <c r="BN23" s="2295"/>
      <c r="BO23" s="2295"/>
      <c r="BP23" s="2295"/>
      <c r="BQ23" s="2295"/>
      <c r="BR23" s="2295"/>
      <c r="BS23" s="2295"/>
      <c r="BT23" s="2295"/>
      <c r="BU23" s="2295"/>
      <c r="BV23" s="2295"/>
      <c r="BW23" s="2295"/>
      <c r="BX23" s="2295"/>
      <c r="BY23" s="2295"/>
      <c r="BZ23" s="2295"/>
      <c r="CA23" s="2295"/>
      <c r="CB23" s="2295"/>
      <c r="CC23" s="2295"/>
      <c r="CD23" s="2295"/>
      <c r="CE23" s="2295"/>
      <c r="CF23" s="2295"/>
      <c r="CG23" s="2295"/>
      <c r="CH23" s="2295"/>
      <c r="CI23" s="2295"/>
      <c r="CJ23" s="2295"/>
      <c r="CK23" s="2295"/>
      <c r="CL23" s="2295"/>
      <c r="CM23" s="2295"/>
    </row>
    <row r="24" spans="1:91" ht="44.25">
      <c r="A24" s="2202"/>
      <c r="B24" s="2209" t="s">
        <v>53</v>
      </c>
      <c r="C24" s="2204" t="s">
        <v>1972</v>
      </c>
      <c r="D24" s="2362" t="s">
        <v>53</v>
      </c>
      <c r="E24" s="2208" t="s">
        <v>2008</v>
      </c>
      <c r="F24" s="2204" t="s">
        <v>1972</v>
      </c>
      <c r="G24" s="2361" t="s">
        <v>2008</v>
      </c>
      <c r="H24" s="2205">
        <v>13</v>
      </c>
      <c r="I24" s="2204" t="s">
        <v>1972</v>
      </c>
      <c r="J24" s="2360">
        <v>13</v>
      </c>
      <c r="K24" s="2205">
        <v>39</v>
      </c>
      <c r="L24" s="2204" t="s">
        <v>1972</v>
      </c>
      <c r="M24" s="2359">
        <v>39</v>
      </c>
      <c r="N24" s="2202"/>
      <c r="O24" s="2209" t="s">
        <v>53</v>
      </c>
      <c r="P24" s="2204" t="s">
        <v>1972</v>
      </c>
      <c r="Q24" s="2356" t="s">
        <v>53</v>
      </c>
      <c r="R24" s="2208" t="s">
        <v>2008</v>
      </c>
      <c r="S24" s="2204" t="s">
        <v>1972</v>
      </c>
      <c r="T24" s="2358" t="s">
        <v>2008</v>
      </c>
      <c r="U24" s="2205">
        <v>13</v>
      </c>
      <c r="V24" s="2204" t="s">
        <v>1972</v>
      </c>
      <c r="W24" s="2356">
        <v>13</v>
      </c>
      <c r="X24" s="2205">
        <v>39</v>
      </c>
      <c r="Y24" s="2204" t="s">
        <v>1972</v>
      </c>
      <c r="Z24" s="2354">
        <v>39</v>
      </c>
      <c r="AA24" s="2202"/>
      <c r="AB24" s="2202"/>
      <c r="AC24" s="2202"/>
      <c r="AD24" s="2377" t="s">
        <v>2089</v>
      </c>
      <c r="BD24" s="4919" t="s">
        <v>2051</v>
      </c>
      <c r="BE24" s="2299">
        <v>1</v>
      </c>
      <c r="BF24" s="2298"/>
      <c r="BG24" s="2324"/>
      <c r="BH24" s="2299">
        <v>2</v>
      </c>
      <c r="BI24" s="2298"/>
      <c r="BJ24" s="2324"/>
      <c r="BK24" s="2299">
        <v>3</v>
      </c>
      <c r="BL24" s="2298"/>
      <c r="BM24" s="2324"/>
      <c r="BN24" s="2299">
        <v>4</v>
      </c>
      <c r="BO24" s="2298"/>
      <c r="BP24" s="2324"/>
      <c r="BQ24" s="2299">
        <v>5</v>
      </c>
      <c r="BR24" s="2298"/>
      <c r="BS24" s="2324"/>
      <c r="BT24" s="2299">
        <v>6</v>
      </c>
      <c r="BU24" s="2298"/>
      <c r="BV24" s="2324"/>
      <c r="BW24" s="2299">
        <v>7</v>
      </c>
      <c r="BX24" s="2298"/>
      <c r="BY24" s="2324"/>
      <c r="BZ24" s="2299">
        <v>8</v>
      </c>
      <c r="CA24" s="2298"/>
      <c r="CB24" s="2324"/>
      <c r="CC24" s="2299">
        <v>9</v>
      </c>
      <c r="CD24" s="2298"/>
      <c r="CE24" s="2324"/>
      <c r="CF24" s="2299">
        <v>0</v>
      </c>
      <c r="CG24" s="2298"/>
      <c r="CH24" s="2324"/>
      <c r="CI24" s="2299" t="s">
        <v>2147</v>
      </c>
      <c r="CJ24" s="2298"/>
      <c r="CK24" s="2324"/>
      <c r="CL24" s="2299" t="s">
        <v>2146</v>
      </c>
      <c r="CM24" s="2298"/>
    </row>
    <row r="25" spans="1:91" ht="46.5">
      <c r="A25" s="2202"/>
      <c r="B25" s="2209" t="s">
        <v>1233</v>
      </c>
      <c r="C25" s="2204" t="s">
        <v>1972</v>
      </c>
      <c r="D25" s="2362" t="s">
        <v>1233</v>
      </c>
      <c r="E25" s="2208" t="s">
        <v>2007</v>
      </c>
      <c r="F25" s="2204" t="s">
        <v>1972</v>
      </c>
      <c r="G25" s="2361" t="s">
        <v>2007</v>
      </c>
      <c r="H25" s="2205">
        <v>14</v>
      </c>
      <c r="I25" s="2204" t="s">
        <v>1972</v>
      </c>
      <c r="J25" s="2360">
        <v>14</v>
      </c>
      <c r="K25" s="2205">
        <v>40</v>
      </c>
      <c r="L25" s="2204" t="s">
        <v>1972</v>
      </c>
      <c r="M25" s="2359">
        <v>40</v>
      </c>
      <c r="N25" s="2202"/>
      <c r="O25" s="2209" t="s">
        <v>1233</v>
      </c>
      <c r="P25" s="2204" t="s">
        <v>1972</v>
      </c>
      <c r="Q25" s="2356" t="s">
        <v>1233</v>
      </c>
      <c r="R25" s="2208" t="s">
        <v>2007</v>
      </c>
      <c r="S25" s="2204" t="s">
        <v>1972</v>
      </c>
      <c r="T25" s="2358" t="s">
        <v>2007</v>
      </c>
      <c r="U25" s="2205">
        <v>14</v>
      </c>
      <c r="V25" s="2204" t="s">
        <v>1972</v>
      </c>
      <c r="W25" s="2356">
        <v>14</v>
      </c>
      <c r="X25" s="2205">
        <v>40</v>
      </c>
      <c r="Y25" s="2204" t="s">
        <v>1972</v>
      </c>
      <c r="Z25" s="2354">
        <v>40</v>
      </c>
      <c r="AA25" s="2202"/>
      <c r="AB25" s="2202"/>
      <c r="AC25" s="2202"/>
      <c r="AD25" s="2325" t="s">
        <v>2088</v>
      </c>
      <c r="AE25" s="2339" t="s">
        <v>2145</v>
      </c>
      <c r="AF25" s="2340"/>
      <c r="AG25" s="2339" t="s">
        <v>2144</v>
      </c>
      <c r="AH25" s="2340"/>
      <c r="AI25" s="2339" t="s">
        <v>2143</v>
      </c>
      <c r="AJ25" s="2340"/>
      <c r="AK25" s="2339" t="s">
        <v>2142</v>
      </c>
      <c r="AL25" s="2340"/>
      <c r="AM25" s="2339" t="s">
        <v>2141</v>
      </c>
      <c r="AN25" s="2340"/>
      <c r="AO25" s="2339" t="s">
        <v>2140</v>
      </c>
      <c r="AP25" s="2340"/>
      <c r="AQ25" s="2339" t="s">
        <v>2139</v>
      </c>
      <c r="AR25" s="2340"/>
      <c r="AS25" s="2339" t="s">
        <v>2138</v>
      </c>
      <c r="AT25" s="2340"/>
      <c r="AU25" s="2339" t="s">
        <v>2137</v>
      </c>
      <c r="AV25" s="2340"/>
      <c r="AW25" s="2339" t="s">
        <v>2136</v>
      </c>
      <c r="AX25" s="2340"/>
      <c r="AY25" s="2339" t="s">
        <v>2135</v>
      </c>
      <c r="AZ25" s="2340"/>
      <c r="BA25" s="2339" t="s">
        <v>2134</v>
      </c>
      <c r="BD25" s="4919"/>
      <c r="BE25" s="2297" t="s">
        <v>376</v>
      </c>
      <c r="BF25" s="2296"/>
      <c r="BG25" s="2324"/>
      <c r="BH25" s="2297" t="s">
        <v>1994</v>
      </c>
      <c r="BI25" s="2296" t="s">
        <v>1984</v>
      </c>
      <c r="BJ25" s="2324"/>
      <c r="BK25" s="2297" t="s">
        <v>380</v>
      </c>
      <c r="BL25" s="2296" t="s">
        <v>379</v>
      </c>
      <c r="BM25" s="2324"/>
      <c r="BN25" s="2297" t="s">
        <v>2133</v>
      </c>
      <c r="BO25" s="2296" t="s">
        <v>1980</v>
      </c>
      <c r="BP25" s="2324"/>
      <c r="BQ25" s="2297" t="s">
        <v>1991</v>
      </c>
      <c r="BR25" s="2296" t="s">
        <v>1985</v>
      </c>
      <c r="BS25" s="2324"/>
      <c r="BT25" s="2297" t="s">
        <v>1990</v>
      </c>
      <c r="BU25" s="2296" t="s">
        <v>1974</v>
      </c>
      <c r="BV25" s="2324"/>
      <c r="BW25" s="2297" t="s">
        <v>1992</v>
      </c>
      <c r="BX25" s="2296" t="s">
        <v>2132</v>
      </c>
      <c r="BY25" s="2324"/>
      <c r="BZ25" s="2297" t="s">
        <v>1973</v>
      </c>
      <c r="CA25" s="2296" t="s">
        <v>1979</v>
      </c>
      <c r="CB25" s="2324"/>
      <c r="CC25" s="2297" t="s">
        <v>1986</v>
      </c>
      <c r="CD25" s="2296" t="s">
        <v>2106</v>
      </c>
      <c r="CE25" s="2324"/>
      <c r="CF25" s="2297" t="s">
        <v>33</v>
      </c>
      <c r="CG25" s="2296" t="s">
        <v>375</v>
      </c>
      <c r="CH25" s="2324"/>
      <c r="CI25" s="2297" t="s">
        <v>1988</v>
      </c>
      <c r="CJ25" s="2296" t="s">
        <v>1983</v>
      </c>
      <c r="CK25" s="2324"/>
      <c r="CL25" s="2297" t="s">
        <v>1972</v>
      </c>
      <c r="CM25" s="2296" t="s">
        <v>1976</v>
      </c>
    </row>
    <row r="26" spans="1:91" ht="44.25">
      <c r="A26" s="2202"/>
      <c r="B26" s="2209" t="s">
        <v>1225</v>
      </c>
      <c r="C26" s="2204" t="s">
        <v>1972</v>
      </c>
      <c r="D26" s="2362" t="s">
        <v>1225</v>
      </c>
      <c r="E26" s="2208" t="s">
        <v>2006</v>
      </c>
      <c r="F26" s="2204" t="s">
        <v>1972</v>
      </c>
      <c r="G26" s="2361" t="s">
        <v>2006</v>
      </c>
      <c r="H26" s="2205">
        <v>15</v>
      </c>
      <c r="I26" s="2204" t="s">
        <v>1972</v>
      </c>
      <c r="J26" s="2360">
        <v>15</v>
      </c>
      <c r="K26" s="2205">
        <v>41</v>
      </c>
      <c r="L26" s="2204" t="s">
        <v>1972</v>
      </c>
      <c r="M26" s="2359">
        <v>41</v>
      </c>
      <c r="N26" s="2202"/>
      <c r="O26" s="2209" t="s">
        <v>1225</v>
      </c>
      <c r="P26" s="2204" t="s">
        <v>1972</v>
      </c>
      <c r="Q26" s="2356" t="s">
        <v>1225</v>
      </c>
      <c r="R26" s="2208" t="s">
        <v>2006</v>
      </c>
      <c r="S26" s="2204" t="s">
        <v>1972</v>
      </c>
      <c r="T26" s="2358" t="s">
        <v>2006</v>
      </c>
      <c r="U26" s="2205">
        <v>15</v>
      </c>
      <c r="V26" s="2204" t="s">
        <v>1972</v>
      </c>
      <c r="W26" s="2356">
        <v>15</v>
      </c>
      <c r="X26" s="2205">
        <v>41</v>
      </c>
      <c r="Y26" s="2204" t="s">
        <v>1972</v>
      </c>
      <c r="Z26" s="2354">
        <v>41</v>
      </c>
      <c r="AA26" s="2202"/>
      <c r="AB26" s="2202"/>
      <c r="AC26" s="2202"/>
      <c r="AD26" s="2303"/>
      <c r="AE26" s="2275"/>
      <c r="AF26" s="2275"/>
      <c r="AG26" s="2275"/>
      <c r="AH26" s="2275"/>
      <c r="AI26" s="2275"/>
      <c r="AJ26" s="2275"/>
      <c r="AK26" s="2275"/>
      <c r="AL26" s="2275"/>
      <c r="AM26" s="2275"/>
      <c r="AN26" s="2275"/>
      <c r="AO26" s="2275"/>
      <c r="AP26" s="2275"/>
      <c r="AQ26" s="2275"/>
      <c r="AR26" s="2275"/>
      <c r="AS26" s="2275"/>
      <c r="AT26" s="2275"/>
      <c r="AU26" s="2275"/>
      <c r="AV26" s="2275"/>
      <c r="AW26" s="2275"/>
      <c r="AX26" s="2275"/>
      <c r="AY26" s="2275"/>
      <c r="AZ26" s="2275"/>
      <c r="BA26" s="2275"/>
      <c r="BD26" s="2303"/>
      <c r="BE26" s="2295"/>
      <c r="BF26" s="2295"/>
      <c r="BG26" s="2295"/>
      <c r="BH26" s="2295"/>
      <c r="BI26" s="2295"/>
      <c r="BJ26" s="2295"/>
      <c r="BK26" s="2295"/>
      <c r="BL26" s="2295"/>
      <c r="BM26" s="2295"/>
      <c r="BN26" s="2295"/>
      <c r="BO26" s="2295"/>
      <c r="BP26" s="2295"/>
      <c r="BQ26" s="2295"/>
      <c r="BR26" s="2295"/>
      <c r="BS26" s="2295"/>
      <c r="BT26" s="2295"/>
      <c r="BU26" s="2295"/>
      <c r="BV26" s="2295"/>
      <c r="BW26" s="2295"/>
      <c r="BX26" s="2295"/>
      <c r="BY26" s="2295"/>
      <c r="BZ26" s="2295"/>
      <c r="CA26" s="2295"/>
      <c r="CB26" s="2295"/>
      <c r="CC26" s="2295"/>
      <c r="CD26" s="2295"/>
      <c r="CE26" s="2295"/>
      <c r="CF26" s="2295"/>
      <c r="CG26" s="2295"/>
      <c r="CH26" s="2295"/>
      <c r="CI26" s="2295"/>
      <c r="CJ26" s="2295"/>
      <c r="CK26" s="2295"/>
      <c r="CL26" s="2295"/>
      <c r="CM26" s="2295"/>
    </row>
    <row r="27" spans="1:91" ht="44.25">
      <c r="A27" s="2202"/>
      <c r="B27" s="2209" t="s">
        <v>54</v>
      </c>
      <c r="C27" s="2204" t="s">
        <v>1972</v>
      </c>
      <c r="D27" s="2362" t="s">
        <v>54</v>
      </c>
      <c r="E27" s="2208" t="s">
        <v>342</v>
      </c>
      <c r="F27" s="2204" t="s">
        <v>1972</v>
      </c>
      <c r="G27" s="2361" t="s">
        <v>342</v>
      </c>
      <c r="H27" s="2205">
        <v>16</v>
      </c>
      <c r="I27" s="2204" t="s">
        <v>1972</v>
      </c>
      <c r="J27" s="2360">
        <v>16</v>
      </c>
      <c r="K27" s="2205">
        <v>42</v>
      </c>
      <c r="L27" s="2204" t="s">
        <v>1972</v>
      </c>
      <c r="M27" s="2359">
        <v>42</v>
      </c>
      <c r="N27" s="2202"/>
      <c r="O27" s="2209" t="s">
        <v>54</v>
      </c>
      <c r="P27" s="2204" t="s">
        <v>1972</v>
      </c>
      <c r="Q27" s="2356" t="s">
        <v>54</v>
      </c>
      <c r="R27" s="2208" t="s">
        <v>342</v>
      </c>
      <c r="S27" s="2204" t="s">
        <v>1972</v>
      </c>
      <c r="T27" s="2358" t="s">
        <v>342</v>
      </c>
      <c r="U27" s="2205">
        <v>16</v>
      </c>
      <c r="V27" s="2204" t="s">
        <v>1972</v>
      </c>
      <c r="W27" s="2356">
        <v>16</v>
      </c>
      <c r="X27" s="2205">
        <v>42</v>
      </c>
      <c r="Y27" s="2204" t="s">
        <v>1972</v>
      </c>
      <c r="Z27" s="2354">
        <v>42</v>
      </c>
      <c r="AA27" s="2202"/>
      <c r="AB27" s="2202"/>
      <c r="AC27" s="2202"/>
      <c r="AD27" s="2325" t="s">
        <v>446</v>
      </c>
      <c r="AE27" s="2375" t="s">
        <v>368</v>
      </c>
      <c r="AF27" s="2376"/>
      <c r="AG27" s="2375" t="s">
        <v>2130</v>
      </c>
      <c r="AH27" s="2376"/>
      <c r="AI27" s="2375" t="s">
        <v>2129</v>
      </c>
      <c r="AJ27" s="2376"/>
      <c r="AK27" s="2375" t="s">
        <v>2128</v>
      </c>
      <c r="AL27" s="2376"/>
      <c r="AM27" s="2375" t="s">
        <v>2127</v>
      </c>
      <c r="AN27" s="2376"/>
      <c r="AO27" s="2375" t="s">
        <v>2126</v>
      </c>
      <c r="AP27" s="2376"/>
      <c r="AQ27" s="2375" t="s">
        <v>2125</v>
      </c>
      <c r="AR27" s="2376"/>
      <c r="AS27" s="2375" t="s">
        <v>2124</v>
      </c>
      <c r="AT27" s="2376"/>
      <c r="AU27" s="2375" t="s">
        <v>2123</v>
      </c>
      <c r="AV27" s="2376"/>
      <c r="AW27" s="2375" t="s">
        <v>2122</v>
      </c>
      <c r="AX27" s="2376"/>
      <c r="AY27" s="2375" t="s">
        <v>2121</v>
      </c>
      <c r="AZ27" s="2376"/>
      <c r="BA27" s="2375" t="s">
        <v>2120</v>
      </c>
      <c r="BD27" s="2303"/>
      <c r="BE27" s="2328" t="s">
        <v>2131</v>
      </c>
      <c r="BF27" s="2295"/>
      <c r="BG27" s="2295"/>
      <c r="BH27" s="2295"/>
      <c r="BI27" s="2295"/>
      <c r="BJ27" s="2295"/>
      <c r="BK27" s="2295"/>
      <c r="BL27" s="2295"/>
      <c r="BM27" s="2295"/>
      <c r="BN27" s="2295"/>
      <c r="BO27" s="2295"/>
      <c r="BP27" s="2295"/>
      <c r="BQ27" s="2295"/>
      <c r="BR27" s="2295"/>
      <c r="BS27" s="2295"/>
      <c r="BT27" s="2295"/>
      <c r="BU27" s="2295"/>
      <c r="BV27" s="2295"/>
      <c r="BW27" s="2295"/>
      <c r="BX27" s="2295"/>
      <c r="BY27" s="2295"/>
      <c r="BZ27" s="2295"/>
      <c r="CA27" s="2295"/>
      <c r="CB27" s="2295"/>
      <c r="CC27" s="2295"/>
      <c r="CD27" s="2295"/>
      <c r="CE27" s="2295"/>
      <c r="CF27" s="2295"/>
      <c r="CG27" s="2295"/>
      <c r="CH27" s="2295"/>
      <c r="CI27" s="2295"/>
      <c r="CJ27" s="2295"/>
      <c r="CK27" s="2295"/>
      <c r="CL27" s="2295"/>
      <c r="CM27" s="2295"/>
    </row>
    <row r="28" spans="1:91" ht="44.25">
      <c r="A28" s="2202"/>
      <c r="B28" s="2209" t="s">
        <v>1443</v>
      </c>
      <c r="C28" s="2204" t="s">
        <v>1972</v>
      </c>
      <c r="D28" s="2362" t="s">
        <v>1443</v>
      </c>
      <c r="E28" s="2208" t="s">
        <v>343</v>
      </c>
      <c r="F28" s="2204" t="s">
        <v>1972</v>
      </c>
      <c r="G28" s="2361" t="s">
        <v>343</v>
      </c>
      <c r="H28" s="2205">
        <v>17</v>
      </c>
      <c r="I28" s="2204" t="s">
        <v>1972</v>
      </c>
      <c r="J28" s="2360">
        <v>17</v>
      </c>
      <c r="K28" s="2205">
        <v>43</v>
      </c>
      <c r="L28" s="2204" t="s">
        <v>1972</v>
      </c>
      <c r="M28" s="2359">
        <v>43</v>
      </c>
      <c r="N28" s="2202"/>
      <c r="O28" s="2209" t="s">
        <v>1443</v>
      </c>
      <c r="P28" s="2204" t="s">
        <v>1972</v>
      </c>
      <c r="Q28" s="2356" t="s">
        <v>1443</v>
      </c>
      <c r="R28" s="2208" t="s">
        <v>343</v>
      </c>
      <c r="S28" s="2204" t="s">
        <v>1972</v>
      </c>
      <c r="T28" s="2358" t="s">
        <v>343</v>
      </c>
      <c r="U28" s="2205">
        <v>17</v>
      </c>
      <c r="V28" s="2204" t="s">
        <v>1972</v>
      </c>
      <c r="W28" s="2356">
        <v>17</v>
      </c>
      <c r="X28" s="2205">
        <v>43</v>
      </c>
      <c r="Y28" s="2204" t="s">
        <v>1972</v>
      </c>
      <c r="Z28" s="2354">
        <v>43</v>
      </c>
      <c r="AA28" s="2202"/>
      <c r="AB28" s="2202"/>
      <c r="AC28" s="2202"/>
      <c r="AD28" s="2303"/>
      <c r="AE28" s="2366"/>
      <c r="AF28" s="2366"/>
      <c r="AG28" s="2366"/>
      <c r="AH28" s="2366"/>
      <c r="AI28" s="2366"/>
      <c r="AJ28" s="2366"/>
      <c r="AK28" s="2366"/>
      <c r="AL28" s="2366"/>
      <c r="AM28" s="2366"/>
      <c r="AN28" s="2366"/>
      <c r="AO28" s="2366"/>
      <c r="AP28" s="2366"/>
      <c r="AQ28" s="2366"/>
      <c r="AR28" s="2366"/>
      <c r="AS28" s="2366"/>
      <c r="AT28" s="2366"/>
      <c r="AU28" s="2366"/>
      <c r="AV28" s="2366"/>
      <c r="AW28" s="2366"/>
      <c r="AX28" s="2366"/>
      <c r="AY28" s="2366"/>
      <c r="AZ28" s="2366"/>
      <c r="BA28" s="2366"/>
      <c r="BD28" s="4923" t="s">
        <v>2072</v>
      </c>
      <c r="BE28" s="2327" t="s">
        <v>2</v>
      </c>
      <c r="BF28" s="2326"/>
      <c r="BG28" s="2319"/>
      <c r="BH28" s="2327" t="s">
        <v>344</v>
      </c>
      <c r="BI28" s="2326"/>
      <c r="BJ28" s="2319"/>
      <c r="BK28" s="2327" t="s">
        <v>771</v>
      </c>
      <c r="BL28" s="2326"/>
      <c r="BM28" s="2319"/>
      <c r="BN28" s="2327" t="s">
        <v>1291</v>
      </c>
      <c r="BO28" s="2326"/>
      <c r="BP28" s="2319"/>
      <c r="BQ28" s="2327" t="s">
        <v>1213</v>
      </c>
      <c r="BR28" s="2326"/>
      <c r="BS28" s="2319"/>
      <c r="BT28" s="2327" t="s">
        <v>1999</v>
      </c>
      <c r="BU28" s="2326"/>
      <c r="BV28" s="2319"/>
      <c r="BW28" s="2327" t="s">
        <v>792</v>
      </c>
      <c r="BX28" s="2326"/>
      <c r="BY28" s="2319"/>
      <c r="BZ28" s="2327" t="s">
        <v>872</v>
      </c>
      <c r="CA28" s="2326"/>
      <c r="CB28" s="2319"/>
      <c r="CC28" s="2327" t="s">
        <v>1225</v>
      </c>
      <c r="CD28" s="2326"/>
      <c r="CE28" s="2319"/>
      <c r="CF28" s="2327" t="s">
        <v>54</v>
      </c>
      <c r="CG28" s="2326"/>
      <c r="CH28" s="2319"/>
      <c r="CI28" s="2327" t="s">
        <v>2107</v>
      </c>
      <c r="CJ28" s="2326"/>
      <c r="CK28" s="2319"/>
      <c r="CL28" s="2327" t="s">
        <v>1996</v>
      </c>
      <c r="CM28" s="2326"/>
    </row>
    <row r="29" spans="1:91" ht="44.25">
      <c r="A29" s="2202"/>
      <c r="B29" s="2209" t="s">
        <v>1291</v>
      </c>
      <c r="C29" s="2204" t="s">
        <v>1972</v>
      </c>
      <c r="D29" s="2362" t="s">
        <v>1291</v>
      </c>
      <c r="E29" s="2208" t="s">
        <v>2005</v>
      </c>
      <c r="F29" s="2204" t="s">
        <v>1972</v>
      </c>
      <c r="G29" s="2361" t="s">
        <v>2005</v>
      </c>
      <c r="H29" s="2205">
        <v>18</v>
      </c>
      <c r="I29" s="2204" t="s">
        <v>1972</v>
      </c>
      <c r="J29" s="2360">
        <v>18</v>
      </c>
      <c r="K29" s="2205">
        <v>44</v>
      </c>
      <c r="L29" s="2204" t="s">
        <v>1972</v>
      </c>
      <c r="M29" s="2359">
        <v>44</v>
      </c>
      <c r="N29" s="2202"/>
      <c r="O29" s="2209" t="s">
        <v>1291</v>
      </c>
      <c r="P29" s="2204" t="s">
        <v>1972</v>
      </c>
      <c r="Q29" s="2356" t="s">
        <v>1291</v>
      </c>
      <c r="R29" s="2208" t="s">
        <v>2005</v>
      </c>
      <c r="S29" s="2204" t="s">
        <v>1972</v>
      </c>
      <c r="T29" s="2358" t="s">
        <v>2005</v>
      </c>
      <c r="U29" s="2205">
        <v>18</v>
      </c>
      <c r="V29" s="2204" t="s">
        <v>1972</v>
      </c>
      <c r="W29" s="2356">
        <v>18</v>
      </c>
      <c r="X29" s="2205">
        <v>44</v>
      </c>
      <c r="Y29" s="2204" t="s">
        <v>1972</v>
      </c>
      <c r="Z29" s="2354">
        <v>44</v>
      </c>
      <c r="AA29" s="2202"/>
      <c r="AB29" s="2202"/>
      <c r="AC29" s="2202"/>
      <c r="AD29" s="2325" t="s">
        <v>2058</v>
      </c>
      <c r="AE29" s="2372" t="s">
        <v>368</v>
      </c>
      <c r="AF29" s="2373">
        <v>0</v>
      </c>
      <c r="AG29" s="2372" t="s">
        <v>2130</v>
      </c>
      <c r="AH29" s="2373">
        <v>0</v>
      </c>
      <c r="AI29" s="2372" t="s">
        <v>2129</v>
      </c>
      <c r="AJ29" s="2373">
        <v>0</v>
      </c>
      <c r="AK29" s="2372" t="s">
        <v>2128</v>
      </c>
      <c r="AL29" s="2373">
        <v>0</v>
      </c>
      <c r="AM29" s="2372" t="s">
        <v>2127</v>
      </c>
      <c r="AN29" s="2373">
        <v>0</v>
      </c>
      <c r="AO29" s="2372" t="s">
        <v>2126</v>
      </c>
      <c r="AP29" s="2373">
        <v>0</v>
      </c>
      <c r="AQ29" s="2372" t="s">
        <v>2125</v>
      </c>
      <c r="AR29" s="2373">
        <v>0</v>
      </c>
      <c r="AS29" s="2374" t="s">
        <v>2124</v>
      </c>
      <c r="AT29" s="2373">
        <v>0</v>
      </c>
      <c r="AU29" s="2372" t="s">
        <v>2123</v>
      </c>
      <c r="AV29" s="2373">
        <v>0</v>
      </c>
      <c r="AW29" s="2372" t="s">
        <v>2122</v>
      </c>
      <c r="AX29" s="2373">
        <v>0</v>
      </c>
      <c r="AY29" s="2372" t="s">
        <v>2121</v>
      </c>
      <c r="AZ29" s="2373">
        <v>0</v>
      </c>
      <c r="BA29" s="2372" t="s">
        <v>2120</v>
      </c>
      <c r="BD29" s="4923"/>
      <c r="BE29" s="2322" t="s">
        <v>2019</v>
      </c>
      <c r="BF29" s="2321"/>
      <c r="BG29" s="2319"/>
      <c r="BH29" s="2322" t="s">
        <v>1997</v>
      </c>
      <c r="BI29" s="2321"/>
      <c r="BJ29" s="2319"/>
      <c r="BK29" s="2322" t="s">
        <v>2015</v>
      </c>
      <c r="BL29" s="2321"/>
      <c r="BM29" s="2319"/>
      <c r="BN29" s="2322" t="s">
        <v>2005</v>
      </c>
      <c r="BO29" s="2321"/>
      <c r="BP29" s="2319"/>
      <c r="BQ29" s="2322" t="s">
        <v>357</v>
      </c>
      <c r="BR29" s="2321"/>
      <c r="BS29" s="2319"/>
      <c r="BT29" s="2322" t="s">
        <v>1998</v>
      </c>
      <c r="BU29" s="2321"/>
      <c r="BV29" s="2319"/>
      <c r="BW29" s="2322" t="s">
        <v>356</v>
      </c>
      <c r="BX29" s="2321"/>
      <c r="BY29" s="2319"/>
      <c r="BZ29" s="2322" t="s">
        <v>2012</v>
      </c>
      <c r="CA29" s="2321"/>
      <c r="CB29" s="2319"/>
      <c r="CC29" s="2322" t="s">
        <v>2006</v>
      </c>
      <c r="CD29" s="2321"/>
      <c r="CE29" s="2319"/>
      <c r="CF29" s="2322" t="s">
        <v>342</v>
      </c>
      <c r="CG29" s="2321"/>
      <c r="CH29" s="2319"/>
      <c r="CI29" s="2322" t="s">
        <v>2106</v>
      </c>
      <c r="CJ29" s="2321"/>
      <c r="CK29" s="2319"/>
      <c r="CL29" s="2322"/>
      <c r="CM29" s="2321" t="s">
        <v>2105</v>
      </c>
    </row>
    <row r="30" spans="1:91" ht="44.25">
      <c r="A30" s="2202"/>
      <c r="B30" s="2209" t="s">
        <v>31</v>
      </c>
      <c r="C30" s="2204" t="s">
        <v>1972</v>
      </c>
      <c r="D30" s="2362" t="s">
        <v>31</v>
      </c>
      <c r="E30" s="2208" t="s">
        <v>2004</v>
      </c>
      <c r="F30" s="2204" t="s">
        <v>1972</v>
      </c>
      <c r="G30" s="2361" t="s">
        <v>2004</v>
      </c>
      <c r="H30" s="2205">
        <v>19</v>
      </c>
      <c r="I30" s="2204" t="s">
        <v>1972</v>
      </c>
      <c r="J30" s="2360">
        <v>19</v>
      </c>
      <c r="K30" s="2205">
        <v>45</v>
      </c>
      <c r="L30" s="2204" t="s">
        <v>1972</v>
      </c>
      <c r="M30" s="2359">
        <v>45</v>
      </c>
      <c r="N30" s="2202"/>
      <c r="O30" s="2209" t="s">
        <v>31</v>
      </c>
      <c r="P30" s="2204" t="s">
        <v>1972</v>
      </c>
      <c r="Q30" s="2356" t="s">
        <v>31</v>
      </c>
      <c r="R30" s="2208" t="s">
        <v>2004</v>
      </c>
      <c r="S30" s="2204" t="s">
        <v>1972</v>
      </c>
      <c r="T30" s="2358" t="s">
        <v>2004</v>
      </c>
      <c r="U30" s="2205">
        <v>19</v>
      </c>
      <c r="V30" s="2204" t="s">
        <v>1972</v>
      </c>
      <c r="W30" s="2356">
        <v>19</v>
      </c>
      <c r="X30" s="2205">
        <v>45</v>
      </c>
      <c r="Y30" s="2204" t="s">
        <v>1972</v>
      </c>
      <c r="Z30" s="2354">
        <v>45</v>
      </c>
      <c r="AA30" s="2202"/>
      <c r="AB30" s="2202"/>
      <c r="AC30" s="2202"/>
      <c r="AD30" s="2303"/>
      <c r="AE30" s="2366"/>
      <c r="AF30" s="2366"/>
      <c r="AG30" s="2366"/>
      <c r="AH30" s="2366"/>
      <c r="AI30" s="2366"/>
      <c r="AJ30" s="2366"/>
      <c r="AK30" s="2366"/>
      <c r="AL30" s="2366"/>
      <c r="AM30" s="2366"/>
      <c r="AN30" s="2366"/>
      <c r="AO30" s="2366"/>
      <c r="AP30" s="2366"/>
      <c r="AQ30" s="2366"/>
      <c r="AR30" s="2366"/>
      <c r="AS30" s="2371"/>
      <c r="AT30" s="2366"/>
      <c r="AU30" s="2366"/>
      <c r="AV30" s="2366"/>
      <c r="AW30" s="2366"/>
      <c r="AX30" s="2366"/>
      <c r="AY30" s="2366"/>
      <c r="AZ30" s="2366"/>
      <c r="BA30" s="2366"/>
      <c r="BD30" s="2314"/>
      <c r="BE30" s="2319"/>
      <c r="BF30" s="2319"/>
      <c r="BG30" s="2319"/>
      <c r="BH30" s="2319"/>
      <c r="BI30" s="2319"/>
      <c r="BJ30" s="2319"/>
      <c r="BK30" s="2319"/>
      <c r="BL30" s="2319"/>
      <c r="BM30" s="2319"/>
      <c r="BN30" s="2319"/>
      <c r="BO30" s="2319"/>
      <c r="BP30" s="2319"/>
      <c r="BQ30" s="2319"/>
      <c r="BR30" s="2319"/>
      <c r="BS30" s="2319"/>
      <c r="BT30" s="2319"/>
      <c r="BU30" s="2319"/>
      <c r="BV30" s="2319"/>
      <c r="BW30" s="2319"/>
      <c r="BX30" s="2319"/>
      <c r="BY30" s="2319"/>
      <c r="BZ30" s="2319"/>
      <c r="CA30" s="2319"/>
      <c r="CB30" s="2319"/>
      <c r="CC30" s="2319"/>
      <c r="CD30" s="2319"/>
      <c r="CE30" s="2319"/>
      <c r="CF30" s="2319"/>
      <c r="CG30" s="2319"/>
      <c r="CH30" s="2319"/>
      <c r="CI30" s="2319"/>
      <c r="CJ30" s="2319"/>
      <c r="CK30" s="2319"/>
      <c r="CL30" s="2319"/>
      <c r="CM30" s="2319"/>
    </row>
    <row r="31" spans="1:91" ht="44.25">
      <c r="A31" s="2202"/>
      <c r="B31" s="2209" t="s">
        <v>1213</v>
      </c>
      <c r="C31" s="2204" t="s">
        <v>1972</v>
      </c>
      <c r="D31" s="2362" t="s">
        <v>1213</v>
      </c>
      <c r="E31" s="2208" t="s">
        <v>357</v>
      </c>
      <c r="F31" s="2204" t="s">
        <v>1972</v>
      </c>
      <c r="G31" s="2361" t="s">
        <v>357</v>
      </c>
      <c r="H31" s="2205">
        <v>20</v>
      </c>
      <c r="I31" s="2204" t="s">
        <v>1972</v>
      </c>
      <c r="J31" s="2360">
        <v>20</v>
      </c>
      <c r="K31" s="2205">
        <v>46</v>
      </c>
      <c r="L31" s="2204" t="s">
        <v>1972</v>
      </c>
      <c r="M31" s="2359">
        <v>46</v>
      </c>
      <c r="N31" s="2202"/>
      <c r="O31" s="2209" t="s">
        <v>1213</v>
      </c>
      <c r="P31" s="2204" t="s">
        <v>1972</v>
      </c>
      <c r="Q31" s="2356" t="s">
        <v>1213</v>
      </c>
      <c r="R31" s="2208" t="s">
        <v>357</v>
      </c>
      <c r="S31" s="2204" t="s">
        <v>1972</v>
      </c>
      <c r="T31" s="2358" t="s">
        <v>357</v>
      </c>
      <c r="U31" s="2205">
        <v>20</v>
      </c>
      <c r="V31" s="2204" t="s">
        <v>1972</v>
      </c>
      <c r="W31" s="2356">
        <v>20</v>
      </c>
      <c r="X31" s="2205">
        <v>46</v>
      </c>
      <c r="Y31" s="2204" t="s">
        <v>1972</v>
      </c>
      <c r="Z31" s="2354">
        <v>46</v>
      </c>
      <c r="AA31" s="2202"/>
      <c r="AB31" s="2202"/>
      <c r="AC31" s="2202"/>
      <c r="AD31" s="2325" t="s">
        <v>2075</v>
      </c>
      <c r="AE31" s="2369" t="s">
        <v>368</v>
      </c>
      <c r="AF31" s="2370">
        <v>0</v>
      </c>
      <c r="AG31" s="2369" t="s">
        <v>2130</v>
      </c>
      <c r="AH31" s="2370">
        <v>0</v>
      </c>
      <c r="AI31" s="2369" t="s">
        <v>2129</v>
      </c>
      <c r="AJ31" s="2370">
        <v>0</v>
      </c>
      <c r="AK31" s="2369" t="s">
        <v>2128</v>
      </c>
      <c r="AL31" s="2370">
        <v>0</v>
      </c>
      <c r="AM31" s="2369" t="s">
        <v>2127</v>
      </c>
      <c r="AN31" s="2370">
        <v>0</v>
      </c>
      <c r="AO31" s="2369" t="s">
        <v>2126</v>
      </c>
      <c r="AP31" s="2370">
        <v>0</v>
      </c>
      <c r="AQ31" s="2369" t="s">
        <v>2125</v>
      </c>
      <c r="AR31" s="2370">
        <v>0</v>
      </c>
      <c r="AS31" s="2369" t="s">
        <v>2124</v>
      </c>
      <c r="AT31" s="2370">
        <v>0</v>
      </c>
      <c r="AU31" s="2369" t="s">
        <v>2123</v>
      </c>
      <c r="AV31" s="2370">
        <v>0</v>
      </c>
      <c r="AW31" s="2369" t="s">
        <v>2122</v>
      </c>
      <c r="AX31" s="2370">
        <v>0</v>
      </c>
      <c r="AY31" s="2369" t="s">
        <v>2121</v>
      </c>
      <c r="AZ31" s="2370">
        <v>0</v>
      </c>
      <c r="BA31" s="2369" t="s">
        <v>2120</v>
      </c>
      <c r="BD31" s="4919" t="s">
        <v>2058</v>
      </c>
      <c r="BE31" s="2318" t="s">
        <v>2</v>
      </c>
      <c r="BF31" s="2317"/>
      <c r="BG31" s="2335"/>
      <c r="BH31" s="2318" t="s">
        <v>344</v>
      </c>
      <c r="BI31" s="2317"/>
      <c r="BJ31" s="2335"/>
      <c r="BK31" s="2318" t="s">
        <v>771</v>
      </c>
      <c r="BL31" s="2317"/>
      <c r="BM31" s="2335"/>
      <c r="BN31" s="2318" t="s">
        <v>1291</v>
      </c>
      <c r="BO31" s="2317"/>
      <c r="BP31" s="2335"/>
      <c r="BQ31" s="2318" t="s">
        <v>1213</v>
      </c>
      <c r="BR31" s="2317"/>
      <c r="BS31" s="2335"/>
      <c r="BT31" s="2318" t="s">
        <v>1999</v>
      </c>
      <c r="BU31" s="2317"/>
      <c r="BV31" s="2335"/>
      <c r="BW31" s="2318" t="s">
        <v>792</v>
      </c>
      <c r="BX31" s="2317"/>
      <c r="BY31" s="2335"/>
      <c r="BZ31" s="2318" t="s">
        <v>872</v>
      </c>
      <c r="CA31" s="2317"/>
      <c r="CB31" s="2335"/>
      <c r="CC31" s="2318" t="s">
        <v>1225</v>
      </c>
      <c r="CD31" s="2317"/>
      <c r="CE31" s="2335"/>
      <c r="CF31" s="2318" t="s">
        <v>54</v>
      </c>
      <c r="CG31" s="2317"/>
      <c r="CH31" s="2335"/>
      <c r="CI31" s="2318" t="s">
        <v>2107</v>
      </c>
      <c r="CJ31" s="2317"/>
      <c r="CK31" s="2335"/>
      <c r="CL31" s="2318" t="s">
        <v>1996</v>
      </c>
      <c r="CM31" s="2317"/>
    </row>
    <row r="32" spans="1:91" ht="44.25">
      <c r="A32" s="2202"/>
      <c r="B32" s="2209" t="s">
        <v>792</v>
      </c>
      <c r="C32" s="2204" t="s">
        <v>1972</v>
      </c>
      <c r="D32" s="2362" t="s">
        <v>792</v>
      </c>
      <c r="E32" s="2208" t="s">
        <v>356</v>
      </c>
      <c r="F32" s="2204" t="s">
        <v>1972</v>
      </c>
      <c r="G32" s="2361" t="s">
        <v>356</v>
      </c>
      <c r="H32" s="2205">
        <v>21</v>
      </c>
      <c r="I32" s="2204" t="s">
        <v>1972</v>
      </c>
      <c r="J32" s="2360">
        <v>21</v>
      </c>
      <c r="K32" s="2205">
        <v>47</v>
      </c>
      <c r="L32" s="2204" t="s">
        <v>1972</v>
      </c>
      <c r="M32" s="2359">
        <v>47</v>
      </c>
      <c r="N32" s="2202"/>
      <c r="O32" s="2209" t="s">
        <v>792</v>
      </c>
      <c r="P32" s="2204" t="s">
        <v>1972</v>
      </c>
      <c r="Q32" s="2356" t="s">
        <v>792</v>
      </c>
      <c r="R32" s="2208" t="s">
        <v>356</v>
      </c>
      <c r="S32" s="2204" t="s">
        <v>1972</v>
      </c>
      <c r="T32" s="2358" t="s">
        <v>356</v>
      </c>
      <c r="U32" s="2205">
        <v>21</v>
      </c>
      <c r="V32" s="2204" t="s">
        <v>1972</v>
      </c>
      <c r="W32" s="2356">
        <v>21</v>
      </c>
      <c r="X32" s="2205">
        <v>47</v>
      </c>
      <c r="Y32" s="2204" t="s">
        <v>1972</v>
      </c>
      <c r="Z32" s="2354">
        <v>47</v>
      </c>
      <c r="AA32" s="2202"/>
      <c r="AB32" s="2202"/>
      <c r="AC32" s="2202"/>
      <c r="AD32" s="2303"/>
      <c r="AE32" s="2366"/>
      <c r="AF32" s="2366"/>
      <c r="AG32" s="2366"/>
      <c r="AH32" s="2366"/>
      <c r="AI32" s="2366"/>
      <c r="AJ32" s="2366"/>
      <c r="AK32" s="2366"/>
      <c r="AL32" s="2366"/>
      <c r="AM32" s="2366"/>
      <c r="AN32" s="2366"/>
      <c r="AO32" s="2366"/>
      <c r="AP32" s="2366"/>
      <c r="AQ32" s="2366"/>
      <c r="AR32" s="2366"/>
      <c r="AS32" s="2366"/>
      <c r="AT32" s="2366"/>
      <c r="AU32" s="2366"/>
      <c r="AV32" s="2366"/>
      <c r="AW32" s="2366"/>
      <c r="AX32" s="2366"/>
      <c r="AY32" s="2366"/>
      <c r="AZ32" s="2366"/>
      <c r="BA32" s="2366"/>
      <c r="BD32" s="4919"/>
      <c r="BE32" s="2316" t="s">
        <v>2019</v>
      </c>
      <c r="BF32" s="2315"/>
      <c r="BG32" s="2335"/>
      <c r="BH32" s="2316" t="s">
        <v>1997</v>
      </c>
      <c r="BI32" s="2315"/>
      <c r="BJ32" s="2335"/>
      <c r="BK32" s="2316" t="s">
        <v>2015</v>
      </c>
      <c r="BL32" s="2315"/>
      <c r="BM32" s="2335"/>
      <c r="BN32" s="2316" t="s">
        <v>2005</v>
      </c>
      <c r="BO32" s="2315"/>
      <c r="BP32" s="2335"/>
      <c r="BQ32" s="2316" t="s">
        <v>357</v>
      </c>
      <c r="BR32" s="2315"/>
      <c r="BS32" s="2335"/>
      <c r="BT32" s="2316" t="s">
        <v>1998</v>
      </c>
      <c r="BU32" s="2315"/>
      <c r="BV32" s="2335"/>
      <c r="BW32" s="2316" t="s">
        <v>356</v>
      </c>
      <c r="BX32" s="2315"/>
      <c r="BY32" s="2335"/>
      <c r="BZ32" s="2316" t="s">
        <v>2012</v>
      </c>
      <c r="CA32" s="2315"/>
      <c r="CB32" s="2335"/>
      <c r="CC32" s="2316" t="s">
        <v>2006</v>
      </c>
      <c r="CD32" s="2315"/>
      <c r="CE32" s="2335"/>
      <c r="CF32" s="2316" t="s">
        <v>342</v>
      </c>
      <c r="CG32" s="2315"/>
      <c r="CH32" s="2335"/>
      <c r="CI32" s="2316" t="s">
        <v>2106</v>
      </c>
      <c r="CJ32" s="2315"/>
      <c r="CK32" s="2335"/>
      <c r="CL32" s="2316"/>
      <c r="CM32" s="2315" t="s">
        <v>2105</v>
      </c>
    </row>
    <row r="33" spans="1:91" ht="44.25">
      <c r="A33" s="2202"/>
      <c r="B33" s="2209" t="s">
        <v>1175</v>
      </c>
      <c r="C33" s="2204" t="s">
        <v>1972</v>
      </c>
      <c r="D33" s="2362" t="s">
        <v>1175</v>
      </c>
      <c r="E33" s="2208" t="s">
        <v>2003</v>
      </c>
      <c r="F33" s="2204" t="s">
        <v>1972</v>
      </c>
      <c r="G33" s="2361" t="s">
        <v>2003</v>
      </c>
      <c r="H33" s="2205">
        <v>22</v>
      </c>
      <c r="I33" s="2204" t="s">
        <v>1972</v>
      </c>
      <c r="J33" s="2360">
        <v>22</v>
      </c>
      <c r="K33" s="2205">
        <v>48</v>
      </c>
      <c r="L33" s="2204" t="s">
        <v>1972</v>
      </c>
      <c r="M33" s="2359">
        <v>48</v>
      </c>
      <c r="N33" s="2202"/>
      <c r="O33" s="2209" t="s">
        <v>1175</v>
      </c>
      <c r="P33" s="2204" t="s">
        <v>1972</v>
      </c>
      <c r="Q33" s="2356" t="s">
        <v>1175</v>
      </c>
      <c r="R33" s="2208" t="s">
        <v>2003</v>
      </c>
      <c r="S33" s="2204" t="s">
        <v>1972</v>
      </c>
      <c r="T33" s="2358" t="s">
        <v>2003</v>
      </c>
      <c r="U33" s="2205">
        <v>22</v>
      </c>
      <c r="V33" s="2204" t="s">
        <v>1972</v>
      </c>
      <c r="W33" s="2356">
        <v>22</v>
      </c>
      <c r="X33" s="2205">
        <v>48</v>
      </c>
      <c r="Y33" s="2204" t="s">
        <v>1972</v>
      </c>
      <c r="Z33" s="2354">
        <v>48</v>
      </c>
      <c r="AA33" s="2202"/>
      <c r="AB33" s="2202"/>
      <c r="AC33" s="2202"/>
      <c r="AD33" s="2325" t="s">
        <v>2074</v>
      </c>
      <c r="AE33" s="2367" t="s">
        <v>368</v>
      </c>
      <c r="AF33" s="2368">
        <v>0</v>
      </c>
      <c r="AG33" s="2367" t="s">
        <v>2130</v>
      </c>
      <c r="AH33" s="2368">
        <v>0</v>
      </c>
      <c r="AI33" s="2367" t="s">
        <v>2129</v>
      </c>
      <c r="AJ33" s="2368">
        <v>0</v>
      </c>
      <c r="AK33" s="2367" t="s">
        <v>2128</v>
      </c>
      <c r="AL33" s="2368">
        <v>0</v>
      </c>
      <c r="AM33" s="2367" t="s">
        <v>2127</v>
      </c>
      <c r="AN33" s="2368">
        <v>0</v>
      </c>
      <c r="AO33" s="2367" t="s">
        <v>2126</v>
      </c>
      <c r="AP33" s="2368">
        <v>0</v>
      </c>
      <c r="AQ33" s="2367" t="s">
        <v>2125</v>
      </c>
      <c r="AR33" s="2368">
        <v>0</v>
      </c>
      <c r="AS33" s="2367" t="s">
        <v>2124</v>
      </c>
      <c r="AT33" s="2368">
        <v>0</v>
      </c>
      <c r="AU33" s="2367" t="s">
        <v>2123</v>
      </c>
      <c r="AV33" s="2368">
        <v>0</v>
      </c>
      <c r="AW33" s="2367" t="s">
        <v>2122</v>
      </c>
      <c r="AX33" s="2368">
        <v>0</v>
      </c>
      <c r="AY33" s="2367" t="s">
        <v>2121</v>
      </c>
      <c r="AZ33" s="2368">
        <v>0</v>
      </c>
      <c r="BA33" s="2367" t="s">
        <v>2120</v>
      </c>
      <c r="BD33" s="2314"/>
      <c r="BE33" s="2295"/>
      <c r="BF33" s="2295"/>
      <c r="BG33" s="2295"/>
      <c r="BH33" s="2295"/>
      <c r="BI33" s="2295"/>
      <c r="BJ33" s="2295"/>
      <c r="BK33" s="2295"/>
      <c r="BL33" s="2295"/>
      <c r="BM33" s="2295"/>
      <c r="BN33" s="2295"/>
      <c r="BO33" s="2295"/>
      <c r="BP33" s="2295"/>
      <c r="BQ33" s="2295"/>
      <c r="BR33" s="2295"/>
      <c r="BS33" s="2295"/>
      <c r="BT33" s="2295"/>
      <c r="BU33" s="2295"/>
      <c r="BV33" s="2295"/>
      <c r="BW33" s="2295"/>
      <c r="BX33" s="2295"/>
      <c r="BY33" s="2295"/>
      <c r="BZ33" s="2295"/>
      <c r="CA33" s="2295"/>
      <c r="CB33" s="2295"/>
      <c r="CC33" s="2295"/>
      <c r="CD33" s="2295"/>
      <c r="CE33" s="2295"/>
      <c r="CF33" s="2295"/>
      <c r="CG33" s="2295"/>
      <c r="CH33" s="2295"/>
      <c r="CI33" s="2295"/>
      <c r="CJ33" s="2295"/>
      <c r="CK33" s="2295"/>
      <c r="CL33" s="2295"/>
      <c r="CM33" s="2295"/>
    </row>
    <row r="34" spans="1:91" ht="44.25">
      <c r="A34" s="2202"/>
      <c r="B34" s="2209" t="s">
        <v>2002</v>
      </c>
      <c r="C34" s="2204" t="s">
        <v>1972</v>
      </c>
      <c r="D34" s="2362" t="s">
        <v>2002</v>
      </c>
      <c r="E34" s="2208" t="s">
        <v>2001</v>
      </c>
      <c r="F34" s="2204" t="s">
        <v>1972</v>
      </c>
      <c r="G34" s="2361" t="s">
        <v>2001</v>
      </c>
      <c r="H34" s="2205">
        <v>23</v>
      </c>
      <c r="I34" s="2204" t="s">
        <v>1972</v>
      </c>
      <c r="J34" s="2360">
        <v>23</v>
      </c>
      <c r="K34" s="2205">
        <v>49</v>
      </c>
      <c r="L34" s="2204" t="s">
        <v>1972</v>
      </c>
      <c r="M34" s="2359">
        <v>49</v>
      </c>
      <c r="N34" s="2202"/>
      <c r="O34" s="2209" t="s">
        <v>2002</v>
      </c>
      <c r="P34" s="2204" t="s">
        <v>1972</v>
      </c>
      <c r="Q34" s="2356" t="s">
        <v>2002</v>
      </c>
      <c r="R34" s="2208" t="s">
        <v>2001</v>
      </c>
      <c r="S34" s="2204" t="s">
        <v>1972</v>
      </c>
      <c r="T34" s="2358" t="s">
        <v>2001</v>
      </c>
      <c r="U34" s="2205">
        <v>23</v>
      </c>
      <c r="V34" s="2204" t="s">
        <v>1972</v>
      </c>
      <c r="W34" s="2356">
        <v>23</v>
      </c>
      <c r="X34" s="2205">
        <v>49</v>
      </c>
      <c r="Y34" s="2204" t="s">
        <v>1972</v>
      </c>
      <c r="Z34" s="2354">
        <v>49</v>
      </c>
      <c r="AA34" s="2202"/>
      <c r="AB34" s="2202"/>
      <c r="AC34" s="2202"/>
      <c r="AD34" s="2303"/>
      <c r="AE34" s="2366"/>
      <c r="AF34" s="2366"/>
      <c r="AG34" s="2366"/>
      <c r="AH34" s="2366"/>
      <c r="AI34" s="2366"/>
      <c r="AJ34" s="2366"/>
      <c r="AK34" s="2366"/>
      <c r="AL34" s="2366"/>
      <c r="AM34" s="2366"/>
      <c r="AN34" s="2366"/>
      <c r="AO34" s="2366"/>
      <c r="AP34" s="2366"/>
      <c r="AQ34" s="2366"/>
      <c r="AR34" s="2366"/>
      <c r="AS34" s="2366"/>
      <c r="AT34" s="2366"/>
      <c r="AU34" s="2366"/>
      <c r="AV34" s="2366"/>
      <c r="AW34" s="2366"/>
      <c r="AX34" s="2366"/>
      <c r="AY34" s="2366"/>
      <c r="AZ34" s="2366"/>
      <c r="BA34" s="2366"/>
      <c r="BD34" s="4919" t="s">
        <v>2056</v>
      </c>
      <c r="BE34" s="2313" t="s">
        <v>2</v>
      </c>
      <c r="BF34" s="2312"/>
      <c r="BG34" s="2332"/>
      <c r="BH34" s="2313" t="s">
        <v>344</v>
      </c>
      <c r="BI34" s="2312"/>
      <c r="BJ34" s="2332"/>
      <c r="BK34" s="2313" t="s">
        <v>771</v>
      </c>
      <c r="BL34" s="2312"/>
      <c r="BM34" s="2332"/>
      <c r="BN34" s="2313" t="s">
        <v>1291</v>
      </c>
      <c r="BO34" s="2312"/>
      <c r="BP34" s="2332"/>
      <c r="BQ34" s="2313" t="s">
        <v>1213</v>
      </c>
      <c r="BR34" s="2312"/>
      <c r="BS34" s="2332"/>
      <c r="BT34" s="2313" t="s">
        <v>1999</v>
      </c>
      <c r="BU34" s="2312"/>
      <c r="BV34" s="2332"/>
      <c r="BW34" s="2313" t="s">
        <v>792</v>
      </c>
      <c r="BX34" s="2312"/>
      <c r="BY34" s="2332"/>
      <c r="BZ34" s="2313" t="s">
        <v>872</v>
      </c>
      <c r="CA34" s="2312"/>
      <c r="CB34" s="2332"/>
      <c r="CC34" s="2313" t="s">
        <v>1225</v>
      </c>
      <c r="CD34" s="2312"/>
      <c r="CE34" s="2332"/>
      <c r="CF34" s="2313" t="s">
        <v>54</v>
      </c>
      <c r="CG34" s="2312"/>
      <c r="CH34" s="2332"/>
      <c r="CI34" s="2313" t="s">
        <v>2107</v>
      </c>
      <c r="CJ34" s="2312"/>
      <c r="CK34" s="2332"/>
      <c r="CL34" s="2313" t="s">
        <v>1996</v>
      </c>
      <c r="CM34" s="2312"/>
    </row>
    <row r="35" spans="1:91" ht="44.25">
      <c r="A35" s="2202"/>
      <c r="B35" s="2209" t="s">
        <v>358</v>
      </c>
      <c r="C35" s="2204" t="s">
        <v>1972</v>
      </c>
      <c r="D35" s="2362" t="s">
        <v>358</v>
      </c>
      <c r="E35" s="2208" t="s">
        <v>2000</v>
      </c>
      <c r="F35" s="2204" t="s">
        <v>1972</v>
      </c>
      <c r="G35" s="2361" t="s">
        <v>2000</v>
      </c>
      <c r="H35" s="2205">
        <v>24</v>
      </c>
      <c r="I35" s="2204" t="s">
        <v>1972</v>
      </c>
      <c r="J35" s="2360">
        <v>24</v>
      </c>
      <c r="K35" s="2205">
        <v>50</v>
      </c>
      <c r="L35" s="2204" t="s">
        <v>1972</v>
      </c>
      <c r="M35" s="2359">
        <v>50</v>
      </c>
      <c r="N35" s="2202"/>
      <c r="O35" s="2209" t="s">
        <v>358</v>
      </c>
      <c r="P35" s="2204" t="s">
        <v>1972</v>
      </c>
      <c r="Q35" s="2356" t="s">
        <v>358</v>
      </c>
      <c r="R35" s="2208" t="s">
        <v>2000</v>
      </c>
      <c r="S35" s="2204" t="s">
        <v>1972</v>
      </c>
      <c r="T35" s="2358" t="s">
        <v>2000</v>
      </c>
      <c r="U35" s="2205">
        <v>24</v>
      </c>
      <c r="V35" s="2204" t="s">
        <v>1972</v>
      </c>
      <c r="W35" s="2356">
        <v>24</v>
      </c>
      <c r="X35" s="2205">
        <v>50</v>
      </c>
      <c r="Y35" s="2204" t="s">
        <v>1972</v>
      </c>
      <c r="Z35" s="2354">
        <v>50</v>
      </c>
      <c r="AA35" s="2202"/>
      <c r="AB35" s="2202"/>
      <c r="AC35" s="2363"/>
      <c r="AD35" s="2325" t="s">
        <v>2051</v>
      </c>
      <c r="AE35" s="2364" t="s">
        <v>368</v>
      </c>
      <c r="AF35" s="2365">
        <v>0</v>
      </c>
      <c r="AG35" s="2364" t="s">
        <v>2130</v>
      </c>
      <c r="AH35" s="2365">
        <v>0</v>
      </c>
      <c r="AI35" s="2364" t="s">
        <v>2129</v>
      </c>
      <c r="AJ35" s="2365">
        <v>0</v>
      </c>
      <c r="AK35" s="2364" t="s">
        <v>2128</v>
      </c>
      <c r="AL35" s="2365">
        <v>0</v>
      </c>
      <c r="AM35" s="2364" t="s">
        <v>2127</v>
      </c>
      <c r="AN35" s="2365">
        <v>0</v>
      </c>
      <c r="AO35" s="2364" t="s">
        <v>2126</v>
      </c>
      <c r="AP35" s="2365">
        <v>0</v>
      </c>
      <c r="AQ35" s="2364" t="s">
        <v>2125</v>
      </c>
      <c r="AR35" s="2365">
        <v>0</v>
      </c>
      <c r="AS35" s="2364" t="s">
        <v>2124</v>
      </c>
      <c r="AT35" s="2365">
        <v>0</v>
      </c>
      <c r="AU35" s="2364" t="s">
        <v>2123</v>
      </c>
      <c r="AV35" s="2365">
        <v>0</v>
      </c>
      <c r="AW35" s="2364" t="s">
        <v>2122</v>
      </c>
      <c r="AX35" s="2365">
        <v>0</v>
      </c>
      <c r="AY35" s="2364" t="s">
        <v>2121</v>
      </c>
      <c r="AZ35" s="2365">
        <v>0</v>
      </c>
      <c r="BA35" s="2364" t="s">
        <v>2120</v>
      </c>
      <c r="BD35" s="4919"/>
      <c r="BE35" s="2310" t="s">
        <v>2019</v>
      </c>
      <c r="BF35" s="2309"/>
      <c r="BG35" s="2332"/>
      <c r="BH35" s="2310" t="s">
        <v>1997</v>
      </c>
      <c r="BI35" s="2309"/>
      <c r="BJ35" s="2332"/>
      <c r="BK35" s="2310" t="s">
        <v>2015</v>
      </c>
      <c r="BL35" s="2309"/>
      <c r="BM35" s="2332"/>
      <c r="BN35" s="2310" t="s">
        <v>2005</v>
      </c>
      <c r="BO35" s="2309"/>
      <c r="BP35" s="2332"/>
      <c r="BQ35" s="2310" t="s">
        <v>357</v>
      </c>
      <c r="BR35" s="2309"/>
      <c r="BS35" s="2332"/>
      <c r="BT35" s="2310" t="s">
        <v>1998</v>
      </c>
      <c r="BU35" s="2309"/>
      <c r="BV35" s="2332"/>
      <c r="BW35" s="2310" t="s">
        <v>356</v>
      </c>
      <c r="BX35" s="2309"/>
      <c r="BY35" s="2332"/>
      <c r="BZ35" s="2310" t="s">
        <v>2012</v>
      </c>
      <c r="CA35" s="2309"/>
      <c r="CB35" s="2332"/>
      <c r="CC35" s="2310" t="s">
        <v>2006</v>
      </c>
      <c r="CD35" s="2309"/>
      <c r="CE35" s="2332"/>
      <c r="CF35" s="2310" t="s">
        <v>342</v>
      </c>
      <c r="CG35" s="2309"/>
      <c r="CH35" s="2332"/>
      <c r="CI35" s="2310" t="s">
        <v>2106</v>
      </c>
      <c r="CJ35" s="2309"/>
      <c r="CK35" s="2332"/>
      <c r="CL35" s="2310"/>
      <c r="CM35" s="2309" t="s">
        <v>2105</v>
      </c>
    </row>
    <row r="36" spans="1:91" ht="44.25">
      <c r="A36" s="2202"/>
      <c r="B36" s="2209" t="s">
        <v>1999</v>
      </c>
      <c r="C36" s="2204" t="s">
        <v>1972</v>
      </c>
      <c r="D36" s="2362" t="s">
        <v>1999</v>
      </c>
      <c r="E36" s="2208" t="s">
        <v>1998</v>
      </c>
      <c r="F36" s="2204" t="s">
        <v>1972</v>
      </c>
      <c r="G36" s="2361" t="s">
        <v>1998</v>
      </c>
      <c r="H36" s="2205">
        <v>25</v>
      </c>
      <c r="I36" s="2204" t="s">
        <v>1972</v>
      </c>
      <c r="J36" s="2360">
        <v>25</v>
      </c>
      <c r="K36" s="2205">
        <v>51</v>
      </c>
      <c r="L36" s="2204" t="s">
        <v>1972</v>
      </c>
      <c r="M36" s="2359">
        <v>51</v>
      </c>
      <c r="N36" s="2202"/>
      <c r="O36" s="2209" t="s">
        <v>1999</v>
      </c>
      <c r="P36" s="2204" t="s">
        <v>1972</v>
      </c>
      <c r="Q36" s="2356" t="s">
        <v>1999</v>
      </c>
      <c r="R36" s="2208" t="s">
        <v>1998</v>
      </c>
      <c r="S36" s="2204" t="s">
        <v>1972</v>
      </c>
      <c r="T36" s="2358" t="s">
        <v>1998</v>
      </c>
      <c r="U36" s="2205">
        <v>25</v>
      </c>
      <c r="V36" s="2204" t="s">
        <v>1972</v>
      </c>
      <c r="W36" s="2356">
        <v>25</v>
      </c>
      <c r="X36" s="2205">
        <v>51</v>
      </c>
      <c r="Y36" s="2204" t="s">
        <v>1972</v>
      </c>
      <c r="Z36" s="2354">
        <v>51</v>
      </c>
      <c r="AA36" s="2202"/>
      <c r="AB36" s="2202"/>
      <c r="AC36" s="2202"/>
      <c r="AD36" s="2303"/>
      <c r="BD36" s="2303"/>
      <c r="BE36" s="2295"/>
      <c r="BF36" s="2295"/>
      <c r="BG36" s="2295"/>
      <c r="BH36" s="2295"/>
      <c r="BI36" s="2295"/>
      <c r="BJ36" s="2295"/>
      <c r="BK36" s="2295"/>
      <c r="BL36" s="2295"/>
      <c r="BM36" s="2295"/>
      <c r="BN36" s="2295"/>
      <c r="BO36" s="2295"/>
      <c r="BP36" s="2295"/>
      <c r="BQ36" s="2295"/>
      <c r="BR36" s="2295"/>
      <c r="BS36" s="2295"/>
      <c r="BT36" s="2295"/>
      <c r="BU36" s="2295"/>
      <c r="BV36" s="2295"/>
      <c r="BW36" s="2295"/>
      <c r="BX36" s="2295"/>
      <c r="BY36" s="2295"/>
      <c r="BZ36" s="2295"/>
      <c r="CA36" s="2295"/>
      <c r="CB36" s="2295"/>
      <c r="CC36" s="2295"/>
      <c r="CD36" s="2295"/>
      <c r="CE36" s="2295"/>
      <c r="CF36" s="2295"/>
      <c r="CG36" s="2295"/>
      <c r="CH36" s="2295"/>
      <c r="CI36" s="2295"/>
      <c r="CJ36" s="2295"/>
      <c r="CK36" s="2295"/>
      <c r="CL36" s="2295"/>
      <c r="CM36" s="2295"/>
    </row>
    <row r="37" spans="1:91" ht="44.25">
      <c r="A37" s="2202"/>
      <c r="B37" s="2209" t="s">
        <v>344</v>
      </c>
      <c r="C37" s="2204" t="s">
        <v>1972</v>
      </c>
      <c r="D37" s="2362" t="s">
        <v>344</v>
      </c>
      <c r="E37" s="2208" t="s">
        <v>1997</v>
      </c>
      <c r="F37" s="2204" t="s">
        <v>1972</v>
      </c>
      <c r="G37" s="2361" t="s">
        <v>1997</v>
      </c>
      <c r="H37" s="2205">
        <v>26</v>
      </c>
      <c r="I37" s="2204" t="s">
        <v>1972</v>
      </c>
      <c r="J37" s="2360">
        <v>26</v>
      </c>
      <c r="K37" s="2205">
        <v>52</v>
      </c>
      <c r="L37" s="2204" t="s">
        <v>1972</v>
      </c>
      <c r="M37" s="2359">
        <v>52</v>
      </c>
      <c r="N37" s="2202"/>
      <c r="O37" s="2209" t="s">
        <v>344</v>
      </c>
      <c r="P37" s="2204" t="s">
        <v>1972</v>
      </c>
      <c r="Q37" s="2356" t="s">
        <v>344</v>
      </c>
      <c r="R37" s="2208" t="s">
        <v>1997</v>
      </c>
      <c r="S37" s="2204" t="s">
        <v>1972</v>
      </c>
      <c r="T37" s="2358" t="s">
        <v>1997</v>
      </c>
      <c r="U37" s="2205">
        <v>26</v>
      </c>
      <c r="V37" s="2204" t="s">
        <v>1972</v>
      </c>
      <c r="W37" s="2356">
        <v>26</v>
      </c>
      <c r="X37" s="2205">
        <v>52</v>
      </c>
      <c r="Y37" s="2204" t="s">
        <v>1972</v>
      </c>
      <c r="Z37" s="2354">
        <v>52</v>
      </c>
      <c r="AA37" s="2202"/>
      <c r="AB37" s="2202"/>
      <c r="AC37" s="2202"/>
      <c r="AD37" s="2343" t="s">
        <v>2089</v>
      </c>
      <c r="BD37" s="4919" t="s">
        <v>2053</v>
      </c>
      <c r="BE37" s="2308" t="s">
        <v>2</v>
      </c>
      <c r="BF37" s="2307"/>
      <c r="BG37" s="2330"/>
      <c r="BH37" s="2308" t="s">
        <v>344</v>
      </c>
      <c r="BI37" s="2307"/>
      <c r="BJ37" s="2330"/>
      <c r="BK37" s="2308" t="s">
        <v>771</v>
      </c>
      <c r="BL37" s="2307"/>
      <c r="BM37" s="2330"/>
      <c r="BN37" s="2308" t="s">
        <v>1291</v>
      </c>
      <c r="BO37" s="2307"/>
      <c r="BP37" s="2330"/>
      <c r="BQ37" s="2308" t="s">
        <v>1213</v>
      </c>
      <c r="BR37" s="2307"/>
      <c r="BS37" s="2330"/>
      <c r="BT37" s="2308" t="s">
        <v>1999</v>
      </c>
      <c r="BU37" s="2307"/>
      <c r="BV37" s="2330"/>
      <c r="BW37" s="2308" t="s">
        <v>792</v>
      </c>
      <c r="BX37" s="2307"/>
      <c r="BY37" s="2330"/>
      <c r="BZ37" s="2308" t="s">
        <v>872</v>
      </c>
      <c r="CA37" s="2307"/>
      <c r="CB37" s="2330"/>
      <c r="CC37" s="2308" t="s">
        <v>1225</v>
      </c>
      <c r="CD37" s="2307"/>
      <c r="CE37" s="2330"/>
      <c r="CF37" s="2308" t="s">
        <v>54</v>
      </c>
      <c r="CG37" s="2307"/>
      <c r="CH37" s="2330"/>
      <c r="CI37" s="2308" t="s">
        <v>2107</v>
      </c>
      <c r="CJ37" s="2307"/>
      <c r="CK37" s="2330"/>
      <c r="CL37" s="2308" t="s">
        <v>1996</v>
      </c>
      <c r="CM37" s="2307"/>
    </row>
    <row r="38" spans="1:91" ht="46.5">
      <c r="A38" s="2202"/>
      <c r="B38" s="2209" t="s">
        <v>376</v>
      </c>
      <c r="C38" s="2204" t="s">
        <v>1972</v>
      </c>
      <c r="D38" s="2362" t="s">
        <v>376</v>
      </c>
      <c r="E38" s="2208" t="s">
        <v>377</v>
      </c>
      <c r="F38" s="2204" t="s">
        <v>1972</v>
      </c>
      <c r="G38" s="2361" t="s">
        <v>377</v>
      </c>
      <c r="H38" s="2205" t="s">
        <v>1996</v>
      </c>
      <c r="I38" s="2204" t="s">
        <v>1972</v>
      </c>
      <c r="J38" s="2360" t="s">
        <v>1996</v>
      </c>
      <c r="K38" s="2205" t="s">
        <v>1995</v>
      </c>
      <c r="L38" s="2204" t="s">
        <v>1972</v>
      </c>
      <c r="M38" s="2359" t="s">
        <v>1995</v>
      </c>
      <c r="N38" s="2202"/>
      <c r="O38" s="2209" t="s">
        <v>376</v>
      </c>
      <c r="P38" s="2204" t="s">
        <v>1972</v>
      </c>
      <c r="Q38" s="2356" t="s">
        <v>376</v>
      </c>
      <c r="R38" s="2208" t="s">
        <v>377</v>
      </c>
      <c r="S38" s="2204" t="s">
        <v>1972</v>
      </c>
      <c r="T38" s="2358" t="s">
        <v>377</v>
      </c>
      <c r="U38" s="2357" t="s">
        <v>1996</v>
      </c>
      <c r="V38" s="2204" t="s">
        <v>1972</v>
      </c>
      <c r="W38" s="2356" t="s">
        <v>1996</v>
      </c>
      <c r="X38" s="2355" t="s">
        <v>1995</v>
      </c>
      <c r="Y38" s="2204" t="s">
        <v>1972</v>
      </c>
      <c r="Z38" s="2354" t="s">
        <v>1995</v>
      </c>
      <c r="AA38" s="2202"/>
      <c r="AB38" s="2202"/>
      <c r="AC38" s="2363"/>
      <c r="AD38" s="2325" t="s">
        <v>2088</v>
      </c>
      <c r="AE38" s="2339" t="s">
        <v>2119</v>
      </c>
      <c r="AF38" s="2340"/>
      <c r="AG38" s="2339" t="s">
        <v>2118</v>
      </c>
      <c r="AH38" s="2340"/>
      <c r="AI38" s="2339" t="s">
        <v>2117</v>
      </c>
      <c r="AJ38" s="2340"/>
      <c r="AK38" s="2339" t="s">
        <v>2116</v>
      </c>
      <c r="AL38" s="2340"/>
      <c r="AM38" s="2339" t="s">
        <v>2115</v>
      </c>
      <c r="AN38" s="2340"/>
      <c r="AO38" s="2339" t="s">
        <v>2114</v>
      </c>
      <c r="AP38" s="2340"/>
      <c r="AQ38" s="2339" t="s">
        <v>2113</v>
      </c>
      <c r="AR38" s="2340"/>
      <c r="AS38" s="2339" t="s">
        <v>2112</v>
      </c>
      <c r="AT38" s="2340"/>
      <c r="AU38" s="2339" t="s">
        <v>2111</v>
      </c>
      <c r="AV38" s="2340"/>
      <c r="AW38" s="2339" t="s">
        <v>2110</v>
      </c>
      <c r="AX38" s="2340"/>
      <c r="AY38" s="2339" t="s">
        <v>2109</v>
      </c>
      <c r="AZ38" s="2340"/>
      <c r="BA38" s="2339" t="s">
        <v>2108</v>
      </c>
      <c r="BD38" s="4919"/>
      <c r="BE38" s="2305" t="s">
        <v>2019</v>
      </c>
      <c r="BF38" s="2304"/>
      <c r="BG38" s="2330"/>
      <c r="BH38" s="2305" t="s">
        <v>1997</v>
      </c>
      <c r="BI38" s="2304"/>
      <c r="BJ38" s="2330"/>
      <c r="BK38" s="2305" t="s">
        <v>2015</v>
      </c>
      <c r="BL38" s="2304"/>
      <c r="BM38" s="2330"/>
      <c r="BN38" s="2305" t="s">
        <v>2005</v>
      </c>
      <c r="BO38" s="2304"/>
      <c r="BP38" s="2330"/>
      <c r="BQ38" s="2305" t="s">
        <v>357</v>
      </c>
      <c r="BR38" s="2304"/>
      <c r="BS38" s="2330"/>
      <c r="BT38" s="2305" t="s">
        <v>1998</v>
      </c>
      <c r="BU38" s="2304"/>
      <c r="BV38" s="2330"/>
      <c r="BW38" s="2305" t="s">
        <v>356</v>
      </c>
      <c r="BX38" s="2304"/>
      <c r="BY38" s="2330"/>
      <c r="BZ38" s="2305" t="s">
        <v>2012</v>
      </c>
      <c r="CA38" s="2304"/>
      <c r="CB38" s="2330"/>
      <c r="CC38" s="2305" t="s">
        <v>2006</v>
      </c>
      <c r="CD38" s="2304"/>
      <c r="CE38" s="2330"/>
      <c r="CF38" s="2305" t="s">
        <v>342</v>
      </c>
      <c r="CG38" s="2304"/>
      <c r="CH38" s="2330"/>
      <c r="CI38" s="2305" t="s">
        <v>2106</v>
      </c>
      <c r="CJ38" s="2304"/>
      <c r="CK38" s="2330"/>
      <c r="CL38" s="2305"/>
      <c r="CM38" s="2304" t="s">
        <v>2105</v>
      </c>
    </row>
    <row r="39" spans="1:91" ht="44.25">
      <c r="A39" s="2202"/>
      <c r="B39" s="2209" t="s">
        <v>1994</v>
      </c>
      <c r="C39" s="2204" t="s">
        <v>1972</v>
      </c>
      <c r="D39" s="2362" t="s">
        <v>1994</v>
      </c>
      <c r="E39" s="2208" t="s">
        <v>379</v>
      </c>
      <c r="F39" s="2204" t="s">
        <v>1972</v>
      </c>
      <c r="G39" s="2361" t="s">
        <v>379</v>
      </c>
      <c r="H39" s="2205" t="s">
        <v>375</v>
      </c>
      <c r="I39" s="2204" t="s">
        <v>1972</v>
      </c>
      <c r="J39" s="2360" t="s">
        <v>375</v>
      </c>
      <c r="K39" s="2205" t="s">
        <v>1993</v>
      </c>
      <c r="L39" s="2204" t="s">
        <v>1972</v>
      </c>
      <c r="M39" s="2359" t="s">
        <v>1993</v>
      </c>
      <c r="N39" s="2202"/>
      <c r="O39" s="2209" t="s">
        <v>1994</v>
      </c>
      <c r="P39" s="2204" t="s">
        <v>1972</v>
      </c>
      <c r="Q39" s="2356" t="s">
        <v>1994</v>
      </c>
      <c r="R39" s="2208" t="s">
        <v>379</v>
      </c>
      <c r="S39" s="2204" t="s">
        <v>1972</v>
      </c>
      <c r="T39" s="2358" t="s">
        <v>379</v>
      </c>
      <c r="U39" s="2357" t="s">
        <v>375</v>
      </c>
      <c r="V39" s="2204" t="s">
        <v>1972</v>
      </c>
      <c r="W39" s="2356" t="s">
        <v>375</v>
      </c>
      <c r="X39" s="2355" t="s">
        <v>1993</v>
      </c>
      <c r="Y39" s="2204" t="s">
        <v>1972</v>
      </c>
      <c r="Z39" s="2354" t="s">
        <v>1993</v>
      </c>
      <c r="AA39" s="2202"/>
      <c r="AB39" s="2202"/>
      <c r="AC39" s="2202"/>
      <c r="AD39" s="2303"/>
      <c r="AE39" s="2275"/>
      <c r="AF39" s="2275"/>
      <c r="AG39" s="2275"/>
      <c r="AH39" s="2275"/>
      <c r="AI39" s="2275"/>
      <c r="AJ39" s="2275"/>
      <c r="AK39" s="2275"/>
      <c r="AL39" s="2275"/>
      <c r="AM39" s="2275"/>
      <c r="AN39" s="2275"/>
      <c r="AO39" s="2275"/>
      <c r="AP39" s="2275"/>
      <c r="AQ39" s="2275"/>
      <c r="AR39" s="2275"/>
      <c r="AS39" s="2275"/>
      <c r="AT39" s="2275"/>
      <c r="AU39" s="2275"/>
      <c r="AV39" s="2275"/>
      <c r="AW39" s="2275"/>
      <c r="AX39" s="2275"/>
      <c r="AY39" s="2275"/>
      <c r="AZ39" s="2275"/>
      <c r="BA39" s="2275"/>
      <c r="BD39" s="2303"/>
      <c r="BE39" s="2295"/>
      <c r="BF39" s="2295"/>
      <c r="BG39" s="2295"/>
      <c r="BH39" s="2295"/>
      <c r="BI39" s="2295"/>
      <c r="BJ39" s="2295"/>
      <c r="BK39" s="2295"/>
      <c r="BL39" s="2295"/>
      <c r="BM39" s="2295"/>
      <c r="BN39" s="2295"/>
      <c r="BO39" s="2295"/>
      <c r="BP39" s="2295"/>
      <c r="BQ39" s="2295"/>
      <c r="BR39" s="2295"/>
      <c r="BS39" s="2295"/>
      <c r="BT39" s="2295"/>
      <c r="BU39" s="2295"/>
      <c r="BV39" s="2295"/>
      <c r="BW39" s="2295"/>
      <c r="BX39" s="2295"/>
      <c r="BY39" s="2295"/>
      <c r="BZ39" s="2295"/>
      <c r="CA39" s="2295"/>
      <c r="CB39" s="2295"/>
      <c r="CC39" s="2295"/>
      <c r="CD39" s="2295"/>
      <c r="CE39" s="2295"/>
      <c r="CF39" s="2295"/>
      <c r="CG39" s="2295"/>
      <c r="CH39" s="2295"/>
      <c r="CI39" s="2295"/>
      <c r="CJ39" s="2295"/>
      <c r="CK39" s="2295"/>
      <c r="CL39" s="2295"/>
      <c r="CM39" s="2295"/>
    </row>
    <row r="40" spans="1:91" ht="44.25">
      <c r="A40" s="2202"/>
      <c r="B40" s="2209" t="s">
        <v>1992</v>
      </c>
      <c r="C40" s="2204" t="s">
        <v>1972</v>
      </c>
      <c r="D40" s="2362" t="s">
        <v>1992</v>
      </c>
      <c r="E40" s="2208" t="s">
        <v>1991</v>
      </c>
      <c r="F40" s="2204" t="s">
        <v>1972</v>
      </c>
      <c r="G40" s="2361" t="s">
        <v>1991</v>
      </c>
      <c r="H40" s="2205" t="s">
        <v>381</v>
      </c>
      <c r="I40" s="2204" t="s">
        <v>1972</v>
      </c>
      <c r="J40" s="2360" t="s">
        <v>381</v>
      </c>
      <c r="K40" s="2205" t="s">
        <v>1990</v>
      </c>
      <c r="L40" s="2204" t="s">
        <v>1972</v>
      </c>
      <c r="M40" s="2359" t="s">
        <v>1990</v>
      </c>
      <c r="N40" s="2202"/>
      <c r="O40" s="2209" t="s">
        <v>1992</v>
      </c>
      <c r="P40" s="2204" t="s">
        <v>1972</v>
      </c>
      <c r="Q40" s="2356" t="s">
        <v>1992</v>
      </c>
      <c r="R40" s="2208" t="s">
        <v>1991</v>
      </c>
      <c r="S40" s="2204" t="s">
        <v>1972</v>
      </c>
      <c r="T40" s="2358" t="s">
        <v>1991</v>
      </c>
      <c r="U40" s="2357" t="s">
        <v>381</v>
      </c>
      <c r="V40" s="2204" t="s">
        <v>1972</v>
      </c>
      <c r="W40" s="2356" t="s">
        <v>381</v>
      </c>
      <c r="X40" s="2355" t="s">
        <v>1990</v>
      </c>
      <c r="Y40" s="2204" t="s">
        <v>1972</v>
      </c>
      <c r="Z40" s="2354" t="s">
        <v>1990</v>
      </c>
      <c r="AA40" s="2202"/>
      <c r="AB40" s="2363"/>
      <c r="AC40" s="2202"/>
      <c r="AD40" s="2325" t="s">
        <v>446</v>
      </c>
      <c r="AE40" s="2337" t="s">
        <v>2103</v>
      </c>
      <c r="AF40" s="2338"/>
      <c r="AG40" s="2337" t="s">
        <v>2102</v>
      </c>
      <c r="AH40" s="2338"/>
      <c r="AI40" s="2337" t="s">
        <v>2101</v>
      </c>
      <c r="AJ40" s="2338"/>
      <c r="AK40" s="2337" t="s">
        <v>2100</v>
      </c>
      <c r="AL40" s="2338"/>
      <c r="AM40" s="2337" t="s">
        <v>2099</v>
      </c>
      <c r="AN40" s="2338"/>
      <c r="AO40" s="2337" t="s">
        <v>2098</v>
      </c>
      <c r="AP40" s="2338"/>
      <c r="AQ40" s="2337" t="s">
        <v>2097</v>
      </c>
      <c r="AR40" s="2338"/>
      <c r="AS40" s="2337" t="s">
        <v>2096</v>
      </c>
      <c r="AT40" s="2338"/>
      <c r="AU40" s="2337" t="s">
        <v>2095</v>
      </c>
      <c r="AV40" s="2338"/>
      <c r="AW40" s="2337" t="s">
        <v>2094</v>
      </c>
      <c r="AX40" s="2338"/>
      <c r="AY40" s="2337" t="s">
        <v>2093</v>
      </c>
      <c r="AZ40" s="2338"/>
      <c r="BA40" s="2337" t="s">
        <v>2092</v>
      </c>
      <c r="BD40" s="4919" t="s">
        <v>2051</v>
      </c>
      <c r="BE40" s="2299" t="s">
        <v>2</v>
      </c>
      <c r="BF40" s="2298"/>
      <c r="BG40" s="2324"/>
      <c r="BH40" s="2299" t="s">
        <v>344</v>
      </c>
      <c r="BI40" s="2298"/>
      <c r="BJ40" s="2324"/>
      <c r="BK40" s="2299" t="s">
        <v>771</v>
      </c>
      <c r="BL40" s="2298"/>
      <c r="BM40" s="2324"/>
      <c r="BN40" s="2299" t="s">
        <v>1291</v>
      </c>
      <c r="BO40" s="2298"/>
      <c r="BP40" s="2324"/>
      <c r="BQ40" s="2299" t="s">
        <v>1213</v>
      </c>
      <c r="BR40" s="2298"/>
      <c r="BS40" s="2324"/>
      <c r="BT40" s="2299" t="s">
        <v>1999</v>
      </c>
      <c r="BU40" s="2298"/>
      <c r="BV40" s="2324"/>
      <c r="BW40" s="2299" t="s">
        <v>792</v>
      </c>
      <c r="BX40" s="2298"/>
      <c r="BY40" s="2324"/>
      <c r="BZ40" s="2299" t="s">
        <v>872</v>
      </c>
      <c r="CA40" s="2298"/>
      <c r="CB40" s="2324"/>
      <c r="CC40" s="2299" t="s">
        <v>1225</v>
      </c>
      <c r="CD40" s="2298"/>
      <c r="CE40" s="2324"/>
      <c r="CF40" s="2299" t="s">
        <v>54</v>
      </c>
      <c r="CG40" s="2298"/>
      <c r="CH40" s="2324"/>
      <c r="CI40" s="2299" t="s">
        <v>2107</v>
      </c>
      <c r="CJ40" s="2298"/>
      <c r="CK40" s="2324"/>
      <c r="CL40" s="2299" t="s">
        <v>1996</v>
      </c>
      <c r="CM40" s="2298"/>
    </row>
    <row r="41" spans="1:91" ht="44.25">
      <c r="A41" s="2202"/>
      <c r="B41" s="2209" t="s">
        <v>1989</v>
      </c>
      <c r="C41" s="2204" t="s">
        <v>1972</v>
      </c>
      <c r="D41" s="2362" t="s">
        <v>1989</v>
      </c>
      <c r="E41" s="2208" t="s">
        <v>1988</v>
      </c>
      <c r="F41" s="2204" t="s">
        <v>1972</v>
      </c>
      <c r="G41" s="2361" t="s">
        <v>1988</v>
      </c>
      <c r="H41" s="2205" t="s">
        <v>0</v>
      </c>
      <c r="I41" s="2204" t="s">
        <v>1972</v>
      </c>
      <c r="J41" s="2360" t="s">
        <v>0</v>
      </c>
      <c r="K41" s="2205" t="s">
        <v>1987</v>
      </c>
      <c r="L41" s="2204" t="s">
        <v>1972</v>
      </c>
      <c r="M41" s="2359" t="s">
        <v>1987</v>
      </c>
      <c r="N41" s="2202"/>
      <c r="O41" s="2209" t="s">
        <v>1989</v>
      </c>
      <c r="P41" s="2204" t="s">
        <v>1972</v>
      </c>
      <c r="Q41" s="2356" t="s">
        <v>1989</v>
      </c>
      <c r="R41" s="2208" t="s">
        <v>1988</v>
      </c>
      <c r="S41" s="2204" t="s">
        <v>1972</v>
      </c>
      <c r="T41" s="2358" t="s">
        <v>1988</v>
      </c>
      <c r="U41" s="2357" t="s">
        <v>0</v>
      </c>
      <c r="V41" s="2204" t="s">
        <v>1972</v>
      </c>
      <c r="W41" s="2356" t="s">
        <v>0</v>
      </c>
      <c r="X41" s="2355" t="s">
        <v>1987</v>
      </c>
      <c r="Y41" s="2204" t="s">
        <v>1972</v>
      </c>
      <c r="Z41" s="2354" t="s">
        <v>1987</v>
      </c>
      <c r="AA41" s="2202"/>
      <c r="AB41" s="2202"/>
      <c r="AC41" s="2202"/>
      <c r="AD41" s="2303"/>
      <c r="AE41" s="2295"/>
      <c r="AF41" s="2295"/>
      <c r="AG41" s="2295"/>
      <c r="AH41" s="2295"/>
      <c r="AI41" s="2295"/>
      <c r="AJ41" s="2295"/>
      <c r="AK41" s="2295"/>
      <c r="AL41" s="2295"/>
      <c r="AM41" s="2295"/>
      <c r="AN41" s="2295"/>
      <c r="AO41" s="2295"/>
      <c r="AP41" s="2295"/>
      <c r="AQ41" s="2295"/>
      <c r="AR41" s="2295"/>
      <c r="AS41" s="2295"/>
      <c r="AT41" s="2295"/>
      <c r="AU41" s="2295"/>
      <c r="AV41" s="2295"/>
      <c r="AW41" s="2295"/>
      <c r="AX41" s="2295"/>
      <c r="AY41" s="2295"/>
      <c r="AZ41" s="2295"/>
      <c r="BA41" s="2295"/>
      <c r="BD41" s="4919"/>
      <c r="BE41" s="2297" t="s">
        <v>2019</v>
      </c>
      <c r="BF41" s="2296"/>
      <c r="BG41" s="2324"/>
      <c r="BH41" s="2297" t="s">
        <v>1997</v>
      </c>
      <c r="BI41" s="2296"/>
      <c r="BJ41" s="2324"/>
      <c r="BK41" s="2297" t="s">
        <v>2015</v>
      </c>
      <c r="BL41" s="2296"/>
      <c r="BM41" s="2324"/>
      <c r="BN41" s="2297" t="s">
        <v>2005</v>
      </c>
      <c r="BO41" s="2296"/>
      <c r="BP41" s="2324"/>
      <c r="BQ41" s="2297" t="s">
        <v>357</v>
      </c>
      <c r="BR41" s="2296"/>
      <c r="BS41" s="2324"/>
      <c r="BT41" s="2297" t="s">
        <v>1998</v>
      </c>
      <c r="BU41" s="2296"/>
      <c r="BV41" s="2324"/>
      <c r="BW41" s="2297" t="s">
        <v>356</v>
      </c>
      <c r="BX41" s="2296"/>
      <c r="BY41" s="2324"/>
      <c r="BZ41" s="2297" t="s">
        <v>2012</v>
      </c>
      <c r="CA41" s="2296"/>
      <c r="CB41" s="2324"/>
      <c r="CC41" s="2297" t="s">
        <v>2006</v>
      </c>
      <c r="CD41" s="2296"/>
      <c r="CE41" s="2324"/>
      <c r="CF41" s="2297" t="s">
        <v>342</v>
      </c>
      <c r="CG41" s="2296"/>
      <c r="CH41" s="2324"/>
      <c r="CI41" s="2297" t="s">
        <v>2106</v>
      </c>
      <c r="CJ41" s="2296"/>
      <c r="CK41" s="2324"/>
      <c r="CL41" s="2297"/>
      <c r="CM41" s="2296" t="s">
        <v>2105</v>
      </c>
    </row>
    <row r="42" spans="1:91" ht="44.25">
      <c r="A42" s="2202"/>
      <c r="B42" s="2209" t="s">
        <v>1986</v>
      </c>
      <c r="C42" s="2204" t="s">
        <v>1972</v>
      </c>
      <c r="D42" s="2362" t="s">
        <v>1986</v>
      </c>
      <c r="E42" s="2208" t="s">
        <v>1985</v>
      </c>
      <c r="F42" s="2204" t="s">
        <v>1972</v>
      </c>
      <c r="G42" s="2361" t="s">
        <v>1985</v>
      </c>
      <c r="H42" s="2205" t="s">
        <v>29</v>
      </c>
      <c r="I42" s="2204" t="s">
        <v>1972</v>
      </c>
      <c r="J42" s="2360" t="s">
        <v>29</v>
      </c>
      <c r="K42" s="2205" t="s">
        <v>1984</v>
      </c>
      <c r="L42" s="2204" t="s">
        <v>1972</v>
      </c>
      <c r="M42" s="2359" t="s">
        <v>1984</v>
      </c>
      <c r="N42" s="2202"/>
      <c r="O42" s="2209" t="s">
        <v>1986</v>
      </c>
      <c r="P42" s="2204" t="s">
        <v>1972</v>
      </c>
      <c r="Q42" s="2356" t="s">
        <v>1986</v>
      </c>
      <c r="R42" s="2208" t="s">
        <v>1985</v>
      </c>
      <c r="S42" s="2204" t="s">
        <v>1972</v>
      </c>
      <c r="T42" s="2358" t="s">
        <v>1985</v>
      </c>
      <c r="U42" s="2357" t="s">
        <v>29</v>
      </c>
      <c r="V42" s="2204" t="s">
        <v>1972</v>
      </c>
      <c r="W42" s="2356" t="s">
        <v>29</v>
      </c>
      <c r="X42" s="2355" t="s">
        <v>1984</v>
      </c>
      <c r="Y42" s="2204" t="s">
        <v>1972</v>
      </c>
      <c r="Z42" s="2354" t="s">
        <v>1984</v>
      </c>
      <c r="AA42" s="2202"/>
      <c r="AB42" s="2202"/>
      <c r="AC42" s="2202"/>
      <c r="AD42" s="2325" t="s">
        <v>2058</v>
      </c>
      <c r="AE42" s="2334" t="s">
        <v>2103</v>
      </c>
      <c r="AF42" s="2335">
        <v>0</v>
      </c>
      <c r="AG42" s="2334" t="s">
        <v>2102</v>
      </c>
      <c r="AH42" s="2335">
        <v>0</v>
      </c>
      <c r="AI42" s="2334" t="s">
        <v>2101</v>
      </c>
      <c r="AJ42" s="2335">
        <v>0</v>
      </c>
      <c r="AK42" s="2334" t="s">
        <v>2100</v>
      </c>
      <c r="AL42" s="2335">
        <v>0</v>
      </c>
      <c r="AM42" s="2334" t="s">
        <v>2099</v>
      </c>
      <c r="AN42" s="2335">
        <v>0</v>
      </c>
      <c r="AO42" s="2334" t="s">
        <v>2098</v>
      </c>
      <c r="AP42" s="2335">
        <v>0</v>
      </c>
      <c r="AQ42" s="2334" t="s">
        <v>2097</v>
      </c>
      <c r="AR42" s="2335">
        <v>0</v>
      </c>
      <c r="AS42" s="2336" t="s">
        <v>2096</v>
      </c>
      <c r="AT42" s="2335">
        <v>0</v>
      </c>
      <c r="AU42" s="2334" t="s">
        <v>2095</v>
      </c>
      <c r="AV42" s="2335">
        <v>0</v>
      </c>
      <c r="AW42" s="2334" t="s">
        <v>2094</v>
      </c>
      <c r="AX42" s="2335">
        <v>0</v>
      </c>
      <c r="AY42" s="2334" t="s">
        <v>2093</v>
      </c>
      <c r="AZ42" s="2335">
        <v>0</v>
      </c>
      <c r="BA42" s="2334" t="s">
        <v>2092</v>
      </c>
      <c r="BD42" s="2303"/>
      <c r="BE42" s="2295"/>
      <c r="BF42" s="2295"/>
      <c r="BG42" s="2295"/>
      <c r="BH42" s="2295"/>
      <c r="BI42" s="2295"/>
      <c r="BJ42" s="2295"/>
      <c r="BK42" s="2295"/>
      <c r="BL42" s="2295"/>
      <c r="BM42" s="2295"/>
      <c r="BN42" s="2295"/>
      <c r="BO42" s="2295"/>
      <c r="BP42" s="2295"/>
      <c r="BQ42" s="2295"/>
      <c r="BR42" s="2295"/>
      <c r="BS42" s="2295"/>
      <c r="BT42" s="2295"/>
      <c r="BU42" s="2295"/>
      <c r="BV42" s="2295"/>
      <c r="BW42" s="2295"/>
      <c r="BX42" s="2295"/>
      <c r="BY42" s="2295"/>
      <c r="BZ42" s="2295"/>
      <c r="CA42" s="2295"/>
      <c r="CB42" s="2295"/>
      <c r="CC42" s="2295"/>
      <c r="CD42" s="2295"/>
      <c r="CE42" s="2295"/>
      <c r="CF42" s="2295"/>
      <c r="CG42" s="2295"/>
      <c r="CH42" s="2295"/>
      <c r="CI42" s="2295"/>
      <c r="CJ42" s="2295"/>
      <c r="CK42" s="2295"/>
      <c r="CL42" s="2295"/>
      <c r="CM42" s="2295"/>
    </row>
    <row r="43" spans="1:91" ht="44.25">
      <c r="A43" s="2202"/>
      <c r="B43" s="2209" t="s">
        <v>33</v>
      </c>
      <c r="C43" s="2204" t="s">
        <v>1972</v>
      </c>
      <c r="D43" s="2362" t="s">
        <v>33</v>
      </c>
      <c r="E43" s="2208" t="s">
        <v>1983</v>
      </c>
      <c r="F43" s="2204" t="s">
        <v>1972</v>
      </c>
      <c r="G43" s="2361" t="s">
        <v>1983</v>
      </c>
      <c r="H43" s="2205" t="s">
        <v>1982</v>
      </c>
      <c r="I43" s="2204" t="s">
        <v>1972</v>
      </c>
      <c r="J43" s="2360" t="s">
        <v>1982</v>
      </c>
      <c r="K43" s="2205" t="s">
        <v>380</v>
      </c>
      <c r="L43" s="2204" t="s">
        <v>1972</v>
      </c>
      <c r="M43" s="2359" t="s">
        <v>380</v>
      </c>
      <c r="N43" s="2202"/>
      <c r="O43" s="2209" t="s">
        <v>33</v>
      </c>
      <c r="P43" s="2204" t="s">
        <v>1972</v>
      </c>
      <c r="Q43" s="2356" t="s">
        <v>33</v>
      </c>
      <c r="R43" s="2208" t="s">
        <v>1983</v>
      </c>
      <c r="S43" s="2204" t="s">
        <v>1972</v>
      </c>
      <c r="T43" s="2358" t="s">
        <v>1983</v>
      </c>
      <c r="U43" s="2357" t="s">
        <v>1982</v>
      </c>
      <c r="V43" s="2204" t="s">
        <v>1972</v>
      </c>
      <c r="W43" s="2356" t="s">
        <v>1982</v>
      </c>
      <c r="X43" s="2355" t="s">
        <v>380</v>
      </c>
      <c r="Y43" s="2204" t="s">
        <v>1972</v>
      </c>
      <c r="Z43" s="2354" t="s">
        <v>380</v>
      </c>
      <c r="AA43" s="2202"/>
      <c r="AB43" s="2202"/>
      <c r="AC43" s="2202"/>
      <c r="AD43" s="2303"/>
      <c r="AE43" s="2295"/>
      <c r="AF43" s="2295"/>
      <c r="AG43" s="2295"/>
      <c r="AH43" s="2295"/>
      <c r="AI43" s="2295"/>
      <c r="AJ43" s="2295"/>
      <c r="AK43" s="2295"/>
      <c r="AL43" s="2295"/>
      <c r="AM43" s="2295"/>
      <c r="AN43" s="2295"/>
      <c r="AO43" s="2295"/>
      <c r="AP43" s="2295"/>
      <c r="AQ43" s="2295"/>
      <c r="AR43" s="2295"/>
      <c r="AS43" s="2333"/>
      <c r="AT43" s="2295"/>
      <c r="AU43" s="2295"/>
      <c r="AV43" s="2295"/>
      <c r="AW43" s="2295"/>
      <c r="AX43" s="2295"/>
      <c r="AY43" s="2295"/>
      <c r="AZ43" s="2295"/>
      <c r="BA43" s="2295"/>
      <c r="BD43" s="2303"/>
      <c r="BE43" s="2328" t="s">
        <v>2104</v>
      </c>
      <c r="BF43" s="2295"/>
      <c r="BG43" s="2295"/>
      <c r="BH43" s="2295"/>
      <c r="BI43" s="2295"/>
      <c r="BJ43" s="2295"/>
      <c r="BK43" s="2295"/>
      <c r="BL43" s="2295"/>
      <c r="BM43" s="2295"/>
      <c r="BN43" s="2295"/>
      <c r="BO43" s="2295"/>
      <c r="BP43" s="2295"/>
      <c r="BQ43" s="2295"/>
      <c r="BR43" s="2295"/>
      <c r="BS43" s="2295"/>
      <c r="BT43" s="2295"/>
      <c r="BU43" s="2295"/>
      <c r="BV43" s="2295"/>
      <c r="BW43" s="2295"/>
      <c r="BX43" s="2295"/>
      <c r="BY43" s="2295"/>
      <c r="BZ43" s="2295"/>
      <c r="CA43" s="2295"/>
      <c r="CB43" s="2295"/>
      <c r="CC43" s="2295"/>
      <c r="CD43" s="2295"/>
      <c r="CE43" s="2295"/>
      <c r="CF43" s="2295"/>
      <c r="CG43" s="2295"/>
      <c r="CH43" s="2295"/>
      <c r="CI43" s="2295"/>
      <c r="CJ43" s="2295"/>
      <c r="CK43" s="2295"/>
      <c r="CL43" s="2295"/>
      <c r="CM43" s="2295"/>
    </row>
    <row r="44" spans="1:91" ht="44.25">
      <c r="A44" s="2202"/>
      <c r="B44" s="2209" t="s">
        <v>1981</v>
      </c>
      <c r="C44" s="2204" t="s">
        <v>1972</v>
      </c>
      <c r="D44" s="2362" t="s">
        <v>1981</v>
      </c>
      <c r="E44" s="2208" t="s">
        <v>1980</v>
      </c>
      <c r="F44" s="2204" t="s">
        <v>1972</v>
      </c>
      <c r="G44" s="2361" t="s">
        <v>1980</v>
      </c>
      <c r="H44" s="2205" t="s">
        <v>1979</v>
      </c>
      <c r="I44" s="2204" t="s">
        <v>1972</v>
      </c>
      <c r="J44" s="2360" t="s">
        <v>1979</v>
      </c>
      <c r="K44" s="2205" t="s">
        <v>1978</v>
      </c>
      <c r="L44" s="2204" t="s">
        <v>1972</v>
      </c>
      <c r="M44" s="2359" t="s">
        <v>1978</v>
      </c>
      <c r="N44" s="2202"/>
      <c r="O44" s="2209" t="s">
        <v>1981</v>
      </c>
      <c r="P44" s="2204" t="s">
        <v>1972</v>
      </c>
      <c r="Q44" s="2356" t="s">
        <v>1981</v>
      </c>
      <c r="R44" s="2208" t="s">
        <v>1980</v>
      </c>
      <c r="S44" s="2204" t="s">
        <v>1972</v>
      </c>
      <c r="T44" s="2358" t="s">
        <v>1980</v>
      </c>
      <c r="U44" s="2357" t="s">
        <v>1979</v>
      </c>
      <c r="V44" s="2204" t="s">
        <v>1972</v>
      </c>
      <c r="W44" s="2356" t="s">
        <v>1979</v>
      </c>
      <c r="X44" s="2355" t="s">
        <v>1978</v>
      </c>
      <c r="Y44" s="2204" t="s">
        <v>1972</v>
      </c>
      <c r="Z44" s="2354" t="s">
        <v>1978</v>
      </c>
      <c r="AA44" s="2202"/>
      <c r="AB44" s="2363"/>
      <c r="AC44" s="2202"/>
      <c r="AD44" s="2325" t="s">
        <v>2075</v>
      </c>
      <c r="AE44" s="2331" t="s">
        <v>2103</v>
      </c>
      <c r="AF44" s="2332">
        <v>0</v>
      </c>
      <c r="AG44" s="2331" t="s">
        <v>2102</v>
      </c>
      <c r="AH44" s="2332">
        <v>0</v>
      </c>
      <c r="AI44" s="2331" t="s">
        <v>2101</v>
      </c>
      <c r="AJ44" s="2332">
        <v>0</v>
      </c>
      <c r="AK44" s="2331" t="s">
        <v>2100</v>
      </c>
      <c r="AL44" s="2332">
        <v>0</v>
      </c>
      <c r="AM44" s="2331" t="s">
        <v>2099</v>
      </c>
      <c r="AN44" s="2332">
        <v>0</v>
      </c>
      <c r="AO44" s="2331" t="s">
        <v>2098</v>
      </c>
      <c r="AP44" s="2332">
        <v>0</v>
      </c>
      <c r="AQ44" s="2331" t="s">
        <v>2097</v>
      </c>
      <c r="AR44" s="2332">
        <v>0</v>
      </c>
      <c r="AS44" s="2331" t="s">
        <v>2096</v>
      </c>
      <c r="AT44" s="2332">
        <v>0</v>
      </c>
      <c r="AU44" s="2331" t="s">
        <v>2095</v>
      </c>
      <c r="AV44" s="2332">
        <v>0</v>
      </c>
      <c r="AW44" s="2331" t="s">
        <v>2094</v>
      </c>
      <c r="AX44" s="2332">
        <v>0</v>
      </c>
      <c r="AY44" s="2331" t="s">
        <v>2093</v>
      </c>
      <c r="AZ44" s="2332">
        <v>0</v>
      </c>
      <c r="BA44" s="2331" t="s">
        <v>2092</v>
      </c>
      <c r="BD44" s="4923" t="s">
        <v>2072</v>
      </c>
      <c r="BE44" s="2327" t="s">
        <v>1443</v>
      </c>
      <c r="BF44" s="2326"/>
      <c r="BG44" s="2319"/>
      <c r="BH44" s="2327" t="s">
        <v>31</v>
      </c>
      <c r="BI44" s="2326"/>
      <c r="BJ44" s="2319"/>
      <c r="BK44" s="2327" t="s">
        <v>52</v>
      </c>
      <c r="BL44" s="2326"/>
      <c r="BM44" s="2319"/>
      <c r="BN44" s="2327" t="s">
        <v>874</v>
      </c>
      <c r="BO44" s="2326"/>
      <c r="BP44" s="2319"/>
      <c r="BQ44" s="2327" t="s">
        <v>18</v>
      </c>
      <c r="BR44" s="2326"/>
      <c r="BS44" s="2319"/>
      <c r="BT44" s="2327" t="s">
        <v>30</v>
      </c>
      <c r="BU44" s="2326"/>
      <c r="BV44" s="2319"/>
      <c r="BW44" s="2327" t="s">
        <v>870</v>
      </c>
      <c r="BX44" s="2326"/>
      <c r="BY44" s="2319"/>
      <c r="BZ44" s="2327" t="s">
        <v>868</v>
      </c>
      <c r="CA44" s="2326"/>
      <c r="CB44" s="2319"/>
      <c r="CC44" s="2327" t="s">
        <v>642</v>
      </c>
      <c r="CD44" s="2326"/>
      <c r="CE44" s="2319"/>
      <c r="CF44" s="2327" t="s">
        <v>53</v>
      </c>
      <c r="CG44" s="2326"/>
      <c r="CH44" s="2319"/>
      <c r="CI44" s="2327" t="s">
        <v>377</v>
      </c>
      <c r="CJ44" s="2326"/>
      <c r="CK44" s="2319"/>
      <c r="CL44" s="2327" t="s">
        <v>1981</v>
      </c>
      <c r="CM44" s="2326"/>
    </row>
    <row r="45" spans="1:91" ht="44.25">
      <c r="A45" s="2202"/>
      <c r="B45" s="2209" t="s">
        <v>1977</v>
      </c>
      <c r="C45" s="2204" t="s">
        <v>1972</v>
      </c>
      <c r="D45" s="2362" t="s">
        <v>1977</v>
      </c>
      <c r="E45" s="2208" t="s">
        <v>1976</v>
      </c>
      <c r="F45" s="2204" t="s">
        <v>1972</v>
      </c>
      <c r="G45" s="2361" t="s">
        <v>1976</v>
      </c>
      <c r="H45" s="2205" t="s">
        <v>1975</v>
      </c>
      <c r="I45" s="2204" t="s">
        <v>1972</v>
      </c>
      <c r="J45" s="2360" t="s">
        <v>1975</v>
      </c>
      <c r="K45" s="2205" t="s">
        <v>1074</v>
      </c>
      <c r="L45" s="2204" t="s">
        <v>1972</v>
      </c>
      <c r="M45" s="2359" t="s">
        <v>1074</v>
      </c>
      <c r="N45" s="2202"/>
      <c r="O45" s="2209" t="s">
        <v>1977</v>
      </c>
      <c r="P45" s="2204" t="s">
        <v>1972</v>
      </c>
      <c r="Q45" s="2356" t="s">
        <v>1977</v>
      </c>
      <c r="R45" s="2208" t="s">
        <v>1976</v>
      </c>
      <c r="S45" s="2204" t="s">
        <v>1972</v>
      </c>
      <c r="T45" s="2358" t="s">
        <v>1976</v>
      </c>
      <c r="U45" s="2357" t="s">
        <v>1975</v>
      </c>
      <c r="V45" s="2204" t="s">
        <v>1972</v>
      </c>
      <c r="W45" s="2356" t="s">
        <v>1975</v>
      </c>
      <c r="X45" s="2355" t="s">
        <v>1074</v>
      </c>
      <c r="Y45" s="2204" t="s">
        <v>1972</v>
      </c>
      <c r="Z45" s="2354" t="s">
        <v>1074</v>
      </c>
      <c r="AA45" s="2202"/>
      <c r="AB45" s="2202"/>
      <c r="AC45" s="2202"/>
      <c r="AD45" s="2303"/>
      <c r="AE45" s="2295"/>
      <c r="AF45" s="2295"/>
      <c r="AG45" s="2295"/>
      <c r="AH45" s="2295"/>
      <c r="AI45" s="2295"/>
      <c r="AJ45" s="2295"/>
      <c r="AK45" s="2295"/>
      <c r="AL45" s="2295"/>
      <c r="AM45" s="2295"/>
      <c r="AN45" s="2295"/>
      <c r="AO45" s="2295"/>
      <c r="AP45" s="2295"/>
      <c r="AQ45" s="2295"/>
      <c r="AR45" s="2295"/>
      <c r="AS45" s="2295"/>
      <c r="AT45" s="2295"/>
      <c r="AU45" s="2295"/>
      <c r="AV45" s="2295"/>
      <c r="AW45" s="2295"/>
      <c r="AX45" s="2295"/>
      <c r="AY45" s="2295"/>
      <c r="AZ45" s="2295"/>
      <c r="BA45" s="2295"/>
      <c r="BD45" s="4923"/>
      <c r="BE45" s="2322" t="s">
        <v>343</v>
      </c>
      <c r="BF45" s="2321"/>
      <c r="BG45" s="2319"/>
      <c r="BH45" s="2322" t="s">
        <v>2004</v>
      </c>
      <c r="BI45" s="2321"/>
      <c r="BJ45" s="2319"/>
      <c r="BK45" s="2322" t="s">
        <v>2016</v>
      </c>
      <c r="BL45" s="2321"/>
      <c r="BM45" s="2319"/>
      <c r="BN45" s="2322" t="s">
        <v>2014</v>
      </c>
      <c r="BO45" s="2321"/>
      <c r="BP45" s="2319"/>
      <c r="BQ45" s="2322" t="s">
        <v>598</v>
      </c>
      <c r="BR45" s="2321"/>
      <c r="BS45" s="2319"/>
      <c r="BT45" s="2322" t="s">
        <v>2013</v>
      </c>
      <c r="BU45" s="2321"/>
      <c r="BV45" s="2319"/>
      <c r="BW45" s="2322" t="s">
        <v>2011</v>
      </c>
      <c r="BX45" s="2321"/>
      <c r="BY45" s="2319"/>
      <c r="BZ45" s="2322" t="s">
        <v>2010</v>
      </c>
      <c r="CA45" s="2321"/>
      <c r="CB45" s="2319"/>
      <c r="CC45" s="2322" t="s">
        <v>2009</v>
      </c>
      <c r="CD45" s="2321"/>
      <c r="CE45" s="2319"/>
      <c r="CF45" s="2322" t="s">
        <v>2008</v>
      </c>
      <c r="CG45" s="2321"/>
      <c r="CH45" s="2319"/>
      <c r="CI45" s="2322" t="s">
        <v>1989</v>
      </c>
      <c r="CJ45" s="2321"/>
      <c r="CK45" s="2319"/>
      <c r="CL45" s="2322" t="s">
        <v>1978</v>
      </c>
      <c r="CM45" s="2321"/>
    </row>
    <row r="46" spans="1:91" ht="44.25">
      <c r="A46" s="2202"/>
      <c r="B46" s="2209"/>
      <c r="C46" s="2204" t="s">
        <v>1972</v>
      </c>
      <c r="D46" s="2362"/>
      <c r="E46" s="2208" t="s">
        <v>1974</v>
      </c>
      <c r="F46" s="2204" t="s">
        <v>1972</v>
      </c>
      <c r="G46" s="2361" t="s">
        <v>1974</v>
      </c>
      <c r="H46" s="2205" t="s">
        <v>1973</v>
      </c>
      <c r="I46" s="2204" t="s">
        <v>1972</v>
      </c>
      <c r="J46" s="2360" t="s">
        <v>1973</v>
      </c>
      <c r="K46" s="2205"/>
      <c r="L46" s="2204" t="s">
        <v>1972</v>
      </c>
      <c r="M46" s="2359"/>
      <c r="N46" s="2202"/>
      <c r="O46" s="2209"/>
      <c r="P46" s="2204" t="s">
        <v>1972</v>
      </c>
      <c r="Q46" s="2356"/>
      <c r="R46" s="2208" t="s">
        <v>1974</v>
      </c>
      <c r="S46" s="2204" t="s">
        <v>1972</v>
      </c>
      <c r="T46" s="2358" t="s">
        <v>1974</v>
      </c>
      <c r="U46" s="2357" t="s">
        <v>1973</v>
      </c>
      <c r="V46" s="2204" t="s">
        <v>1972</v>
      </c>
      <c r="W46" s="2356" t="s">
        <v>1973</v>
      </c>
      <c r="X46" s="2355"/>
      <c r="Y46" s="2204" t="s">
        <v>1972</v>
      </c>
      <c r="Z46" s="2354"/>
      <c r="AA46" s="2202"/>
      <c r="AB46" s="2202"/>
      <c r="AC46" s="2202"/>
      <c r="AD46" s="2325" t="s">
        <v>2074</v>
      </c>
      <c r="AE46" s="2329" t="s">
        <v>2103</v>
      </c>
      <c r="AF46" s="2330">
        <v>0</v>
      </c>
      <c r="AG46" s="2329" t="s">
        <v>2102</v>
      </c>
      <c r="AH46" s="2330">
        <v>0</v>
      </c>
      <c r="AI46" s="2329" t="s">
        <v>2101</v>
      </c>
      <c r="AJ46" s="2330">
        <v>0</v>
      </c>
      <c r="AK46" s="2329" t="s">
        <v>2100</v>
      </c>
      <c r="AL46" s="2330">
        <v>0</v>
      </c>
      <c r="AM46" s="2329" t="s">
        <v>2099</v>
      </c>
      <c r="AN46" s="2330">
        <v>0</v>
      </c>
      <c r="AO46" s="2329" t="s">
        <v>2098</v>
      </c>
      <c r="AP46" s="2330">
        <v>0</v>
      </c>
      <c r="AQ46" s="2329" t="s">
        <v>2097</v>
      </c>
      <c r="AR46" s="2330">
        <v>0</v>
      </c>
      <c r="AS46" s="2329" t="s">
        <v>2096</v>
      </c>
      <c r="AT46" s="2330">
        <v>0</v>
      </c>
      <c r="AU46" s="2329" t="s">
        <v>2095</v>
      </c>
      <c r="AV46" s="2330">
        <v>0</v>
      </c>
      <c r="AW46" s="2329" t="s">
        <v>2094</v>
      </c>
      <c r="AX46" s="2330">
        <v>0</v>
      </c>
      <c r="AY46" s="2329" t="s">
        <v>2093</v>
      </c>
      <c r="AZ46" s="2330">
        <v>0</v>
      </c>
      <c r="BA46" s="2329" t="s">
        <v>2092</v>
      </c>
      <c r="BD46" s="2314"/>
      <c r="BE46" s="2319"/>
      <c r="BF46" s="2319"/>
      <c r="BG46" s="2319"/>
      <c r="BH46" s="2319"/>
      <c r="BI46" s="2319"/>
      <c r="BJ46" s="2319"/>
      <c r="BK46" s="2319"/>
      <c r="BL46" s="2319"/>
      <c r="BM46" s="2319"/>
      <c r="BN46" s="2319"/>
      <c r="BO46" s="2319"/>
      <c r="BP46" s="2319"/>
      <c r="BQ46" s="2319"/>
      <c r="BR46" s="2319"/>
      <c r="BS46" s="2319"/>
      <c r="BT46" s="2319"/>
      <c r="BU46" s="2319"/>
      <c r="BV46" s="2319"/>
      <c r="BW46" s="2319"/>
      <c r="BX46" s="2319"/>
      <c r="BY46" s="2319"/>
      <c r="BZ46" s="2319"/>
      <c r="CA46" s="2319"/>
      <c r="CB46" s="2319"/>
      <c r="CC46" s="2319"/>
      <c r="CD46" s="2319"/>
      <c r="CE46" s="2319"/>
      <c r="CF46" s="2319"/>
      <c r="CG46" s="2319"/>
      <c r="CH46" s="2319"/>
      <c r="CI46" s="2319"/>
      <c r="CJ46" s="2319"/>
      <c r="CK46" s="2319"/>
      <c r="CL46" s="2319"/>
      <c r="CM46" s="2319"/>
    </row>
    <row r="47" spans="1:91" ht="30">
      <c r="A47" s="2202"/>
      <c r="B47" s="2353"/>
      <c r="C47" s="2352"/>
      <c r="D47" s="2352"/>
      <c r="E47" s="2352"/>
      <c r="F47" s="2352"/>
      <c r="G47" s="2352"/>
      <c r="H47" s="2352"/>
      <c r="I47" s="2352"/>
      <c r="J47" s="2352"/>
      <c r="K47" s="2352"/>
      <c r="L47" s="2352"/>
      <c r="M47" s="2351"/>
      <c r="N47" s="2350"/>
      <c r="O47" s="2353"/>
      <c r="P47" s="2352"/>
      <c r="Q47" s="2352"/>
      <c r="R47" s="2352"/>
      <c r="S47" s="2352"/>
      <c r="T47" s="2352"/>
      <c r="U47" s="2352"/>
      <c r="V47" s="2352"/>
      <c r="W47" s="2352"/>
      <c r="X47" s="2352"/>
      <c r="Y47" s="2352"/>
      <c r="Z47" s="2351"/>
      <c r="AA47" s="2350"/>
      <c r="AB47" s="2202"/>
      <c r="AC47" s="2202"/>
      <c r="AD47" s="2303"/>
      <c r="AE47" s="2295"/>
      <c r="AF47" s="2295"/>
      <c r="AG47" s="2295"/>
      <c r="AH47" s="2295"/>
      <c r="AI47" s="2295"/>
      <c r="AJ47" s="2295"/>
      <c r="AK47" s="2295"/>
      <c r="AL47" s="2295"/>
      <c r="AM47" s="2295"/>
      <c r="AN47" s="2295"/>
      <c r="AO47" s="2295"/>
      <c r="AP47" s="2295"/>
      <c r="AQ47" s="2295"/>
      <c r="AR47" s="2295"/>
      <c r="AS47" s="2295"/>
      <c r="AT47" s="2295"/>
      <c r="AU47" s="2295"/>
      <c r="AV47" s="2295"/>
      <c r="AW47" s="2295"/>
      <c r="AX47" s="2295"/>
      <c r="AY47" s="2295"/>
      <c r="AZ47" s="2295"/>
      <c r="BA47" s="2295"/>
      <c r="BD47" s="4919" t="s">
        <v>2058</v>
      </c>
      <c r="BE47" s="2318" t="s">
        <v>1443</v>
      </c>
      <c r="BF47" s="2317"/>
      <c r="BG47" s="2335"/>
      <c r="BH47" s="2318" t="s">
        <v>31</v>
      </c>
      <c r="BI47" s="2317"/>
      <c r="BJ47" s="2335"/>
      <c r="BK47" s="2318" t="s">
        <v>52</v>
      </c>
      <c r="BL47" s="2317"/>
      <c r="BM47" s="2335"/>
      <c r="BN47" s="2318" t="s">
        <v>874</v>
      </c>
      <c r="BO47" s="2317"/>
      <c r="BP47" s="2335"/>
      <c r="BQ47" s="2318" t="s">
        <v>18</v>
      </c>
      <c r="BR47" s="2317"/>
      <c r="BS47" s="2335"/>
      <c r="BT47" s="2318" t="s">
        <v>30</v>
      </c>
      <c r="BU47" s="2317"/>
      <c r="BV47" s="2335"/>
      <c r="BW47" s="2318" t="s">
        <v>870</v>
      </c>
      <c r="BX47" s="2317"/>
      <c r="BY47" s="2335"/>
      <c r="BZ47" s="2318" t="s">
        <v>868</v>
      </c>
      <c r="CA47" s="2317"/>
      <c r="CB47" s="2335"/>
      <c r="CC47" s="2318" t="s">
        <v>642</v>
      </c>
      <c r="CD47" s="2317"/>
      <c r="CE47" s="2335"/>
      <c r="CF47" s="2318" t="s">
        <v>53</v>
      </c>
      <c r="CG47" s="2317"/>
      <c r="CH47" s="2335"/>
      <c r="CI47" s="2318" t="s">
        <v>377</v>
      </c>
      <c r="CJ47" s="2317"/>
      <c r="CK47" s="2335"/>
      <c r="CL47" s="2318" t="s">
        <v>1981</v>
      </c>
      <c r="CM47" s="2317"/>
    </row>
    <row r="48" spans="1:91" ht="30">
      <c r="AD48" s="2325" t="s">
        <v>2051</v>
      </c>
      <c r="AE48" s="2323" t="s">
        <v>2103</v>
      </c>
      <c r="AF48" s="2324">
        <v>0</v>
      </c>
      <c r="AG48" s="2323" t="s">
        <v>2102</v>
      </c>
      <c r="AH48" s="2324">
        <v>0</v>
      </c>
      <c r="AI48" s="2323" t="s">
        <v>2101</v>
      </c>
      <c r="AJ48" s="2324">
        <v>0</v>
      </c>
      <c r="AK48" s="2323" t="s">
        <v>2100</v>
      </c>
      <c r="AL48" s="2324">
        <v>0</v>
      </c>
      <c r="AM48" s="2323" t="s">
        <v>2099</v>
      </c>
      <c r="AN48" s="2324">
        <v>0</v>
      </c>
      <c r="AO48" s="2323" t="s">
        <v>2098</v>
      </c>
      <c r="AP48" s="2324">
        <v>0</v>
      </c>
      <c r="AQ48" s="2323" t="s">
        <v>2097</v>
      </c>
      <c r="AR48" s="2324">
        <v>0</v>
      </c>
      <c r="AS48" s="2323" t="s">
        <v>2096</v>
      </c>
      <c r="AT48" s="2324">
        <v>0</v>
      </c>
      <c r="AU48" s="2323" t="s">
        <v>2095</v>
      </c>
      <c r="AV48" s="2324">
        <v>0</v>
      </c>
      <c r="AW48" s="2323" t="s">
        <v>2094</v>
      </c>
      <c r="AX48" s="2324">
        <v>0</v>
      </c>
      <c r="AY48" s="2323" t="s">
        <v>2093</v>
      </c>
      <c r="AZ48" s="2324">
        <v>0</v>
      </c>
      <c r="BA48" s="2323" t="s">
        <v>2092</v>
      </c>
      <c r="BD48" s="4919"/>
      <c r="BE48" s="2316" t="s">
        <v>343</v>
      </c>
      <c r="BF48" s="2315"/>
      <c r="BG48" s="2335"/>
      <c r="BH48" s="2316" t="s">
        <v>2004</v>
      </c>
      <c r="BI48" s="2315"/>
      <c r="BJ48" s="2335"/>
      <c r="BK48" s="2316" t="s">
        <v>2016</v>
      </c>
      <c r="BL48" s="2315"/>
      <c r="BM48" s="2335"/>
      <c r="BN48" s="2316" t="s">
        <v>2014</v>
      </c>
      <c r="BO48" s="2315"/>
      <c r="BP48" s="2335"/>
      <c r="BQ48" s="2316" t="s">
        <v>598</v>
      </c>
      <c r="BR48" s="2315"/>
      <c r="BS48" s="2335"/>
      <c r="BT48" s="2316" t="s">
        <v>2013</v>
      </c>
      <c r="BU48" s="2315"/>
      <c r="BV48" s="2335"/>
      <c r="BW48" s="2316" t="s">
        <v>2011</v>
      </c>
      <c r="BX48" s="2315"/>
      <c r="BY48" s="2335"/>
      <c r="BZ48" s="2316" t="s">
        <v>2010</v>
      </c>
      <c r="CA48" s="2315"/>
      <c r="CB48" s="2335"/>
      <c r="CC48" s="2316" t="s">
        <v>2009</v>
      </c>
      <c r="CD48" s="2315"/>
      <c r="CE48" s="2335"/>
      <c r="CF48" s="2316" t="s">
        <v>2008</v>
      </c>
      <c r="CG48" s="2315"/>
      <c r="CH48" s="2335"/>
      <c r="CI48" s="2316" t="s">
        <v>1989</v>
      </c>
      <c r="CJ48" s="2315"/>
      <c r="CK48" s="2335"/>
      <c r="CL48" s="2316" t="s">
        <v>1978</v>
      </c>
      <c r="CM48" s="2315"/>
    </row>
    <row r="49" spans="1:91" ht="30">
      <c r="AD49" s="2303"/>
      <c r="BD49" s="2314"/>
      <c r="BE49" s="2295"/>
      <c r="BF49" s="2295"/>
      <c r="BG49" s="2295"/>
      <c r="BH49" s="2295"/>
      <c r="BI49" s="2295"/>
      <c r="BJ49" s="2295"/>
      <c r="BK49" s="2295"/>
      <c r="BL49" s="2295"/>
      <c r="BM49" s="2295"/>
      <c r="BN49" s="2295"/>
      <c r="BO49" s="2295"/>
      <c r="BP49" s="2295"/>
      <c r="BQ49" s="2295"/>
      <c r="BR49" s="2295"/>
      <c r="BS49" s="2295"/>
      <c r="BT49" s="2295"/>
      <c r="BU49" s="2295"/>
      <c r="BV49" s="2295"/>
      <c r="BW49" s="2295"/>
      <c r="BX49" s="2295"/>
      <c r="BY49" s="2295"/>
      <c r="BZ49" s="2295"/>
      <c r="CA49" s="2295"/>
      <c r="CB49" s="2295"/>
      <c r="CC49" s="2295"/>
      <c r="CD49" s="2295"/>
      <c r="CE49" s="2295"/>
      <c r="CF49" s="2295"/>
      <c r="CG49" s="2295"/>
      <c r="CH49" s="2295"/>
      <c r="CI49" s="2295"/>
      <c r="CJ49" s="2295"/>
      <c r="CK49" s="2295"/>
      <c r="CL49" s="2295"/>
      <c r="CM49" s="2295"/>
    </row>
    <row r="50" spans="1:91" ht="30">
      <c r="B50" s="2230" t="s">
        <v>2029</v>
      </c>
      <c r="C50" s="2229"/>
      <c r="D50" s="2228" t="s">
        <v>2028</v>
      </c>
      <c r="E50" s="2349" t="s">
        <v>2091</v>
      </c>
      <c r="F50" s="2348"/>
      <c r="G50" s="2348"/>
      <c r="H50" s="2348"/>
      <c r="I50" s="2348"/>
      <c r="J50" s="2348"/>
      <c r="K50" s="2348"/>
      <c r="L50" s="2348"/>
      <c r="M50" s="2347"/>
      <c r="O50" s="2230" t="s">
        <v>2029</v>
      </c>
      <c r="P50" s="2229"/>
      <c r="Q50" s="2228" t="s">
        <v>2028</v>
      </c>
      <c r="R50" s="2346" t="s">
        <v>2090</v>
      </c>
      <c r="S50" s="2345"/>
      <c r="T50" s="2345"/>
      <c r="U50" s="2345"/>
      <c r="V50" s="2345"/>
      <c r="W50" s="2345"/>
      <c r="X50" s="2345"/>
      <c r="Y50" s="2345"/>
      <c r="Z50" s="2344"/>
      <c r="AD50" s="2343" t="s">
        <v>2089</v>
      </c>
      <c r="BD50" s="4919" t="s">
        <v>2056</v>
      </c>
      <c r="BE50" s="2313" t="s">
        <v>1443</v>
      </c>
      <c r="BF50" s="2312"/>
      <c r="BG50" s="2332"/>
      <c r="BH50" s="2313" t="s">
        <v>31</v>
      </c>
      <c r="BI50" s="2312"/>
      <c r="BJ50" s="2332"/>
      <c r="BK50" s="2313" t="s">
        <v>52</v>
      </c>
      <c r="BL50" s="2312"/>
      <c r="BM50" s="2332"/>
      <c r="BN50" s="2313" t="s">
        <v>874</v>
      </c>
      <c r="BO50" s="2312"/>
      <c r="BP50" s="2332"/>
      <c r="BQ50" s="2313" t="s">
        <v>18</v>
      </c>
      <c r="BR50" s="2312"/>
      <c r="BS50" s="2332"/>
      <c r="BT50" s="2313" t="s">
        <v>30</v>
      </c>
      <c r="BU50" s="2312"/>
      <c r="BV50" s="2332"/>
      <c r="BW50" s="2313" t="s">
        <v>870</v>
      </c>
      <c r="BX50" s="2312"/>
      <c r="BY50" s="2332"/>
      <c r="BZ50" s="2313" t="s">
        <v>868</v>
      </c>
      <c r="CA50" s="2312"/>
      <c r="CB50" s="2332"/>
      <c r="CC50" s="2313" t="s">
        <v>642</v>
      </c>
      <c r="CD50" s="2312"/>
      <c r="CE50" s="2332"/>
      <c r="CF50" s="2313" t="s">
        <v>53</v>
      </c>
      <c r="CG50" s="2312"/>
      <c r="CH50" s="2332"/>
      <c r="CI50" s="2313" t="s">
        <v>377</v>
      </c>
      <c r="CJ50" s="2312"/>
      <c r="CK50" s="2332"/>
      <c r="CL50" s="2313" t="s">
        <v>1981</v>
      </c>
      <c r="CM50" s="2312"/>
    </row>
    <row r="51" spans="1:91" ht="46.5">
      <c r="B51" s="2223" t="s">
        <v>2026</v>
      </c>
      <c r="C51" s="2222" t="s">
        <v>1972</v>
      </c>
      <c r="D51" s="2342" t="str">
        <f>B51</f>
        <v>Aa</v>
      </c>
      <c r="E51" s="2220" t="s">
        <v>2025</v>
      </c>
      <c r="F51" s="2220"/>
      <c r="G51" s="2219"/>
      <c r="H51" s="2219"/>
      <c r="I51" s="2219"/>
      <c r="J51" s="2219"/>
      <c r="K51" s="2219"/>
      <c r="L51" s="2219"/>
      <c r="M51" s="2218"/>
      <c r="O51" s="2223" t="s">
        <v>2026</v>
      </c>
      <c r="P51" s="2222" t="s">
        <v>1972</v>
      </c>
      <c r="Q51" s="2341" t="str">
        <f>O51</f>
        <v>Aa</v>
      </c>
      <c r="R51" s="2220" t="s">
        <v>2025</v>
      </c>
      <c r="S51" s="2220"/>
      <c r="T51" s="2219"/>
      <c r="U51" s="2219"/>
      <c r="V51" s="2219"/>
      <c r="W51" s="2219"/>
      <c r="X51" s="2219"/>
      <c r="Y51" s="2219"/>
      <c r="Z51" s="2218"/>
      <c r="AD51" s="2325" t="s">
        <v>2088</v>
      </c>
      <c r="AE51" s="2339" t="s">
        <v>2087</v>
      </c>
      <c r="AF51" s="2340"/>
      <c r="AG51" s="2339" t="s">
        <v>2086</v>
      </c>
      <c r="AH51" s="2340"/>
      <c r="AI51" s="2339" t="s">
        <v>2085</v>
      </c>
      <c r="AJ51" s="2340"/>
      <c r="AK51" s="2339" t="s">
        <v>2084</v>
      </c>
      <c r="AL51" s="2340"/>
      <c r="AM51" s="2339" t="s">
        <v>2083</v>
      </c>
      <c r="AN51" s="2340"/>
      <c r="AO51" s="2339" t="s">
        <v>2082</v>
      </c>
      <c r="AP51" s="2340"/>
      <c r="AQ51" s="2339" t="s">
        <v>2081</v>
      </c>
      <c r="AR51" s="2340"/>
      <c r="AS51" s="2339" t="s">
        <v>2080</v>
      </c>
      <c r="AT51" s="2340"/>
      <c r="AU51" s="2339" t="s">
        <v>2079</v>
      </c>
      <c r="AV51" s="2340"/>
      <c r="AW51" s="2339" t="s">
        <v>2078</v>
      </c>
      <c r="AX51" s="2340"/>
      <c r="AY51" s="2339" t="s">
        <v>2077</v>
      </c>
      <c r="AZ51" s="2340"/>
      <c r="BA51" s="2339" t="s">
        <v>2076</v>
      </c>
      <c r="BD51" s="4919"/>
      <c r="BE51" s="2310" t="s">
        <v>343</v>
      </c>
      <c r="BF51" s="2309"/>
      <c r="BG51" s="2332"/>
      <c r="BH51" s="2310" t="s">
        <v>2004</v>
      </c>
      <c r="BI51" s="2309"/>
      <c r="BJ51" s="2332"/>
      <c r="BK51" s="2310" t="s">
        <v>2016</v>
      </c>
      <c r="BL51" s="2309"/>
      <c r="BM51" s="2332"/>
      <c r="BN51" s="2310" t="s">
        <v>2014</v>
      </c>
      <c r="BO51" s="2309"/>
      <c r="BP51" s="2332"/>
      <c r="BQ51" s="2310" t="s">
        <v>598</v>
      </c>
      <c r="BR51" s="2309"/>
      <c r="BS51" s="2332"/>
      <c r="BT51" s="2310" t="s">
        <v>2013</v>
      </c>
      <c r="BU51" s="2309"/>
      <c r="BV51" s="2332"/>
      <c r="BW51" s="2310" t="s">
        <v>2011</v>
      </c>
      <c r="BX51" s="2309"/>
      <c r="BY51" s="2332"/>
      <c r="BZ51" s="2310" t="s">
        <v>2010</v>
      </c>
      <c r="CA51" s="2309"/>
      <c r="CB51" s="2332"/>
      <c r="CC51" s="2310" t="s">
        <v>2009</v>
      </c>
      <c r="CD51" s="2309"/>
      <c r="CE51" s="2332"/>
      <c r="CF51" s="2310" t="s">
        <v>2008</v>
      </c>
      <c r="CG51" s="2309"/>
      <c r="CH51" s="2332"/>
      <c r="CI51" s="2310" t="s">
        <v>1989</v>
      </c>
      <c r="CJ51" s="2309"/>
      <c r="CK51" s="2332"/>
      <c r="CL51" s="2310" t="s">
        <v>1978</v>
      </c>
      <c r="CM51" s="2309"/>
    </row>
    <row r="52" spans="1:91" ht="30">
      <c r="B52" s="2217"/>
      <c r="M52" s="2216"/>
      <c r="O52" s="2217"/>
      <c r="Z52" s="2216"/>
      <c r="AD52" s="2303"/>
      <c r="AE52" s="2275"/>
      <c r="AF52" s="2275"/>
      <c r="AG52" s="2275"/>
      <c r="AH52" s="2275"/>
      <c r="AI52" s="2275"/>
      <c r="AJ52" s="2275"/>
      <c r="AK52" s="2275"/>
      <c r="AL52" s="2275"/>
      <c r="AM52" s="2275"/>
      <c r="AN52" s="2275"/>
      <c r="AO52" s="2275"/>
      <c r="AP52" s="2275"/>
      <c r="AQ52" s="2275"/>
      <c r="AR52" s="2275"/>
      <c r="AS52" s="2275"/>
      <c r="AT52" s="2275"/>
      <c r="AU52" s="2275"/>
      <c r="AV52" s="2275"/>
      <c r="AW52" s="2275"/>
      <c r="AX52" s="2275"/>
      <c r="AY52" s="2275"/>
      <c r="AZ52" s="2275"/>
      <c r="BA52" s="2275"/>
      <c r="BD52" s="2303"/>
      <c r="BE52" s="2295"/>
      <c r="BF52" s="2295"/>
      <c r="BG52" s="2295"/>
      <c r="BH52" s="2295"/>
      <c r="BI52" s="2295"/>
      <c r="BJ52" s="2295"/>
      <c r="BK52" s="2295"/>
      <c r="BL52" s="2295"/>
      <c r="BM52" s="2295"/>
      <c r="BN52" s="2295"/>
      <c r="BO52" s="2295"/>
      <c r="BP52" s="2295"/>
      <c r="BQ52" s="2295"/>
      <c r="BR52" s="2295"/>
      <c r="BS52" s="2295"/>
      <c r="BT52" s="2295"/>
      <c r="BU52" s="2295"/>
      <c r="BV52" s="2295"/>
      <c r="BW52" s="2295"/>
      <c r="BX52" s="2295"/>
      <c r="BY52" s="2295"/>
      <c r="BZ52" s="2295"/>
      <c r="CA52" s="2295"/>
      <c r="CB52" s="2295"/>
      <c r="CC52" s="2295"/>
      <c r="CD52" s="2295"/>
      <c r="CE52" s="2295"/>
      <c r="CF52" s="2295"/>
      <c r="CG52" s="2295"/>
      <c r="CH52" s="2295"/>
      <c r="CI52" s="2295"/>
      <c r="CJ52" s="2295"/>
      <c r="CK52" s="2295"/>
      <c r="CL52" s="2295"/>
      <c r="CM52" s="2295"/>
    </row>
    <row r="53" spans="1:91" ht="30">
      <c r="B53" s="2215" t="s">
        <v>2024</v>
      </c>
      <c r="C53" s="4930" t="s">
        <v>2020</v>
      </c>
      <c r="D53" s="4931"/>
      <c r="E53" s="2214" t="s">
        <v>2023</v>
      </c>
      <c r="F53" s="4930" t="s">
        <v>2020</v>
      </c>
      <c r="G53" s="4931"/>
      <c r="H53" s="2214" t="s">
        <v>2022</v>
      </c>
      <c r="I53" s="4930" t="s">
        <v>2020</v>
      </c>
      <c r="J53" s="4931"/>
      <c r="K53" s="2214" t="s">
        <v>2021</v>
      </c>
      <c r="L53" s="4930" t="s">
        <v>2020</v>
      </c>
      <c r="M53" s="4932"/>
      <c r="O53" s="2215" t="s">
        <v>2024</v>
      </c>
      <c r="P53" s="4921" t="s">
        <v>2020</v>
      </c>
      <c r="Q53" s="4922"/>
      <c r="R53" s="2214" t="s">
        <v>2023</v>
      </c>
      <c r="S53" s="4921" t="s">
        <v>2020</v>
      </c>
      <c r="T53" s="4922"/>
      <c r="U53" s="2214" t="s">
        <v>2022</v>
      </c>
      <c r="V53" s="4921" t="s">
        <v>2020</v>
      </c>
      <c r="W53" s="4922"/>
      <c r="X53" s="2214" t="s">
        <v>2021</v>
      </c>
      <c r="Y53" s="4921" t="s">
        <v>2020</v>
      </c>
      <c r="Z53" s="4933"/>
      <c r="AD53" s="2325" t="s">
        <v>446</v>
      </c>
      <c r="AE53" s="2337" t="s">
        <v>2071</v>
      </c>
      <c r="AF53" s="2338"/>
      <c r="AG53" s="2337" t="s">
        <v>2070</v>
      </c>
      <c r="AH53" s="2338"/>
      <c r="AI53" s="2337" t="s">
        <v>2069</v>
      </c>
      <c r="AJ53" s="2338"/>
      <c r="AK53" s="2337" t="s">
        <v>2068</v>
      </c>
      <c r="AL53" s="2338"/>
      <c r="AM53" s="2337" t="s">
        <v>2067</v>
      </c>
      <c r="AN53" s="2338"/>
      <c r="AO53" s="2337" t="s">
        <v>2066</v>
      </c>
      <c r="AP53" s="2338"/>
      <c r="AQ53" s="2337" t="s">
        <v>2065</v>
      </c>
      <c r="AR53" s="2338"/>
      <c r="AS53" s="2337" t="s">
        <v>2064</v>
      </c>
      <c r="AT53" s="2338"/>
      <c r="AU53" s="2337" t="s">
        <v>2063</v>
      </c>
      <c r="AV53" s="2338"/>
      <c r="AW53" s="2337" t="s">
        <v>2062</v>
      </c>
      <c r="AX53" s="2338"/>
      <c r="AY53" s="2337" t="s">
        <v>2061</v>
      </c>
      <c r="AZ53" s="2338"/>
      <c r="BA53" s="2337" t="s">
        <v>2060</v>
      </c>
      <c r="BD53" s="4919" t="s">
        <v>2053</v>
      </c>
      <c r="BE53" s="2308" t="s">
        <v>1443</v>
      </c>
      <c r="BF53" s="2307"/>
      <c r="BG53" s="2330"/>
      <c r="BH53" s="2308" t="s">
        <v>31</v>
      </c>
      <c r="BI53" s="2307"/>
      <c r="BJ53" s="2330"/>
      <c r="BK53" s="2308" t="s">
        <v>52</v>
      </c>
      <c r="BL53" s="2307"/>
      <c r="BM53" s="2330"/>
      <c r="BN53" s="2308" t="s">
        <v>874</v>
      </c>
      <c r="BO53" s="2307"/>
      <c r="BP53" s="2330"/>
      <c r="BQ53" s="2308" t="s">
        <v>18</v>
      </c>
      <c r="BR53" s="2307"/>
      <c r="BS53" s="2330"/>
      <c r="BT53" s="2308" t="s">
        <v>30</v>
      </c>
      <c r="BU53" s="2307"/>
      <c r="BV53" s="2330"/>
      <c r="BW53" s="2308" t="s">
        <v>870</v>
      </c>
      <c r="BX53" s="2307"/>
      <c r="BY53" s="2330"/>
      <c r="BZ53" s="2308" t="s">
        <v>868</v>
      </c>
      <c r="CA53" s="2307"/>
      <c r="CB53" s="2330"/>
      <c r="CC53" s="2308" t="s">
        <v>642</v>
      </c>
      <c r="CD53" s="2307"/>
      <c r="CE53" s="2330"/>
      <c r="CF53" s="2308" t="s">
        <v>53</v>
      </c>
      <c r="CG53" s="2307"/>
      <c r="CH53" s="2330"/>
      <c r="CI53" s="2308" t="s">
        <v>377</v>
      </c>
      <c r="CJ53" s="2307"/>
      <c r="CK53" s="2330"/>
      <c r="CL53" s="2308" t="s">
        <v>1981</v>
      </c>
      <c r="CM53" s="2307"/>
    </row>
    <row r="54" spans="1:91" ht="44.25">
      <c r="A54" s="2202"/>
      <c r="B54" s="2209" t="s">
        <v>2</v>
      </c>
      <c r="C54" s="2204" t="s">
        <v>1972</v>
      </c>
      <c r="D54" s="2269" t="s">
        <v>2</v>
      </c>
      <c r="E54" s="2208" t="s">
        <v>2019</v>
      </c>
      <c r="F54" s="2204" t="s">
        <v>1972</v>
      </c>
      <c r="G54" s="2270" t="s">
        <v>2019</v>
      </c>
      <c r="H54" s="2205">
        <v>1</v>
      </c>
      <c r="I54" s="2204" t="s">
        <v>1972</v>
      </c>
      <c r="J54" s="2270">
        <v>1</v>
      </c>
      <c r="K54" s="2205">
        <v>27</v>
      </c>
      <c r="L54" s="2204" t="s">
        <v>1972</v>
      </c>
      <c r="M54" s="2268">
        <v>27</v>
      </c>
      <c r="N54" s="2202"/>
      <c r="O54" s="2209" t="s">
        <v>2</v>
      </c>
      <c r="P54" s="2204" t="s">
        <v>1972</v>
      </c>
      <c r="Q54" s="2266" t="s">
        <v>2</v>
      </c>
      <c r="R54" s="2208" t="s">
        <v>2019</v>
      </c>
      <c r="S54" s="2204" t="s">
        <v>1972</v>
      </c>
      <c r="T54" s="2267" t="s">
        <v>2019</v>
      </c>
      <c r="U54" s="2205">
        <v>1</v>
      </c>
      <c r="V54" s="2204" t="s">
        <v>1972</v>
      </c>
      <c r="W54" s="2266">
        <v>1</v>
      </c>
      <c r="X54" s="2205">
        <v>27</v>
      </c>
      <c r="Y54" s="2204" t="s">
        <v>1972</v>
      </c>
      <c r="Z54" s="2265">
        <v>27</v>
      </c>
      <c r="AA54" s="2202"/>
      <c r="AB54" s="2202"/>
      <c r="AC54" s="2202"/>
      <c r="AD54" s="2303"/>
      <c r="AE54" s="2295"/>
      <c r="AF54" s="2295"/>
      <c r="AG54" s="2295"/>
      <c r="AH54" s="2295"/>
      <c r="AI54" s="2295"/>
      <c r="AJ54" s="2295"/>
      <c r="AK54" s="2295"/>
      <c r="AL54" s="2295"/>
      <c r="AM54" s="2295"/>
      <c r="AN54" s="2295"/>
      <c r="AO54" s="2295"/>
      <c r="AP54" s="2295"/>
      <c r="AQ54" s="2295"/>
      <c r="AR54" s="2295"/>
      <c r="AS54" s="2295"/>
      <c r="AT54" s="2295"/>
      <c r="AU54" s="2295"/>
      <c r="AV54" s="2295"/>
      <c r="AW54" s="2295"/>
      <c r="AX54" s="2295"/>
      <c r="AY54" s="2295"/>
      <c r="AZ54" s="2295"/>
      <c r="BA54" s="2295"/>
      <c r="BD54" s="4919"/>
      <c r="BE54" s="2305" t="s">
        <v>343</v>
      </c>
      <c r="BF54" s="2304"/>
      <c r="BG54" s="2330"/>
      <c r="BH54" s="2305" t="s">
        <v>2004</v>
      </c>
      <c r="BI54" s="2304"/>
      <c r="BJ54" s="2330"/>
      <c r="BK54" s="2305" t="s">
        <v>2016</v>
      </c>
      <c r="BL54" s="2304"/>
      <c r="BM54" s="2330"/>
      <c r="BN54" s="2305" t="s">
        <v>2014</v>
      </c>
      <c r="BO54" s="2304"/>
      <c r="BP54" s="2330"/>
      <c r="BQ54" s="2305" t="s">
        <v>598</v>
      </c>
      <c r="BR54" s="2304"/>
      <c r="BS54" s="2330"/>
      <c r="BT54" s="2305" t="s">
        <v>2013</v>
      </c>
      <c r="BU54" s="2304"/>
      <c r="BV54" s="2330"/>
      <c r="BW54" s="2305" t="s">
        <v>2011</v>
      </c>
      <c r="BX54" s="2304"/>
      <c r="BY54" s="2330"/>
      <c r="BZ54" s="2305" t="s">
        <v>2010</v>
      </c>
      <c r="CA54" s="2304"/>
      <c r="CB54" s="2330"/>
      <c r="CC54" s="2305" t="s">
        <v>2009</v>
      </c>
      <c r="CD54" s="2304"/>
      <c r="CE54" s="2330"/>
      <c r="CF54" s="2305" t="s">
        <v>2008</v>
      </c>
      <c r="CG54" s="2304"/>
      <c r="CH54" s="2330"/>
      <c r="CI54" s="2305" t="s">
        <v>1989</v>
      </c>
      <c r="CJ54" s="2304"/>
      <c r="CK54" s="2330"/>
      <c r="CL54" s="2305" t="s">
        <v>1978</v>
      </c>
      <c r="CM54" s="2304"/>
    </row>
    <row r="55" spans="1:91" ht="44.25">
      <c r="A55" s="2202"/>
      <c r="B55" s="2209" t="s">
        <v>27</v>
      </c>
      <c r="C55" s="2204" t="s">
        <v>1972</v>
      </c>
      <c r="D55" s="2269" t="s">
        <v>27</v>
      </c>
      <c r="E55" s="2208" t="s">
        <v>2018</v>
      </c>
      <c r="F55" s="2204" t="s">
        <v>1972</v>
      </c>
      <c r="G55" s="2270" t="s">
        <v>2018</v>
      </c>
      <c r="H55" s="2205">
        <v>2</v>
      </c>
      <c r="I55" s="2204" t="s">
        <v>1972</v>
      </c>
      <c r="J55" s="2270">
        <v>2</v>
      </c>
      <c r="K55" s="2205">
        <v>28</v>
      </c>
      <c r="L55" s="2204" t="s">
        <v>1972</v>
      </c>
      <c r="M55" s="2268">
        <v>28</v>
      </c>
      <c r="N55" s="2202"/>
      <c r="O55" s="2209" t="s">
        <v>27</v>
      </c>
      <c r="P55" s="2204" t="s">
        <v>1972</v>
      </c>
      <c r="Q55" s="2266" t="s">
        <v>27</v>
      </c>
      <c r="R55" s="2208" t="s">
        <v>2018</v>
      </c>
      <c r="S55" s="2204" t="s">
        <v>1972</v>
      </c>
      <c r="T55" s="2267" t="s">
        <v>2018</v>
      </c>
      <c r="U55" s="2205">
        <v>2</v>
      </c>
      <c r="V55" s="2204" t="s">
        <v>1972</v>
      </c>
      <c r="W55" s="2266">
        <v>2</v>
      </c>
      <c r="X55" s="2205">
        <v>28</v>
      </c>
      <c r="Y55" s="2204" t="s">
        <v>1972</v>
      </c>
      <c r="Z55" s="2265">
        <v>28</v>
      </c>
      <c r="AA55" s="2202"/>
      <c r="AB55" s="2202"/>
      <c r="AC55" s="2202"/>
      <c r="AD55" s="2325" t="s">
        <v>2058</v>
      </c>
      <c r="AE55" s="2334" t="s">
        <v>2071</v>
      </c>
      <c r="AF55" s="2335">
        <v>0</v>
      </c>
      <c r="AG55" s="2334" t="s">
        <v>2070</v>
      </c>
      <c r="AH55" s="2335">
        <v>0</v>
      </c>
      <c r="AI55" s="2334" t="s">
        <v>2069</v>
      </c>
      <c r="AJ55" s="2335">
        <v>0</v>
      </c>
      <c r="AK55" s="2334" t="s">
        <v>2068</v>
      </c>
      <c r="AL55" s="2335">
        <v>0</v>
      </c>
      <c r="AM55" s="2334" t="s">
        <v>2067</v>
      </c>
      <c r="AN55" s="2335">
        <v>0</v>
      </c>
      <c r="AO55" s="2334" t="s">
        <v>2066</v>
      </c>
      <c r="AP55" s="2335">
        <v>0</v>
      </c>
      <c r="AQ55" s="2334" t="s">
        <v>2065</v>
      </c>
      <c r="AR55" s="2335">
        <v>0</v>
      </c>
      <c r="AS55" s="2336" t="s">
        <v>2064</v>
      </c>
      <c r="AT55" s="2335">
        <v>0</v>
      </c>
      <c r="AU55" s="2334" t="s">
        <v>2063</v>
      </c>
      <c r="AV55" s="2335">
        <v>0</v>
      </c>
      <c r="AW55" s="2334" t="s">
        <v>2062</v>
      </c>
      <c r="AX55" s="2335">
        <v>0</v>
      </c>
      <c r="AY55" s="2334" t="s">
        <v>2061</v>
      </c>
      <c r="AZ55" s="2335">
        <v>0</v>
      </c>
      <c r="BA55" s="2334" t="s">
        <v>2060</v>
      </c>
      <c r="BD55" s="2303"/>
      <c r="BE55" s="2295"/>
      <c r="BF55" s="2295"/>
      <c r="BG55" s="2295"/>
      <c r="BH55" s="2295"/>
      <c r="BI55" s="2295"/>
      <c r="BJ55" s="2295"/>
      <c r="BK55" s="2295"/>
      <c r="BL55" s="2295"/>
      <c r="BM55" s="2295"/>
      <c r="BN55" s="2295"/>
      <c r="BO55" s="2295"/>
      <c r="BP55" s="2295"/>
      <c r="BQ55" s="2295"/>
      <c r="BR55" s="2295"/>
      <c r="BS55" s="2295"/>
      <c r="BT55" s="2295"/>
      <c r="BU55" s="2295"/>
      <c r="BV55" s="2295"/>
      <c r="BW55" s="2295"/>
      <c r="BX55" s="2295"/>
      <c r="BY55" s="2295"/>
      <c r="BZ55" s="2295"/>
      <c r="CA55" s="2295"/>
      <c r="CB55" s="2295"/>
      <c r="CC55" s="2295"/>
      <c r="CD55" s="2295"/>
      <c r="CE55" s="2295"/>
      <c r="CF55" s="2295"/>
      <c r="CG55" s="2295"/>
      <c r="CH55" s="2295"/>
      <c r="CI55" s="2295"/>
      <c r="CJ55" s="2295"/>
      <c r="CK55" s="2295"/>
      <c r="CL55" s="2295"/>
      <c r="CM55" s="2295"/>
    </row>
    <row r="56" spans="1:91" ht="44.25">
      <c r="A56" s="2202"/>
      <c r="B56" s="2209" t="s">
        <v>39</v>
      </c>
      <c r="C56" s="2204" t="s">
        <v>1972</v>
      </c>
      <c r="D56" s="2269" t="s">
        <v>39</v>
      </c>
      <c r="E56" s="2208" t="s">
        <v>2017</v>
      </c>
      <c r="F56" s="2204" t="s">
        <v>1972</v>
      </c>
      <c r="G56" s="2270" t="s">
        <v>2017</v>
      </c>
      <c r="H56" s="2205">
        <v>3</v>
      </c>
      <c r="I56" s="2204" t="s">
        <v>1972</v>
      </c>
      <c r="J56" s="2270">
        <v>3</v>
      </c>
      <c r="K56" s="2205">
        <v>29</v>
      </c>
      <c r="L56" s="2204" t="s">
        <v>1972</v>
      </c>
      <c r="M56" s="2268">
        <v>29</v>
      </c>
      <c r="N56" s="2202"/>
      <c r="O56" s="2209" t="s">
        <v>39</v>
      </c>
      <c r="P56" s="2204" t="s">
        <v>1972</v>
      </c>
      <c r="Q56" s="2266" t="s">
        <v>39</v>
      </c>
      <c r="R56" s="2208" t="s">
        <v>2017</v>
      </c>
      <c r="S56" s="2204" t="s">
        <v>1972</v>
      </c>
      <c r="T56" s="2267" t="s">
        <v>2017</v>
      </c>
      <c r="U56" s="2205">
        <v>3</v>
      </c>
      <c r="V56" s="2204" t="s">
        <v>1972</v>
      </c>
      <c r="W56" s="2266">
        <v>3</v>
      </c>
      <c r="X56" s="2205">
        <v>29</v>
      </c>
      <c r="Y56" s="2204" t="s">
        <v>1972</v>
      </c>
      <c r="Z56" s="2265">
        <v>29</v>
      </c>
      <c r="AA56" s="2202"/>
      <c r="AB56" s="2202"/>
      <c r="AC56" s="2202"/>
      <c r="AD56" s="2303"/>
      <c r="AE56" s="2295"/>
      <c r="AF56" s="2295"/>
      <c r="AG56" s="2295"/>
      <c r="AH56" s="2295"/>
      <c r="AI56" s="2295"/>
      <c r="AJ56" s="2295"/>
      <c r="AK56" s="2295"/>
      <c r="AL56" s="2295"/>
      <c r="AM56" s="2295"/>
      <c r="AN56" s="2295"/>
      <c r="AO56" s="2295"/>
      <c r="AP56" s="2295"/>
      <c r="AQ56" s="2295"/>
      <c r="AR56" s="2295"/>
      <c r="AS56" s="2333"/>
      <c r="AT56" s="2295"/>
      <c r="AU56" s="2295"/>
      <c r="AV56" s="2295"/>
      <c r="AW56" s="2295"/>
      <c r="AX56" s="2295"/>
      <c r="AY56" s="2295"/>
      <c r="AZ56" s="2295"/>
      <c r="BA56" s="2295"/>
      <c r="BD56" s="4919" t="s">
        <v>2051</v>
      </c>
      <c r="BE56" s="2299" t="s">
        <v>1443</v>
      </c>
      <c r="BF56" s="2298"/>
      <c r="BG56" s="2324"/>
      <c r="BH56" s="2299" t="s">
        <v>31</v>
      </c>
      <c r="BI56" s="2298"/>
      <c r="BJ56" s="2324"/>
      <c r="BK56" s="2299" t="s">
        <v>52</v>
      </c>
      <c r="BL56" s="2298"/>
      <c r="BM56" s="2324"/>
      <c r="BN56" s="2299" t="s">
        <v>874</v>
      </c>
      <c r="BO56" s="2298"/>
      <c r="BP56" s="2324"/>
      <c r="BQ56" s="2299" t="s">
        <v>18</v>
      </c>
      <c r="BR56" s="2298"/>
      <c r="BS56" s="2324"/>
      <c r="BT56" s="2299" t="s">
        <v>30</v>
      </c>
      <c r="BU56" s="2298"/>
      <c r="BV56" s="2324"/>
      <c r="BW56" s="2299" t="s">
        <v>870</v>
      </c>
      <c r="BX56" s="2298"/>
      <c r="BY56" s="2324"/>
      <c r="BZ56" s="2299" t="s">
        <v>868</v>
      </c>
      <c r="CA56" s="2298"/>
      <c r="CB56" s="2324"/>
      <c r="CC56" s="2299" t="s">
        <v>642</v>
      </c>
      <c r="CD56" s="2298"/>
      <c r="CE56" s="2324"/>
      <c r="CF56" s="2299" t="s">
        <v>53</v>
      </c>
      <c r="CG56" s="2298"/>
      <c r="CH56" s="2324"/>
      <c r="CI56" s="2299" t="s">
        <v>377</v>
      </c>
      <c r="CJ56" s="2298"/>
      <c r="CK56" s="2324"/>
      <c r="CL56" s="2299" t="s">
        <v>1981</v>
      </c>
      <c r="CM56" s="2298"/>
    </row>
    <row r="57" spans="1:91" ht="44.25">
      <c r="A57" s="2202"/>
      <c r="B57" s="2209" t="s">
        <v>52</v>
      </c>
      <c r="C57" s="2204" t="s">
        <v>1972</v>
      </c>
      <c r="D57" s="2269" t="s">
        <v>52</v>
      </c>
      <c r="E57" s="2208" t="s">
        <v>2016</v>
      </c>
      <c r="F57" s="2204" t="s">
        <v>1972</v>
      </c>
      <c r="G57" s="2270" t="s">
        <v>2016</v>
      </c>
      <c r="H57" s="2205">
        <v>4</v>
      </c>
      <c r="I57" s="2204" t="s">
        <v>1972</v>
      </c>
      <c r="J57" s="2270">
        <v>4</v>
      </c>
      <c r="K57" s="2205">
        <v>30</v>
      </c>
      <c r="L57" s="2204" t="s">
        <v>1972</v>
      </c>
      <c r="M57" s="2268">
        <v>30</v>
      </c>
      <c r="N57" s="2202"/>
      <c r="O57" s="2209" t="s">
        <v>52</v>
      </c>
      <c r="P57" s="2204" t="s">
        <v>1972</v>
      </c>
      <c r="Q57" s="2266" t="s">
        <v>52</v>
      </c>
      <c r="R57" s="2208" t="s">
        <v>2016</v>
      </c>
      <c r="S57" s="2204" t="s">
        <v>1972</v>
      </c>
      <c r="T57" s="2267" t="s">
        <v>2016</v>
      </c>
      <c r="U57" s="2205">
        <v>4</v>
      </c>
      <c r="V57" s="2204" t="s">
        <v>1972</v>
      </c>
      <c r="W57" s="2266">
        <v>4</v>
      </c>
      <c r="X57" s="2205">
        <v>30</v>
      </c>
      <c r="Y57" s="2204" t="s">
        <v>1972</v>
      </c>
      <c r="Z57" s="2265">
        <v>30</v>
      </c>
      <c r="AA57" s="2202"/>
      <c r="AB57" s="2202"/>
      <c r="AC57" s="2202"/>
      <c r="AD57" s="2325" t="s">
        <v>2075</v>
      </c>
      <c r="AE57" s="2331" t="s">
        <v>2071</v>
      </c>
      <c r="AF57" s="2332">
        <v>0</v>
      </c>
      <c r="AG57" s="2331" t="s">
        <v>2070</v>
      </c>
      <c r="AH57" s="2332">
        <v>0</v>
      </c>
      <c r="AI57" s="2331" t="s">
        <v>2069</v>
      </c>
      <c r="AJ57" s="2332">
        <v>0</v>
      </c>
      <c r="AK57" s="2331" t="s">
        <v>2068</v>
      </c>
      <c r="AL57" s="2332">
        <v>0</v>
      </c>
      <c r="AM57" s="2331" t="s">
        <v>2067</v>
      </c>
      <c r="AN57" s="2332">
        <v>0</v>
      </c>
      <c r="AO57" s="2331" t="s">
        <v>2066</v>
      </c>
      <c r="AP57" s="2332">
        <v>0</v>
      </c>
      <c r="AQ57" s="2331" t="s">
        <v>2065</v>
      </c>
      <c r="AR57" s="2332">
        <v>0</v>
      </c>
      <c r="AS57" s="2331" t="s">
        <v>2064</v>
      </c>
      <c r="AT57" s="2332">
        <v>0</v>
      </c>
      <c r="AU57" s="2331" t="s">
        <v>2063</v>
      </c>
      <c r="AV57" s="2332">
        <v>0</v>
      </c>
      <c r="AW57" s="2331" t="s">
        <v>2062</v>
      </c>
      <c r="AX57" s="2332">
        <v>0</v>
      </c>
      <c r="AY57" s="2331" t="s">
        <v>2061</v>
      </c>
      <c r="AZ57" s="2332">
        <v>0</v>
      </c>
      <c r="BA57" s="2331" t="s">
        <v>2060</v>
      </c>
      <c r="BD57" s="4919"/>
      <c r="BE57" s="2297" t="s">
        <v>343</v>
      </c>
      <c r="BF57" s="2296"/>
      <c r="BG57" s="2324"/>
      <c r="BH57" s="2297" t="s">
        <v>2004</v>
      </c>
      <c r="BI57" s="2296"/>
      <c r="BJ57" s="2324"/>
      <c r="BK57" s="2297" t="s">
        <v>2016</v>
      </c>
      <c r="BL57" s="2296"/>
      <c r="BM57" s="2324"/>
      <c r="BN57" s="2297" t="s">
        <v>2014</v>
      </c>
      <c r="BO57" s="2296"/>
      <c r="BP57" s="2324"/>
      <c r="BQ57" s="2297" t="s">
        <v>598</v>
      </c>
      <c r="BR57" s="2296"/>
      <c r="BS57" s="2324"/>
      <c r="BT57" s="2297" t="s">
        <v>2013</v>
      </c>
      <c r="BU57" s="2296"/>
      <c r="BV57" s="2324"/>
      <c r="BW57" s="2297" t="s">
        <v>2011</v>
      </c>
      <c r="BX57" s="2296"/>
      <c r="BY57" s="2324"/>
      <c r="BZ57" s="2297" t="s">
        <v>2010</v>
      </c>
      <c r="CA57" s="2296"/>
      <c r="CB57" s="2324"/>
      <c r="CC57" s="2297" t="s">
        <v>2009</v>
      </c>
      <c r="CD57" s="2296"/>
      <c r="CE57" s="2324"/>
      <c r="CF57" s="2297" t="s">
        <v>2008</v>
      </c>
      <c r="CG57" s="2296"/>
      <c r="CH57" s="2324"/>
      <c r="CI57" s="2297" t="s">
        <v>1989</v>
      </c>
      <c r="CJ57" s="2296"/>
      <c r="CK57" s="2324"/>
      <c r="CL57" s="2297" t="s">
        <v>1978</v>
      </c>
      <c r="CM57" s="2296"/>
    </row>
    <row r="58" spans="1:91" ht="44.25">
      <c r="A58" s="2202"/>
      <c r="B58" s="2209" t="s">
        <v>771</v>
      </c>
      <c r="C58" s="2204" t="s">
        <v>1972</v>
      </c>
      <c r="D58" s="2269" t="s">
        <v>771</v>
      </c>
      <c r="E58" s="2208" t="s">
        <v>2015</v>
      </c>
      <c r="F58" s="2204" t="s">
        <v>1972</v>
      </c>
      <c r="G58" s="2270" t="s">
        <v>2015</v>
      </c>
      <c r="H58" s="2205">
        <v>5</v>
      </c>
      <c r="I58" s="2204" t="s">
        <v>1972</v>
      </c>
      <c r="J58" s="2270">
        <v>5</v>
      </c>
      <c r="K58" s="2205">
        <v>31</v>
      </c>
      <c r="L58" s="2204" t="s">
        <v>1972</v>
      </c>
      <c r="M58" s="2268">
        <v>31</v>
      </c>
      <c r="N58" s="2202"/>
      <c r="O58" s="2209" t="s">
        <v>771</v>
      </c>
      <c r="P58" s="2204" t="s">
        <v>1972</v>
      </c>
      <c r="Q58" s="2266" t="s">
        <v>771</v>
      </c>
      <c r="R58" s="2208" t="s">
        <v>2015</v>
      </c>
      <c r="S58" s="2204" t="s">
        <v>1972</v>
      </c>
      <c r="T58" s="2267" t="s">
        <v>2015</v>
      </c>
      <c r="U58" s="2205">
        <v>5</v>
      </c>
      <c r="V58" s="2204" t="s">
        <v>1972</v>
      </c>
      <c r="W58" s="2266">
        <v>5</v>
      </c>
      <c r="X58" s="2205">
        <v>31</v>
      </c>
      <c r="Y58" s="2204" t="s">
        <v>1972</v>
      </c>
      <c r="Z58" s="2265">
        <v>31</v>
      </c>
      <c r="AA58" s="2202"/>
      <c r="AB58" s="2202"/>
      <c r="AC58" s="2202"/>
      <c r="AD58" s="2303"/>
      <c r="AE58" s="2295"/>
      <c r="AF58" s="2295"/>
      <c r="AG58" s="2295"/>
      <c r="AH58" s="2295"/>
      <c r="AI58" s="2295"/>
      <c r="AJ58" s="2295"/>
      <c r="AK58" s="2295"/>
      <c r="AL58" s="2295"/>
      <c r="AM58" s="2295"/>
      <c r="AN58" s="2295"/>
      <c r="AO58" s="2295"/>
      <c r="AP58" s="2295"/>
      <c r="AQ58" s="2295"/>
      <c r="AR58" s="2295"/>
      <c r="AS58" s="2295"/>
      <c r="AT58" s="2295"/>
      <c r="AU58" s="2295"/>
      <c r="AV58" s="2295"/>
      <c r="AW58" s="2295"/>
      <c r="AX58" s="2295"/>
      <c r="AY58" s="2295"/>
      <c r="AZ58" s="2295"/>
      <c r="BA58" s="2295"/>
      <c r="BD58" s="2303"/>
      <c r="BE58" s="2295"/>
      <c r="BF58" s="2295"/>
      <c r="BG58" s="2295"/>
      <c r="BH58" s="2295"/>
      <c r="BI58" s="2295"/>
      <c r="BJ58" s="2295"/>
      <c r="BK58" s="2295"/>
      <c r="BL58" s="2295"/>
      <c r="BM58" s="2295"/>
      <c r="BN58" s="2295"/>
      <c r="BO58" s="2295"/>
      <c r="BP58" s="2295"/>
      <c r="BQ58" s="2295"/>
      <c r="BR58" s="2295"/>
      <c r="BS58" s="2295"/>
      <c r="BT58" s="2295"/>
      <c r="BU58" s="2295"/>
      <c r="BV58" s="2295"/>
      <c r="BW58" s="2295"/>
      <c r="BX58" s="2295"/>
      <c r="BY58" s="2295"/>
      <c r="BZ58" s="2295"/>
      <c r="CA58" s="2295"/>
      <c r="CB58" s="2295"/>
      <c r="CC58" s="2295"/>
      <c r="CD58" s="2295"/>
      <c r="CE58" s="2295"/>
      <c r="CF58" s="2295"/>
      <c r="CG58" s="2295"/>
      <c r="CH58" s="2295"/>
      <c r="CI58" s="2295"/>
      <c r="CJ58" s="2295"/>
      <c r="CK58" s="2295"/>
      <c r="CL58" s="2295"/>
      <c r="CM58" s="2295"/>
    </row>
    <row r="59" spans="1:91" ht="44.25">
      <c r="A59" s="2202"/>
      <c r="B59" s="2209" t="s">
        <v>874</v>
      </c>
      <c r="C59" s="2204" t="s">
        <v>1972</v>
      </c>
      <c r="D59" s="2269" t="s">
        <v>874</v>
      </c>
      <c r="E59" s="2208" t="s">
        <v>2014</v>
      </c>
      <c r="F59" s="2204" t="s">
        <v>1972</v>
      </c>
      <c r="G59" s="2270" t="s">
        <v>2014</v>
      </c>
      <c r="H59" s="2205">
        <v>6</v>
      </c>
      <c r="I59" s="2204" t="s">
        <v>1972</v>
      </c>
      <c r="J59" s="2270">
        <v>6</v>
      </c>
      <c r="K59" s="2205">
        <v>32</v>
      </c>
      <c r="L59" s="2204" t="s">
        <v>1972</v>
      </c>
      <c r="M59" s="2268">
        <v>32</v>
      </c>
      <c r="N59" s="2202"/>
      <c r="O59" s="2209" t="s">
        <v>874</v>
      </c>
      <c r="P59" s="2204" t="s">
        <v>1972</v>
      </c>
      <c r="Q59" s="2266" t="s">
        <v>874</v>
      </c>
      <c r="R59" s="2208" t="s">
        <v>2014</v>
      </c>
      <c r="S59" s="2204" t="s">
        <v>1972</v>
      </c>
      <c r="T59" s="2267" t="s">
        <v>2014</v>
      </c>
      <c r="U59" s="2205">
        <v>6</v>
      </c>
      <c r="V59" s="2204" t="s">
        <v>1972</v>
      </c>
      <c r="W59" s="2266">
        <v>6</v>
      </c>
      <c r="X59" s="2205">
        <v>32</v>
      </c>
      <c r="Y59" s="2204" t="s">
        <v>1972</v>
      </c>
      <c r="Z59" s="2265">
        <v>32</v>
      </c>
      <c r="AA59" s="2202"/>
      <c r="AB59" s="2202"/>
      <c r="AC59" s="2202"/>
      <c r="AD59" s="2325" t="s">
        <v>2074</v>
      </c>
      <c r="AE59" s="2329" t="s">
        <v>2071</v>
      </c>
      <c r="AF59" s="2330">
        <v>0</v>
      </c>
      <c r="AG59" s="2329" t="s">
        <v>2070</v>
      </c>
      <c r="AH59" s="2330">
        <v>0</v>
      </c>
      <c r="AI59" s="2329" t="s">
        <v>2069</v>
      </c>
      <c r="AJ59" s="2330">
        <v>0</v>
      </c>
      <c r="AK59" s="2329" t="s">
        <v>2068</v>
      </c>
      <c r="AL59" s="2330">
        <v>0</v>
      </c>
      <c r="AM59" s="2329" t="s">
        <v>2067</v>
      </c>
      <c r="AN59" s="2330">
        <v>0</v>
      </c>
      <c r="AO59" s="2329" t="s">
        <v>2066</v>
      </c>
      <c r="AP59" s="2330">
        <v>0</v>
      </c>
      <c r="AQ59" s="2329" t="s">
        <v>2065</v>
      </c>
      <c r="AR59" s="2330">
        <v>0</v>
      </c>
      <c r="AS59" s="2329" t="s">
        <v>2064</v>
      </c>
      <c r="AT59" s="2330">
        <v>0</v>
      </c>
      <c r="AU59" s="2329" t="s">
        <v>2063</v>
      </c>
      <c r="AV59" s="2330">
        <v>0</v>
      </c>
      <c r="AW59" s="2329" t="s">
        <v>2062</v>
      </c>
      <c r="AX59" s="2330">
        <v>0</v>
      </c>
      <c r="AY59" s="2329" t="s">
        <v>2061</v>
      </c>
      <c r="AZ59" s="2330">
        <v>0</v>
      </c>
      <c r="BA59" s="2329" t="s">
        <v>2060</v>
      </c>
      <c r="BD59" s="2303"/>
      <c r="BE59" s="2328" t="s">
        <v>2073</v>
      </c>
      <c r="BF59" s="2295"/>
      <c r="BG59" s="2295"/>
      <c r="BH59" s="2295"/>
      <c r="BI59" s="2295"/>
      <c r="BJ59" s="2295"/>
      <c r="BK59" s="2295"/>
      <c r="BL59" s="2295"/>
      <c r="BM59" s="2295"/>
      <c r="BN59" s="2295"/>
      <c r="BO59" s="2295"/>
      <c r="BP59" s="2295"/>
      <c r="BQ59" s="2295"/>
      <c r="BR59" s="2295"/>
      <c r="BS59" s="2295"/>
      <c r="BT59" s="2295"/>
      <c r="BU59" s="2295"/>
      <c r="BV59" s="2295"/>
      <c r="BW59" s="2295"/>
      <c r="BX59" s="2295"/>
      <c r="BY59" s="2295"/>
      <c r="BZ59" s="2295"/>
      <c r="CA59" s="2295"/>
      <c r="CB59" s="2295"/>
      <c r="CC59" s="2295"/>
      <c r="CD59" s="2295"/>
      <c r="CE59" s="2295"/>
      <c r="CF59" s="2295"/>
      <c r="CG59" s="2295"/>
      <c r="CH59" s="2295"/>
      <c r="CI59" s="2295"/>
      <c r="CJ59" s="2295"/>
      <c r="CK59" s="2295"/>
      <c r="CL59" s="2295"/>
      <c r="CM59" s="2295"/>
    </row>
    <row r="60" spans="1:91" ht="44.25">
      <c r="A60" s="2202"/>
      <c r="B60" s="2209" t="s">
        <v>18</v>
      </c>
      <c r="C60" s="2204" t="s">
        <v>1972</v>
      </c>
      <c r="D60" s="2269" t="s">
        <v>18</v>
      </c>
      <c r="E60" s="2208" t="s">
        <v>598</v>
      </c>
      <c r="F60" s="2204" t="s">
        <v>1972</v>
      </c>
      <c r="G60" s="2270" t="s">
        <v>598</v>
      </c>
      <c r="H60" s="2205">
        <v>7</v>
      </c>
      <c r="I60" s="2204" t="s">
        <v>1972</v>
      </c>
      <c r="J60" s="2270">
        <v>7</v>
      </c>
      <c r="K60" s="2205">
        <v>33</v>
      </c>
      <c r="L60" s="2204" t="s">
        <v>1972</v>
      </c>
      <c r="M60" s="2268">
        <v>33</v>
      </c>
      <c r="N60" s="2202"/>
      <c r="O60" s="2209" t="s">
        <v>18</v>
      </c>
      <c r="P60" s="2204" t="s">
        <v>1972</v>
      </c>
      <c r="Q60" s="2266" t="s">
        <v>18</v>
      </c>
      <c r="R60" s="2208" t="s">
        <v>598</v>
      </c>
      <c r="S60" s="2204" t="s">
        <v>1972</v>
      </c>
      <c r="T60" s="2267" t="s">
        <v>598</v>
      </c>
      <c r="U60" s="2205">
        <v>7</v>
      </c>
      <c r="V60" s="2204" t="s">
        <v>1972</v>
      </c>
      <c r="W60" s="2266">
        <v>7</v>
      </c>
      <c r="X60" s="2205">
        <v>33</v>
      </c>
      <c r="Y60" s="2204" t="s">
        <v>1972</v>
      </c>
      <c r="Z60" s="2265">
        <v>33</v>
      </c>
      <c r="AA60" s="2202"/>
      <c r="AB60" s="2202"/>
      <c r="AC60" s="2202"/>
      <c r="AD60" s="2303"/>
      <c r="AE60" s="2295"/>
      <c r="AF60" s="2295"/>
      <c r="AG60" s="2295"/>
      <c r="AH60" s="2295"/>
      <c r="AI60" s="2295"/>
      <c r="AJ60" s="2295"/>
      <c r="AK60" s="2295"/>
      <c r="AL60" s="2295"/>
      <c r="AM60" s="2295"/>
      <c r="AN60" s="2295"/>
      <c r="AO60" s="2295"/>
      <c r="AP60" s="2295"/>
      <c r="AQ60" s="2295"/>
      <c r="AR60" s="2295"/>
      <c r="AS60" s="2295"/>
      <c r="AT60" s="2295"/>
      <c r="AU60" s="2295"/>
      <c r="AV60" s="2295"/>
      <c r="AW60" s="2295"/>
      <c r="AX60" s="2295"/>
      <c r="AY60" s="2295"/>
      <c r="AZ60" s="2295"/>
      <c r="BA60" s="2295"/>
      <c r="BD60" s="4923" t="s">
        <v>2072</v>
      </c>
      <c r="BE60" s="2327" t="s">
        <v>1982</v>
      </c>
      <c r="BF60" s="2326"/>
      <c r="BG60" s="2295"/>
      <c r="BH60" s="2327" t="s">
        <v>2002</v>
      </c>
      <c r="BI60" s="2326"/>
      <c r="BJ60" s="2295"/>
      <c r="BK60" s="2327" t="s">
        <v>358</v>
      </c>
      <c r="BL60" s="2326"/>
      <c r="BM60" s="2295"/>
      <c r="BN60" s="2327" t="s">
        <v>39</v>
      </c>
      <c r="BO60" s="2326"/>
      <c r="BP60" s="2295"/>
      <c r="BQ60" s="2327" t="s">
        <v>1175</v>
      </c>
      <c r="BR60" s="2326"/>
      <c r="BS60" s="2295"/>
      <c r="BT60" s="2327" t="s">
        <v>27</v>
      </c>
      <c r="BU60" s="2326"/>
      <c r="BV60" s="2295"/>
      <c r="BW60" s="2327" t="s">
        <v>1233</v>
      </c>
      <c r="BX60" s="2326"/>
      <c r="BY60" s="2295"/>
      <c r="BZ60" s="2327" t="s">
        <v>0</v>
      </c>
      <c r="CA60" s="2326"/>
      <c r="CB60" s="2295"/>
      <c r="CC60" s="2327" t="s">
        <v>1987</v>
      </c>
      <c r="CD60" s="2326"/>
      <c r="CE60" s="2295"/>
      <c r="CF60" s="2327" t="s">
        <v>1975</v>
      </c>
      <c r="CG60" s="2326"/>
      <c r="CH60" s="2295"/>
      <c r="CI60" s="2327" t="s">
        <v>1977</v>
      </c>
      <c r="CJ60" s="2326"/>
      <c r="CK60" s="2295"/>
      <c r="CL60" s="2295"/>
      <c r="CM60" s="2295"/>
    </row>
    <row r="61" spans="1:91" ht="44.25">
      <c r="A61" s="2202"/>
      <c r="B61" s="2209" t="s">
        <v>30</v>
      </c>
      <c r="C61" s="2204" t="s">
        <v>1972</v>
      </c>
      <c r="D61" s="2269" t="s">
        <v>30</v>
      </c>
      <c r="E61" s="2208" t="s">
        <v>2013</v>
      </c>
      <c r="F61" s="2204" t="s">
        <v>1972</v>
      </c>
      <c r="G61" s="2270" t="s">
        <v>2013</v>
      </c>
      <c r="H61" s="2205">
        <v>8</v>
      </c>
      <c r="I61" s="2204" t="s">
        <v>1972</v>
      </c>
      <c r="J61" s="2270">
        <v>8</v>
      </c>
      <c r="K61" s="2205">
        <v>34</v>
      </c>
      <c r="L61" s="2204" t="s">
        <v>1972</v>
      </c>
      <c r="M61" s="2268">
        <v>34</v>
      </c>
      <c r="N61" s="2202"/>
      <c r="O61" s="2209" t="s">
        <v>30</v>
      </c>
      <c r="P61" s="2204" t="s">
        <v>1972</v>
      </c>
      <c r="Q61" s="2266" t="s">
        <v>30</v>
      </c>
      <c r="R61" s="2208" t="s">
        <v>2013</v>
      </c>
      <c r="S61" s="2204" t="s">
        <v>1972</v>
      </c>
      <c r="T61" s="2267" t="s">
        <v>2013</v>
      </c>
      <c r="U61" s="2205">
        <v>8</v>
      </c>
      <c r="V61" s="2204" t="s">
        <v>1972</v>
      </c>
      <c r="W61" s="2266">
        <v>8</v>
      </c>
      <c r="X61" s="2205">
        <v>34</v>
      </c>
      <c r="Y61" s="2204" t="s">
        <v>1972</v>
      </c>
      <c r="Z61" s="2265">
        <v>34</v>
      </c>
      <c r="AA61" s="2202"/>
      <c r="AB61" s="2202"/>
      <c r="AC61" s="2202"/>
      <c r="AD61" s="2325" t="s">
        <v>2051</v>
      </c>
      <c r="AE61" s="2323" t="s">
        <v>2071</v>
      </c>
      <c r="AF61" s="2324">
        <v>0</v>
      </c>
      <c r="AG61" s="2323" t="s">
        <v>2070</v>
      </c>
      <c r="AH61" s="2324">
        <v>0</v>
      </c>
      <c r="AI61" s="2323" t="s">
        <v>2069</v>
      </c>
      <c r="AJ61" s="2324">
        <v>0</v>
      </c>
      <c r="AK61" s="2323" t="s">
        <v>2068</v>
      </c>
      <c r="AL61" s="2324">
        <v>0</v>
      </c>
      <c r="AM61" s="2323" t="s">
        <v>2067</v>
      </c>
      <c r="AN61" s="2324">
        <v>0</v>
      </c>
      <c r="AO61" s="2323" t="s">
        <v>2066</v>
      </c>
      <c r="AP61" s="2324">
        <v>0</v>
      </c>
      <c r="AQ61" s="2323" t="s">
        <v>2065</v>
      </c>
      <c r="AR61" s="2324">
        <v>0</v>
      </c>
      <c r="AS61" s="2323" t="s">
        <v>2064</v>
      </c>
      <c r="AT61" s="2324">
        <v>0</v>
      </c>
      <c r="AU61" s="2323" t="s">
        <v>2063</v>
      </c>
      <c r="AV61" s="2324">
        <v>0</v>
      </c>
      <c r="AW61" s="2323" t="s">
        <v>2062</v>
      </c>
      <c r="AX61" s="2324">
        <v>0</v>
      </c>
      <c r="AY61" s="2323" t="s">
        <v>2061</v>
      </c>
      <c r="AZ61" s="2324">
        <v>0</v>
      </c>
      <c r="BA61" s="2323" t="s">
        <v>2060</v>
      </c>
      <c r="BD61" s="4923"/>
      <c r="BE61" s="2322" t="s">
        <v>1982</v>
      </c>
      <c r="BF61" s="2321"/>
      <c r="BG61" s="2295"/>
      <c r="BH61" s="2322" t="s">
        <v>2001</v>
      </c>
      <c r="BI61" s="2321"/>
      <c r="BJ61" s="2295"/>
      <c r="BK61" s="2322" t="s">
        <v>2000</v>
      </c>
      <c r="BL61" s="2321"/>
      <c r="BM61" s="2295"/>
      <c r="BN61" s="2322" t="s">
        <v>2017</v>
      </c>
      <c r="BO61" s="2321"/>
      <c r="BP61" s="2295"/>
      <c r="BQ61" s="2322" t="s">
        <v>2003</v>
      </c>
      <c r="BR61" s="2321"/>
      <c r="BS61" s="2295"/>
      <c r="BT61" s="2322" t="s">
        <v>2018</v>
      </c>
      <c r="BU61" s="2321"/>
      <c r="BV61" s="2295"/>
      <c r="BW61" s="2322" t="s">
        <v>2007</v>
      </c>
      <c r="BX61" s="2321"/>
      <c r="BY61" s="2295"/>
      <c r="BZ61" s="2322" t="s">
        <v>1074</v>
      </c>
      <c r="CA61" s="2321"/>
      <c r="CB61" s="2295"/>
      <c r="CC61" s="2322" t="s">
        <v>1995</v>
      </c>
      <c r="CD61" s="2321"/>
      <c r="CE61" s="2295"/>
      <c r="CF61" s="2322" t="s">
        <v>1993</v>
      </c>
      <c r="CG61" s="2321"/>
      <c r="CH61" s="2295"/>
      <c r="CI61" s="2322" t="s">
        <v>381</v>
      </c>
      <c r="CJ61" s="2321"/>
      <c r="CK61" s="2295"/>
      <c r="CL61" s="2295"/>
      <c r="CM61" s="2295"/>
    </row>
    <row r="62" spans="1:91" ht="45" thickBot="1">
      <c r="A62" s="2202"/>
      <c r="B62" s="2209" t="s">
        <v>872</v>
      </c>
      <c r="C62" s="2204" t="s">
        <v>1972</v>
      </c>
      <c r="D62" s="2269" t="s">
        <v>872</v>
      </c>
      <c r="E62" s="2208" t="s">
        <v>2012</v>
      </c>
      <c r="F62" s="2204" t="s">
        <v>1972</v>
      </c>
      <c r="G62" s="2270" t="s">
        <v>2012</v>
      </c>
      <c r="H62" s="2205">
        <v>9</v>
      </c>
      <c r="I62" s="2204" t="s">
        <v>1972</v>
      </c>
      <c r="J62" s="2270">
        <v>9</v>
      </c>
      <c r="K62" s="2205">
        <v>35</v>
      </c>
      <c r="L62" s="2204" t="s">
        <v>1972</v>
      </c>
      <c r="M62" s="2268">
        <v>35</v>
      </c>
      <c r="N62" s="2202"/>
      <c r="O62" s="2209" t="s">
        <v>872</v>
      </c>
      <c r="P62" s="2204" t="s">
        <v>1972</v>
      </c>
      <c r="Q62" s="2266" t="s">
        <v>872</v>
      </c>
      <c r="R62" s="2208" t="s">
        <v>2012</v>
      </c>
      <c r="S62" s="2204" t="s">
        <v>1972</v>
      </c>
      <c r="T62" s="2267" t="s">
        <v>2012</v>
      </c>
      <c r="U62" s="2205">
        <v>9</v>
      </c>
      <c r="V62" s="2204" t="s">
        <v>1972</v>
      </c>
      <c r="W62" s="2266">
        <v>9</v>
      </c>
      <c r="X62" s="2205">
        <v>35</v>
      </c>
      <c r="Y62" s="2204" t="s">
        <v>1972</v>
      </c>
      <c r="Z62" s="2265">
        <v>35</v>
      </c>
      <c r="AA62" s="2202"/>
      <c r="AB62" s="2202"/>
      <c r="AC62" s="2202"/>
      <c r="AD62" s="2320"/>
      <c r="AE62" s="2275"/>
      <c r="AF62" s="2275"/>
      <c r="AG62" s="2275"/>
      <c r="AH62" s="2275"/>
      <c r="AI62" s="2275"/>
      <c r="AJ62" s="2275"/>
      <c r="AK62" s="2275"/>
      <c r="AL62" s="2275"/>
      <c r="AM62" s="2275"/>
      <c r="AN62" s="2275"/>
      <c r="AO62" s="2275"/>
      <c r="AP62" s="2275"/>
      <c r="AQ62" s="2275"/>
      <c r="AR62" s="2275"/>
      <c r="AS62" s="2275"/>
      <c r="AT62" s="2275"/>
      <c r="AU62" s="2275"/>
      <c r="AV62" s="2275"/>
      <c r="AW62" s="2275"/>
      <c r="AX62" s="2275"/>
      <c r="AY62" s="2275"/>
      <c r="AZ62" s="2275"/>
      <c r="BA62" s="2275"/>
      <c r="BD62" s="2314"/>
      <c r="BE62" s="2319"/>
      <c r="BF62" s="2319"/>
      <c r="BG62" s="2295"/>
      <c r="BH62" s="2319"/>
      <c r="BI62" s="2319"/>
      <c r="BJ62" s="2295"/>
      <c r="BK62" s="2319"/>
      <c r="BL62" s="2319"/>
      <c r="BM62" s="2295"/>
      <c r="BN62" s="2319"/>
      <c r="BO62" s="2319"/>
      <c r="BP62" s="2295"/>
      <c r="BQ62" s="2319"/>
      <c r="BR62" s="2319"/>
      <c r="BS62" s="2295"/>
      <c r="BT62" s="2319"/>
      <c r="BU62" s="2319"/>
      <c r="BV62" s="2295"/>
      <c r="BW62" s="2319"/>
      <c r="BX62" s="2319"/>
      <c r="BY62" s="2295"/>
      <c r="BZ62" s="2319"/>
      <c r="CA62" s="2319"/>
      <c r="CB62" s="2295"/>
      <c r="CC62" s="2319"/>
      <c r="CD62" s="2319"/>
      <c r="CE62" s="2295"/>
      <c r="CF62" s="2319"/>
      <c r="CG62" s="2319"/>
      <c r="CH62" s="2295"/>
      <c r="CI62" s="2319"/>
      <c r="CJ62" s="2319"/>
      <c r="CK62" s="2295"/>
      <c r="CL62" s="2295"/>
      <c r="CM62" s="2295"/>
    </row>
    <row r="63" spans="1:91" ht="44.25" customHeight="1">
      <c r="A63" s="2202"/>
      <c r="B63" s="2209" t="s">
        <v>870</v>
      </c>
      <c r="C63" s="2204" t="s">
        <v>1972</v>
      </c>
      <c r="D63" s="2269" t="s">
        <v>870</v>
      </c>
      <c r="E63" s="2208" t="s">
        <v>2011</v>
      </c>
      <c r="F63" s="2204" t="s">
        <v>1972</v>
      </c>
      <c r="G63" s="2270" t="s">
        <v>2011</v>
      </c>
      <c r="H63" s="2205">
        <v>10</v>
      </c>
      <c r="I63" s="2204" t="s">
        <v>1972</v>
      </c>
      <c r="J63" s="2270">
        <v>10</v>
      </c>
      <c r="K63" s="2205">
        <v>36</v>
      </c>
      <c r="L63" s="2204" t="s">
        <v>1972</v>
      </c>
      <c r="M63" s="2268">
        <v>36</v>
      </c>
      <c r="N63" s="2202"/>
      <c r="O63" s="2209" t="s">
        <v>870</v>
      </c>
      <c r="P63" s="2204" t="s">
        <v>1972</v>
      </c>
      <c r="Q63" s="2266" t="s">
        <v>870</v>
      </c>
      <c r="R63" s="2208" t="s">
        <v>2011</v>
      </c>
      <c r="S63" s="2204" t="s">
        <v>1972</v>
      </c>
      <c r="T63" s="2267" t="s">
        <v>2011</v>
      </c>
      <c r="U63" s="2205">
        <v>10</v>
      </c>
      <c r="V63" s="2204" t="s">
        <v>1972</v>
      </c>
      <c r="W63" s="2266">
        <v>10</v>
      </c>
      <c r="X63" s="2205">
        <v>36</v>
      </c>
      <c r="Y63" s="2204" t="s">
        <v>1972</v>
      </c>
      <c r="Z63" s="2265">
        <v>36</v>
      </c>
      <c r="AA63" s="2202"/>
      <c r="AB63" s="2202"/>
      <c r="AC63" s="2202"/>
      <c r="AE63" s="4924" t="s">
        <v>2059</v>
      </c>
      <c r="AF63" s="4925"/>
      <c r="AG63" s="4925"/>
      <c r="AH63" s="4925"/>
      <c r="AI63" s="4925"/>
      <c r="AJ63" s="4925"/>
      <c r="AK63" s="4925"/>
      <c r="AL63" s="4925"/>
      <c r="AM63" s="4925"/>
      <c r="AN63" s="4925"/>
      <c r="AO63" s="4925"/>
      <c r="AP63" s="4925"/>
      <c r="AQ63" s="4925"/>
      <c r="AR63" s="4925"/>
      <c r="AS63" s="4925"/>
      <c r="AT63" s="4925"/>
      <c r="AU63" s="4926"/>
      <c r="BD63" s="4919" t="s">
        <v>2058</v>
      </c>
      <c r="BE63" s="2318" t="s">
        <v>1982</v>
      </c>
      <c r="BF63" s="2317"/>
      <c r="BG63" s="2295"/>
      <c r="BH63" s="2318" t="s">
        <v>2002</v>
      </c>
      <c r="BI63" s="2317"/>
      <c r="BJ63" s="2295"/>
      <c r="BK63" s="2318" t="s">
        <v>358</v>
      </c>
      <c r="BL63" s="2317"/>
      <c r="BM63" s="2295"/>
      <c r="BN63" s="2318" t="s">
        <v>39</v>
      </c>
      <c r="BO63" s="2317"/>
      <c r="BP63" s="2295"/>
      <c r="BQ63" s="2318" t="s">
        <v>1175</v>
      </c>
      <c r="BR63" s="2317"/>
      <c r="BS63" s="2295"/>
      <c r="BT63" s="2318" t="s">
        <v>27</v>
      </c>
      <c r="BU63" s="2317"/>
      <c r="BV63" s="2295"/>
      <c r="BW63" s="2318" t="s">
        <v>1233</v>
      </c>
      <c r="BX63" s="2317"/>
      <c r="BY63" s="2295"/>
      <c r="BZ63" s="2318" t="s">
        <v>0</v>
      </c>
      <c r="CA63" s="2317"/>
      <c r="CB63" s="2295"/>
      <c r="CC63" s="2318" t="s">
        <v>1987</v>
      </c>
      <c r="CD63" s="2317"/>
      <c r="CE63" s="2295"/>
      <c r="CF63" s="2318" t="s">
        <v>1975</v>
      </c>
      <c r="CG63" s="2317"/>
      <c r="CH63" s="2295"/>
      <c r="CI63" s="2318" t="s">
        <v>1977</v>
      </c>
      <c r="CJ63" s="2317"/>
      <c r="CK63" s="2295"/>
      <c r="CL63" s="2295"/>
      <c r="CM63" s="2295"/>
    </row>
    <row r="64" spans="1:91" ht="45" thickBot="1">
      <c r="A64" s="2202"/>
      <c r="B64" s="2209" t="s">
        <v>868</v>
      </c>
      <c r="C64" s="2204" t="s">
        <v>1972</v>
      </c>
      <c r="D64" s="2269" t="s">
        <v>868</v>
      </c>
      <c r="E64" s="2208" t="s">
        <v>2010</v>
      </c>
      <c r="F64" s="2204" t="s">
        <v>1972</v>
      </c>
      <c r="G64" s="2270" t="s">
        <v>2010</v>
      </c>
      <c r="H64" s="2205">
        <v>11</v>
      </c>
      <c r="I64" s="2204" t="s">
        <v>1972</v>
      </c>
      <c r="J64" s="2270">
        <v>11</v>
      </c>
      <c r="K64" s="2205">
        <v>37</v>
      </c>
      <c r="L64" s="2204" t="s">
        <v>1972</v>
      </c>
      <c r="M64" s="2268">
        <v>37</v>
      </c>
      <c r="N64" s="2202"/>
      <c r="O64" s="2209" t="s">
        <v>868</v>
      </c>
      <c r="P64" s="2204" t="s">
        <v>1972</v>
      </c>
      <c r="Q64" s="2266" t="s">
        <v>868</v>
      </c>
      <c r="R64" s="2208" t="s">
        <v>2010</v>
      </c>
      <c r="S64" s="2204" t="s">
        <v>1972</v>
      </c>
      <c r="T64" s="2267" t="s">
        <v>2010</v>
      </c>
      <c r="U64" s="2205">
        <v>11</v>
      </c>
      <c r="V64" s="2204" t="s">
        <v>1972</v>
      </c>
      <c r="W64" s="2266">
        <v>11</v>
      </c>
      <c r="X64" s="2205">
        <v>37</v>
      </c>
      <c r="Y64" s="2204" t="s">
        <v>1972</v>
      </c>
      <c r="Z64" s="2265">
        <v>37</v>
      </c>
      <c r="AA64" s="2202"/>
      <c r="AB64" s="2202"/>
      <c r="AC64" s="2202"/>
      <c r="AE64" s="4927"/>
      <c r="AF64" s="4928"/>
      <c r="AG64" s="4928"/>
      <c r="AH64" s="4928"/>
      <c r="AI64" s="4928"/>
      <c r="AJ64" s="4928"/>
      <c r="AK64" s="4928"/>
      <c r="AL64" s="4928"/>
      <c r="AM64" s="4928"/>
      <c r="AN64" s="4928"/>
      <c r="AO64" s="4928"/>
      <c r="AP64" s="4928"/>
      <c r="AQ64" s="4928"/>
      <c r="AR64" s="4928"/>
      <c r="AS64" s="4928"/>
      <c r="AT64" s="4928"/>
      <c r="AU64" s="4929"/>
      <c r="BD64" s="4919"/>
      <c r="BE64" s="2316" t="s">
        <v>1982</v>
      </c>
      <c r="BF64" s="2315"/>
      <c r="BG64" s="2295"/>
      <c r="BH64" s="2316" t="s">
        <v>2001</v>
      </c>
      <c r="BI64" s="2315"/>
      <c r="BJ64" s="2295"/>
      <c r="BK64" s="2316" t="s">
        <v>2000</v>
      </c>
      <c r="BL64" s="2315"/>
      <c r="BM64" s="2295"/>
      <c r="BN64" s="2316" t="s">
        <v>2017</v>
      </c>
      <c r="BO64" s="2315"/>
      <c r="BP64" s="2295"/>
      <c r="BQ64" s="2316" t="s">
        <v>2003</v>
      </c>
      <c r="BR64" s="2315"/>
      <c r="BS64" s="2295"/>
      <c r="BT64" s="2316" t="s">
        <v>2018</v>
      </c>
      <c r="BU64" s="2315"/>
      <c r="BV64" s="2295"/>
      <c r="BW64" s="2316" t="s">
        <v>2007</v>
      </c>
      <c r="BX64" s="2315"/>
      <c r="BY64" s="2295"/>
      <c r="BZ64" s="2316" t="s">
        <v>1074</v>
      </c>
      <c r="CA64" s="2315"/>
      <c r="CB64" s="2295"/>
      <c r="CC64" s="2316" t="s">
        <v>1995</v>
      </c>
      <c r="CD64" s="2315"/>
      <c r="CE64" s="2295"/>
      <c r="CF64" s="2316" t="s">
        <v>1993</v>
      </c>
      <c r="CG64" s="2315"/>
      <c r="CH64" s="2295"/>
      <c r="CI64" s="2316" t="s">
        <v>381</v>
      </c>
      <c r="CJ64" s="2315"/>
      <c r="CK64" s="2295"/>
      <c r="CL64" s="2295"/>
      <c r="CM64" s="2295"/>
    </row>
    <row r="65" spans="1:91" ht="44.25">
      <c r="A65" s="2202"/>
      <c r="B65" s="2209" t="s">
        <v>642</v>
      </c>
      <c r="C65" s="2204" t="s">
        <v>1972</v>
      </c>
      <c r="D65" s="2269" t="s">
        <v>642</v>
      </c>
      <c r="E65" s="2208" t="s">
        <v>2009</v>
      </c>
      <c r="F65" s="2204" t="s">
        <v>1972</v>
      </c>
      <c r="G65" s="2270" t="s">
        <v>2009</v>
      </c>
      <c r="H65" s="2205">
        <v>12</v>
      </c>
      <c r="I65" s="2204" t="s">
        <v>1972</v>
      </c>
      <c r="J65" s="2270">
        <v>12</v>
      </c>
      <c r="K65" s="2205">
        <v>38</v>
      </c>
      <c r="L65" s="2204" t="s">
        <v>1972</v>
      </c>
      <c r="M65" s="2268">
        <v>38</v>
      </c>
      <c r="N65" s="2202"/>
      <c r="O65" s="2209" t="s">
        <v>642</v>
      </c>
      <c r="P65" s="2204" t="s">
        <v>1972</v>
      </c>
      <c r="Q65" s="2266" t="s">
        <v>642</v>
      </c>
      <c r="R65" s="2208" t="s">
        <v>2009</v>
      </c>
      <c r="S65" s="2204" t="s">
        <v>1972</v>
      </c>
      <c r="T65" s="2267" t="s">
        <v>2009</v>
      </c>
      <c r="U65" s="2205">
        <v>12</v>
      </c>
      <c r="V65" s="2204" t="s">
        <v>1972</v>
      </c>
      <c r="W65" s="2266">
        <v>12</v>
      </c>
      <c r="X65" s="2205">
        <v>38</v>
      </c>
      <c r="Y65" s="2204" t="s">
        <v>1972</v>
      </c>
      <c r="Z65" s="2265">
        <v>38</v>
      </c>
      <c r="AA65" s="2202"/>
      <c r="AB65" s="2202"/>
      <c r="AC65" s="2202"/>
      <c r="AE65" s="987"/>
      <c r="AF65" s="987"/>
      <c r="AG65" s="987"/>
      <c r="AH65" s="987"/>
      <c r="AI65" s="987"/>
      <c r="AJ65" s="987"/>
      <c r="AK65" s="987"/>
      <c r="AL65" s="987"/>
      <c r="AM65" s="987"/>
      <c r="AN65" s="987"/>
      <c r="AO65" s="987"/>
      <c r="AP65" s="987"/>
      <c r="BD65" s="2314"/>
      <c r="BE65" s="2295"/>
      <c r="BF65" s="2295"/>
      <c r="BG65" s="2295"/>
      <c r="BH65" s="2295"/>
      <c r="BI65" s="2295"/>
      <c r="BJ65" s="2295"/>
      <c r="BK65" s="2295"/>
      <c r="BL65" s="2295"/>
      <c r="BM65" s="2295"/>
      <c r="BN65" s="2295"/>
      <c r="BO65" s="2295"/>
      <c r="BP65" s="2295"/>
      <c r="BQ65" s="2295"/>
      <c r="BR65" s="2295"/>
      <c r="BS65" s="2295"/>
      <c r="BT65" s="2295"/>
      <c r="BU65" s="2295"/>
      <c r="BV65" s="2295"/>
      <c r="BW65" s="2295"/>
      <c r="BX65" s="2295"/>
      <c r="BY65" s="2295"/>
      <c r="BZ65" s="2295"/>
      <c r="CA65" s="2295"/>
      <c r="CB65" s="2295"/>
      <c r="CC65" s="2295"/>
      <c r="CD65" s="2295"/>
      <c r="CE65" s="2295"/>
      <c r="CF65" s="2295"/>
      <c r="CG65" s="2295"/>
      <c r="CH65" s="2295"/>
      <c r="CI65" s="2295"/>
      <c r="CJ65" s="2295"/>
      <c r="CK65" s="2295"/>
      <c r="CL65" s="2295"/>
      <c r="CM65" s="2295"/>
    </row>
    <row r="66" spans="1:91" ht="44.25" customHeight="1">
      <c r="A66" s="2202"/>
      <c r="B66" s="2209" t="s">
        <v>53</v>
      </c>
      <c r="C66" s="2204" t="s">
        <v>1972</v>
      </c>
      <c r="D66" s="2269" t="s">
        <v>53</v>
      </c>
      <c r="E66" s="2208" t="s">
        <v>2008</v>
      </c>
      <c r="F66" s="2204" t="s">
        <v>1972</v>
      </c>
      <c r="G66" s="2270" t="s">
        <v>2008</v>
      </c>
      <c r="H66" s="2205">
        <v>13</v>
      </c>
      <c r="I66" s="2204" t="s">
        <v>1972</v>
      </c>
      <c r="J66" s="2270">
        <v>13</v>
      </c>
      <c r="K66" s="2205">
        <v>39</v>
      </c>
      <c r="L66" s="2204" t="s">
        <v>1972</v>
      </c>
      <c r="M66" s="2268">
        <v>39</v>
      </c>
      <c r="N66" s="2202"/>
      <c r="O66" s="2209" t="s">
        <v>53</v>
      </c>
      <c r="P66" s="2204" t="s">
        <v>1972</v>
      </c>
      <c r="Q66" s="2266" t="s">
        <v>53</v>
      </c>
      <c r="R66" s="2208" t="s">
        <v>2008</v>
      </c>
      <c r="S66" s="2204" t="s">
        <v>1972</v>
      </c>
      <c r="T66" s="2267" t="s">
        <v>2008</v>
      </c>
      <c r="U66" s="2205">
        <v>13</v>
      </c>
      <c r="V66" s="2204" t="s">
        <v>1972</v>
      </c>
      <c r="W66" s="2266">
        <v>13</v>
      </c>
      <c r="X66" s="2205">
        <v>39</v>
      </c>
      <c r="Y66" s="2204" t="s">
        <v>1972</v>
      </c>
      <c r="Z66" s="2265">
        <v>39</v>
      </c>
      <c r="AA66" s="2202"/>
      <c r="AB66" s="2202"/>
      <c r="AC66" s="2202"/>
      <c r="AE66" s="4910" t="s">
        <v>2057</v>
      </c>
      <c r="AF66" s="4911"/>
      <c r="AG66" s="4911"/>
      <c r="AH66" s="4911"/>
      <c r="AI66" s="4911"/>
      <c r="AJ66" s="4911"/>
      <c r="AK66" s="4911"/>
      <c r="AL66" s="4911"/>
      <c r="AM66" s="4911"/>
      <c r="AN66" s="4911"/>
      <c r="AO66" s="4911"/>
      <c r="AP66" s="4911"/>
      <c r="AQ66" s="4912"/>
      <c r="AS66" s="2311" t="s">
        <v>441</v>
      </c>
      <c r="AU66" s="2311" t="s">
        <v>440</v>
      </c>
      <c r="BD66" s="4919" t="s">
        <v>2056</v>
      </c>
      <c r="BE66" s="2313" t="s">
        <v>1982</v>
      </c>
      <c r="BF66" s="2312"/>
      <c r="BG66" s="2295"/>
      <c r="BH66" s="2313" t="s">
        <v>2002</v>
      </c>
      <c r="BI66" s="2312"/>
      <c r="BJ66" s="2295"/>
      <c r="BK66" s="2313" t="s">
        <v>358</v>
      </c>
      <c r="BL66" s="2312"/>
      <c r="BM66" s="2295"/>
      <c r="BN66" s="2313" t="s">
        <v>39</v>
      </c>
      <c r="BO66" s="2312"/>
      <c r="BP66" s="2295"/>
      <c r="BQ66" s="2313" t="s">
        <v>1175</v>
      </c>
      <c r="BR66" s="2312"/>
      <c r="BS66" s="2295"/>
      <c r="BT66" s="2313" t="s">
        <v>27</v>
      </c>
      <c r="BU66" s="2312"/>
      <c r="BV66" s="2295"/>
      <c r="BW66" s="2313" t="s">
        <v>1233</v>
      </c>
      <c r="BX66" s="2312"/>
      <c r="BY66" s="2295"/>
      <c r="BZ66" s="2313" t="s">
        <v>0</v>
      </c>
      <c r="CA66" s="2312"/>
      <c r="CB66" s="2295"/>
      <c r="CC66" s="2313" t="s">
        <v>1987</v>
      </c>
      <c r="CD66" s="2312"/>
      <c r="CE66" s="2295"/>
      <c r="CF66" s="2313" t="s">
        <v>1975</v>
      </c>
      <c r="CG66" s="2312"/>
      <c r="CH66" s="2295"/>
      <c r="CI66" s="2313" t="s">
        <v>1977</v>
      </c>
      <c r="CJ66" s="2312"/>
      <c r="CK66" s="2295"/>
      <c r="CL66" s="2295"/>
      <c r="CM66" s="2295"/>
    </row>
    <row r="67" spans="1:91" ht="44.25">
      <c r="A67" s="2202"/>
      <c r="B67" s="2209" t="s">
        <v>1233</v>
      </c>
      <c r="C67" s="2204" t="s">
        <v>1972</v>
      </c>
      <c r="D67" s="2269" t="s">
        <v>1233</v>
      </c>
      <c r="E67" s="2208" t="s">
        <v>2007</v>
      </c>
      <c r="F67" s="2204" t="s">
        <v>1972</v>
      </c>
      <c r="G67" s="2270" t="s">
        <v>2007</v>
      </c>
      <c r="H67" s="2205">
        <v>14</v>
      </c>
      <c r="I67" s="2204" t="s">
        <v>1972</v>
      </c>
      <c r="J67" s="2270">
        <v>14</v>
      </c>
      <c r="K67" s="2205">
        <v>40</v>
      </c>
      <c r="L67" s="2204" t="s">
        <v>1972</v>
      </c>
      <c r="M67" s="2268">
        <v>40</v>
      </c>
      <c r="N67" s="2202"/>
      <c r="O67" s="2209" t="s">
        <v>1233</v>
      </c>
      <c r="P67" s="2204" t="s">
        <v>1972</v>
      </c>
      <c r="Q67" s="2266" t="s">
        <v>1233</v>
      </c>
      <c r="R67" s="2208" t="s">
        <v>2007</v>
      </c>
      <c r="S67" s="2204" t="s">
        <v>1972</v>
      </c>
      <c r="T67" s="2267" t="s">
        <v>2007</v>
      </c>
      <c r="U67" s="2205">
        <v>14</v>
      </c>
      <c r="V67" s="2204" t="s">
        <v>1972</v>
      </c>
      <c r="W67" s="2266">
        <v>14</v>
      </c>
      <c r="X67" s="2205">
        <v>40</v>
      </c>
      <c r="Y67" s="2204" t="s">
        <v>1972</v>
      </c>
      <c r="Z67" s="2265">
        <v>40</v>
      </c>
      <c r="AA67" s="2202"/>
      <c r="AB67" s="2202"/>
      <c r="AC67" s="2202"/>
      <c r="AE67" s="4913"/>
      <c r="AF67" s="4914"/>
      <c r="AG67" s="4914"/>
      <c r="AH67" s="4914"/>
      <c r="AI67" s="4914"/>
      <c r="AJ67" s="4914"/>
      <c r="AK67" s="4914"/>
      <c r="AL67" s="4914"/>
      <c r="AM67" s="4914"/>
      <c r="AN67" s="4914"/>
      <c r="AO67" s="4914"/>
      <c r="AP67" s="4914"/>
      <c r="AQ67" s="4915"/>
      <c r="AS67" s="2311" t="s">
        <v>2055</v>
      </c>
      <c r="AU67" s="2311" t="s">
        <v>2054</v>
      </c>
      <c r="BD67" s="4919"/>
      <c r="BE67" s="2310" t="s">
        <v>1982</v>
      </c>
      <c r="BF67" s="2309"/>
      <c r="BG67" s="2295"/>
      <c r="BH67" s="2310" t="s">
        <v>2001</v>
      </c>
      <c r="BI67" s="2309"/>
      <c r="BJ67" s="2295"/>
      <c r="BK67" s="2310" t="s">
        <v>2000</v>
      </c>
      <c r="BL67" s="2309"/>
      <c r="BM67" s="2295"/>
      <c r="BN67" s="2310" t="s">
        <v>2017</v>
      </c>
      <c r="BO67" s="2309"/>
      <c r="BP67" s="2295"/>
      <c r="BQ67" s="2310" t="s">
        <v>2003</v>
      </c>
      <c r="BR67" s="2309"/>
      <c r="BS67" s="2295"/>
      <c r="BT67" s="2310" t="s">
        <v>2018</v>
      </c>
      <c r="BU67" s="2309"/>
      <c r="BV67" s="2295"/>
      <c r="BW67" s="2310" t="s">
        <v>2007</v>
      </c>
      <c r="BX67" s="2309"/>
      <c r="BY67" s="2295"/>
      <c r="BZ67" s="2310" t="s">
        <v>1074</v>
      </c>
      <c r="CA67" s="2309"/>
      <c r="CB67" s="2295"/>
      <c r="CC67" s="2310" t="s">
        <v>1995</v>
      </c>
      <c r="CD67" s="2309"/>
      <c r="CE67" s="2295"/>
      <c r="CF67" s="2310" t="s">
        <v>1993</v>
      </c>
      <c r="CG67" s="2309"/>
      <c r="CH67" s="2295"/>
      <c r="CI67" s="2310" t="s">
        <v>381</v>
      </c>
      <c r="CJ67" s="2309"/>
      <c r="CK67" s="2295"/>
      <c r="CL67" s="2295"/>
      <c r="CM67" s="2295"/>
    </row>
    <row r="68" spans="1:91" ht="44.25">
      <c r="A68" s="2202"/>
      <c r="B68" s="2209" t="s">
        <v>1225</v>
      </c>
      <c r="C68" s="2204" t="s">
        <v>1972</v>
      </c>
      <c r="D68" s="2269" t="s">
        <v>1225</v>
      </c>
      <c r="E68" s="2208" t="s">
        <v>2006</v>
      </c>
      <c r="F68" s="2204" t="s">
        <v>1972</v>
      </c>
      <c r="G68" s="2270" t="s">
        <v>2006</v>
      </c>
      <c r="H68" s="2205">
        <v>15</v>
      </c>
      <c r="I68" s="2204" t="s">
        <v>1972</v>
      </c>
      <c r="J68" s="2270">
        <v>15</v>
      </c>
      <c r="K68" s="2205">
        <v>41</v>
      </c>
      <c r="L68" s="2204" t="s">
        <v>1972</v>
      </c>
      <c r="M68" s="2268">
        <v>41</v>
      </c>
      <c r="N68" s="2202"/>
      <c r="O68" s="2209" t="s">
        <v>1225</v>
      </c>
      <c r="P68" s="2204" t="s">
        <v>1972</v>
      </c>
      <c r="Q68" s="2266" t="s">
        <v>1225</v>
      </c>
      <c r="R68" s="2208" t="s">
        <v>2006</v>
      </c>
      <c r="S68" s="2204" t="s">
        <v>1972</v>
      </c>
      <c r="T68" s="2267" t="s">
        <v>2006</v>
      </c>
      <c r="U68" s="2205">
        <v>15</v>
      </c>
      <c r="V68" s="2204" t="s">
        <v>1972</v>
      </c>
      <c r="W68" s="2266">
        <v>15</v>
      </c>
      <c r="X68" s="2205">
        <v>41</v>
      </c>
      <c r="Y68" s="2204" t="s">
        <v>1972</v>
      </c>
      <c r="Z68" s="2265">
        <v>41</v>
      </c>
      <c r="AA68" s="2202"/>
      <c r="AB68" s="2202"/>
      <c r="AC68" s="2202"/>
      <c r="AE68" s="4916"/>
      <c r="AF68" s="4917"/>
      <c r="AG68" s="4917"/>
      <c r="AH68" s="4917"/>
      <c r="AI68" s="4917"/>
      <c r="AJ68" s="4917"/>
      <c r="AK68" s="4917"/>
      <c r="AL68" s="4917"/>
      <c r="AM68" s="4917"/>
      <c r="AN68" s="4917"/>
      <c r="AO68" s="4917"/>
      <c r="AP68" s="4917"/>
      <c r="AQ68" s="4918"/>
      <c r="AS68" s="2257"/>
      <c r="BD68" s="2303"/>
      <c r="BE68" s="2295"/>
      <c r="BF68" s="2295"/>
      <c r="BG68" s="2295"/>
      <c r="BH68" s="2295"/>
      <c r="BI68" s="2295"/>
      <c r="BJ68" s="2295"/>
      <c r="BK68" s="2295"/>
      <c r="BL68" s="2295"/>
      <c r="BM68" s="2295"/>
      <c r="BN68" s="2295"/>
      <c r="BO68" s="2295"/>
      <c r="BP68" s="2295"/>
      <c r="BQ68" s="2295"/>
      <c r="BR68" s="2295"/>
      <c r="BS68" s="2295"/>
      <c r="BT68" s="2295"/>
      <c r="BU68" s="2295"/>
      <c r="BV68" s="2295"/>
      <c r="BW68" s="2295"/>
      <c r="BX68" s="2295"/>
      <c r="BY68" s="2295"/>
      <c r="BZ68" s="2295"/>
      <c r="CA68" s="2295"/>
      <c r="CB68" s="2295"/>
      <c r="CC68" s="2295"/>
      <c r="CD68" s="2295"/>
      <c r="CE68" s="2295"/>
      <c r="CF68" s="2295"/>
      <c r="CG68" s="2295"/>
      <c r="CH68" s="2295"/>
      <c r="CI68" s="2295"/>
      <c r="CJ68" s="2295"/>
      <c r="CK68" s="2295"/>
      <c r="CL68" s="2295"/>
      <c r="CM68" s="2295"/>
    </row>
    <row r="69" spans="1:91" ht="44.25">
      <c r="A69" s="2202"/>
      <c r="B69" s="2209" t="s">
        <v>54</v>
      </c>
      <c r="C69" s="2204" t="s">
        <v>1972</v>
      </c>
      <c r="D69" s="2269" t="s">
        <v>54</v>
      </c>
      <c r="E69" s="2208" t="s">
        <v>342</v>
      </c>
      <c r="F69" s="2204" t="s">
        <v>1972</v>
      </c>
      <c r="G69" s="2270" t="s">
        <v>342</v>
      </c>
      <c r="H69" s="2205">
        <v>16</v>
      </c>
      <c r="I69" s="2204" t="s">
        <v>1972</v>
      </c>
      <c r="J69" s="2270">
        <v>16</v>
      </c>
      <c r="K69" s="2205">
        <v>42</v>
      </c>
      <c r="L69" s="2204" t="s">
        <v>1972</v>
      </c>
      <c r="M69" s="2268">
        <v>42</v>
      </c>
      <c r="N69" s="2202"/>
      <c r="O69" s="2209" t="s">
        <v>54</v>
      </c>
      <c r="P69" s="2204" t="s">
        <v>1972</v>
      </c>
      <c r="Q69" s="2266" t="s">
        <v>54</v>
      </c>
      <c r="R69" s="2208" t="s">
        <v>342</v>
      </c>
      <c r="S69" s="2204" t="s">
        <v>1972</v>
      </c>
      <c r="T69" s="2267" t="s">
        <v>342</v>
      </c>
      <c r="U69" s="2205">
        <v>16</v>
      </c>
      <c r="V69" s="2204" t="s">
        <v>1972</v>
      </c>
      <c r="W69" s="2266">
        <v>16</v>
      </c>
      <c r="X69" s="2205">
        <v>42</v>
      </c>
      <c r="Y69" s="2204" t="s">
        <v>1972</v>
      </c>
      <c r="Z69" s="2265">
        <v>42</v>
      </c>
      <c r="AA69" s="2202"/>
      <c r="AB69" s="2202"/>
      <c r="AC69" s="2202"/>
      <c r="AE69" s="987"/>
      <c r="AF69" s="987"/>
      <c r="AG69" s="987"/>
      <c r="AH69" s="987"/>
      <c r="AI69" s="987"/>
      <c r="AJ69" s="987"/>
      <c r="AK69" s="987"/>
      <c r="AL69" s="987"/>
      <c r="AM69" s="987"/>
      <c r="AN69" s="987"/>
      <c r="AO69" s="987"/>
      <c r="AP69" s="987"/>
      <c r="BD69" s="4919" t="s">
        <v>2053</v>
      </c>
      <c r="BE69" s="2308" t="s">
        <v>1982</v>
      </c>
      <c r="BF69" s="2307"/>
      <c r="BG69" s="2295"/>
      <c r="BH69" s="2308" t="s">
        <v>2002</v>
      </c>
      <c r="BI69" s="2307"/>
      <c r="BJ69" s="2295"/>
      <c r="BK69" s="2308" t="s">
        <v>358</v>
      </c>
      <c r="BL69" s="2307"/>
      <c r="BM69" s="2295"/>
      <c r="BN69" s="2308" t="s">
        <v>39</v>
      </c>
      <c r="BO69" s="2307"/>
      <c r="BP69" s="2295"/>
      <c r="BQ69" s="2308" t="s">
        <v>1175</v>
      </c>
      <c r="BR69" s="2307"/>
      <c r="BS69" s="2295"/>
      <c r="BT69" s="2308" t="s">
        <v>27</v>
      </c>
      <c r="BU69" s="2307"/>
      <c r="BV69" s="2295"/>
      <c r="BW69" s="2308" t="s">
        <v>1233</v>
      </c>
      <c r="BX69" s="2307"/>
      <c r="BY69" s="2295"/>
      <c r="BZ69" s="2308" t="s">
        <v>0</v>
      </c>
      <c r="CA69" s="2307"/>
      <c r="CB69" s="2295"/>
      <c r="CC69" s="2308" t="s">
        <v>1987</v>
      </c>
      <c r="CD69" s="2307"/>
      <c r="CE69" s="2295"/>
      <c r="CF69" s="2308" t="s">
        <v>1975</v>
      </c>
      <c r="CG69" s="2307"/>
      <c r="CH69" s="2295"/>
      <c r="CI69" s="2308" t="s">
        <v>1977</v>
      </c>
      <c r="CJ69" s="2307"/>
      <c r="CK69" s="2295"/>
      <c r="CL69" s="2295"/>
      <c r="CM69" s="2295"/>
    </row>
    <row r="70" spans="1:91" ht="44.25">
      <c r="A70" s="2202"/>
      <c r="B70" s="2209" t="s">
        <v>1443</v>
      </c>
      <c r="C70" s="2204" t="s">
        <v>1972</v>
      </c>
      <c r="D70" s="2269" t="s">
        <v>1443</v>
      </c>
      <c r="E70" s="2208" t="s">
        <v>343</v>
      </c>
      <c r="F70" s="2204" t="s">
        <v>1972</v>
      </c>
      <c r="G70" s="2270" t="s">
        <v>343</v>
      </c>
      <c r="H70" s="2205">
        <v>17</v>
      </c>
      <c r="I70" s="2204" t="s">
        <v>1972</v>
      </c>
      <c r="J70" s="2270">
        <v>17</v>
      </c>
      <c r="K70" s="2205">
        <v>43</v>
      </c>
      <c r="L70" s="2204" t="s">
        <v>1972</v>
      </c>
      <c r="M70" s="2268">
        <v>43</v>
      </c>
      <c r="N70" s="2202"/>
      <c r="O70" s="2209" t="s">
        <v>1443</v>
      </c>
      <c r="P70" s="2204" t="s">
        <v>1972</v>
      </c>
      <c r="Q70" s="2266" t="s">
        <v>1443</v>
      </c>
      <c r="R70" s="2208" t="s">
        <v>343</v>
      </c>
      <c r="S70" s="2204" t="s">
        <v>1972</v>
      </c>
      <c r="T70" s="2267" t="s">
        <v>343</v>
      </c>
      <c r="U70" s="2205">
        <v>17</v>
      </c>
      <c r="V70" s="2204" t="s">
        <v>1972</v>
      </c>
      <c r="W70" s="2266">
        <v>17</v>
      </c>
      <c r="X70" s="2205">
        <v>43</v>
      </c>
      <c r="Y70" s="2204" t="s">
        <v>1972</v>
      </c>
      <c r="Z70" s="2265">
        <v>43</v>
      </c>
      <c r="AA70" s="2202"/>
      <c r="AB70" s="2202"/>
      <c r="AC70" s="2202"/>
      <c r="AF70" s="2306"/>
      <c r="AG70" s="4920" t="s">
        <v>2052</v>
      </c>
      <c r="AH70" s="4920"/>
      <c r="AI70" s="4920"/>
      <c r="AJ70" s="4920"/>
      <c r="AK70" s="4920"/>
      <c r="AL70" s="4920"/>
      <c r="AM70" s="4920"/>
      <c r="AN70" s="4920"/>
      <c r="AO70" s="4920"/>
      <c r="AP70" s="4920"/>
      <c r="AQ70" s="4920"/>
      <c r="AR70" s="4920"/>
      <c r="AS70" s="4920"/>
      <c r="AT70" s="4920"/>
      <c r="AU70" s="4920"/>
      <c r="BD70" s="4919"/>
      <c r="BE70" s="2305" t="s">
        <v>1982</v>
      </c>
      <c r="BF70" s="2304"/>
      <c r="BG70" s="2295"/>
      <c r="BH70" s="2305" t="s">
        <v>2001</v>
      </c>
      <c r="BI70" s="2304"/>
      <c r="BJ70" s="2295"/>
      <c r="BK70" s="2305" t="s">
        <v>2000</v>
      </c>
      <c r="BL70" s="2304"/>
      <c r="BM70" s="2295"/>
      <c r="BN70" s="2305" t="s">
        <v>2017</v>
      </c>
      <c r="BO70" s="2304"/>
      <c r="BP70" s="2295"/>
      <c r="BQ70" s="2305" t="s">
        <v>2003</v>
      </c>
      <c r="BR70" s="2304"/>
      <c r="BS70" s="2295"/>
      <c r="BT70" s="2305" t="s">
        <v>2018</v>
      </c>
      <c r="BU70" s="2304"/>
      <c r="BV70" s="2295"/>
      <c r="BW70" s="2305" t="s">
        <v>2007</v>
      </c>
      <c r="BX70" s="2304"/>
      <c r="BY70" s="2295"/>
      <c r="BZ70" s="2305" t="s">
        <v>1074</v>
      </c>
      <c r="CA70" s="2304"/>
      <c r="CB70" s="2295"/>
      <c r="CC70" s="2305" t="s">
        <v>1995</v>
      </c>
      <c r="CD70" s="2304"/>
      <c r="CE70" s="2295"/>
      <c r="CF70" s="2305" t="s">
        <v>1993</v>
      </c>
      <c r="CG70" s="2304"/>
      <c r="CH70" s="2295"/>
      <c r="CI70" s="2305" t="s">
        <v>381</v>
      </c>
      <c r="CJ70" s="2304"/>
      <c r="CK70" s="2295"/>
      <c r="CL70" s="2295"/>
      <c r="CM70" s="2295"/>
    </row>
    <row r="71" spans="1:91" ht="44.25">
      <c r="A71" s="2202"/>
      <c r="B71" s="2209" t="s">
        <v>1291</v>
      </c>
      <c r="C71" s="2204" t="s">
        <v>1972</v>
      </c>
      <c r="D71" s="2269" t="s">
        <v>1291</v>
      </c>
      <c r="E71" s="2208" t="s">
        <v>2005</v>
      </c>
      <c r="F71" s="2204" t="s">
        <v>1972</v>
      </c>
      <c r="G71" s="2270" t="s">
        <v>2005</v>
      </c>
      <c r="H71" s="2205">
        <v>18</v>
      </c>
      <c r="I71" s="2204" t="s">
        <v>1972</v>
      </c>
      <c r="J71" s="2270">
        <v>18</v>
      </c>
      <c r="K71" s="2205">
        <v>44</v>
      </c>
      <c r="L71" s="2204" t="s">
        <v>1972</v>
      </c>
      <c r="M71" s="2268">
        <v>44</v>
      </c>
      <c r="N71" s="2202"/>
      <c r="O71" s="2209" t="s">
        <v>1291</v>
      </c>
      <c r="P71" s="2204" t="s">
        <v>1972</v>
      </c>
      <c r="Q71" s="2266" t="s">
        <v>1291</v>
      </c>
      <c r="R71" s="2208" t="s">
        <v>2005</v>
      </c>
      <c r="S71" s="2204" t="s">
        <v>1972</v>
      </c>
      <c r="T71" s="2267" t="s">
        <v>2005</v>
      </c>
      <c r="U71" s="2205">
        <v>18</v>
      </c>
      <c r="V71" s="2204" t="s">
        <v>1972</v>
      </c>
      <c r="W71" s="2266">
        <v>18</v>
      </c>
      <c r="X71" s="2205">
        <v>44</v>
      </c>
      <c r="Y71" s="2204" t="s">
        <v>1972</v>
      </c>
      <c r="Z71" s="2265">
        <v>44</v>
      </c>
      <c r="AA71" s="2202"/>
      <c r="AB71" s="2202"/>
      <c r="AC71" s="2202"/>
      <c r="AE71" s="987"/>
      <c r="AF71" s="987"/>
      <c r="AG71" s="987"/>
      <c r="AH71" s="987"/>
      <c r="AI71" s="987"/>
      <c r="AJ71" s="987"/>
      <c r="AK71" s="987"/>
      <c r="AL71" s="987"/>
      <c r="AM71" s="987"/>
      <c r="AN71" s="987"/>
      <c r="AO71" s="987"/>
      <c r="AP71" s="987"/>
      <c r="BD71" s="2303"/>
      <c r="BE71" s="2295"/>
      <c r="BF71" s="2295"/>
      <c r="BG71" s="2295"/>
      <c r="BH71" s="2295"/>
      <c r="BI71" s="2295"/>
      <c r="BJ71" s="2295"/>
      <c r="BK71" s="2295"/>
      <c r="BL71" s="2295"/>
      <c r="BM71" s="2295"/>
      <c r="BN71" s="2295"/>
      <c r="BO71" s="2295"/>
      <c r="BP71" s="2295"/>
      <c r="BQ71" s="2295"/>
      <c r="BR71" s="2295"/>
      <c r="BS71" s="2295"/>
      <c r="BT71" s="2295"/>
      <c r="BU71" s="2295"/>
      <c r="BV71" s="2295"/>
      <c r="BW71" s="2295"/>
      <c r="BX71" s="2295"/>
      <c r="BY71" s="2295"/>
      <c r="BZ71" s="2295"/>
      <c r="CA71" s="2295"/>
      <c r="CB71" s="2295"/>
      <c r="CC71" s="2295"/>
      <c r="CD71" s="2295"/>
      <c r="CE71" s="2295"/>
      <c r="CF71" s="2295"/>
      <c r="CG71" s="2295"/>
      <c r="CH71" s="2295"/>
      <c r="CI71" s="2295"/>
      <c r="CJ71" s="2295"/>
      <c r="CK71" s="2295"/>
      <c r="CL71" s="2295"/>
      <c r="CM71" s="2295"/>
    </row>
    <row r="72" spans="1:91" ht="44.25">
      <c r="A72" s="2202"/>
      <c r="B72" s="2209" t="s">
        <v>31</v>
      </c>
      <c r="C72" s="2204" t="s">
        <v>1972</v>
      </c>
      <c r="D72" s="2269" t="s">
        <v>31</v>
      </c>
      <c r="E72" s="2208" t="s">
        <v>2004</v>
      </c>
      <c r="F72" s="2204" t="s">
        <v>1972</v>
      </c>
      <c r="G72" s="2270" t="s">
        <v>2004</v>
      </c>
      <c r="H72" s="2205">
        <v>19</v>
      </c>
      <c r="I72" s="2204" t="s">
        <v>1972</v>
      </c>
      <c r="J72" s="2270">
        <v>19</v>
      </c>
      <c r="K72" s="2205">
        <v>45</v>
      </c>
      <c r="L72" s="2204" t="s">
        <v>1972</v>
      </c>
      <c r="M72" s="2268">
        <v>45</v>
      </c>
      <c r="N72" s="2202"/>
      <c r="O72" s="2209" t="s">
        <v>31</v>
      </c>
      <c r="P72" s="2204" t="s">
        <v>1972</v>
      </c>
      <c r="Q72" s="2266" t="s">
        <v>31</v>
      </c>
      <c r="R72" s="2208" t="s">
        <v>2004</v>
      </c>
      <c r="S72" s="2204" t="s">
        <v>1972</v>
      </c>
      <c r="T72" s="2267" t="s">
        <v>2004</v>
      </c>
      <c r="U72" s="2205">
        <v>19</v>
      </c>
      <c r="V72" s="2204" t="s">
        <v>1972</v>
      </c>
      <c r="W72" s="2266">
        <v>19</v>
      </c>
      <c r="X72" s="2205">
        <v>45</v>
      </c>
      <c r="Y72" s="2204" t="s">
        <v>1972</v>
      </c>
      <c r="Z72" s="2265">
        <v>45</v>
      </c>
      <c r="AA72" s="2202"/>
      <c r="AB72" s="2202"/>
      <c r="AC72" s="2202"/>
      <c r="AG72" s="2302" t="s">
        <v>422</v>
      </c>
      <c r="AI72" s="2301" t="s">
        <v>602</v>
      </c>
      <c r="AJ72" s="2257"/>
      <c r="AK72" s="2259" t="s">
        <v>422</v>
      </c>
      <c r="AM72" s="2262" t="s">
        <v>602</v>
      </c>
      <c r="AO72" s="2300" t="s">
        <v>602</v>
      </c>
      <c r="AQ72" s="2256" t="s">
        <v>422</v>
      </c>
      <c r="AS72" s="2255" t="s">
        <v>422</v>
      </c>
      <c r="AU72" s="2254" t="s">
        <v>422</v>
      </c>
      <c r="BD72" s="4919" t="s">
        <v>2051</v>
      </c>
      <c r="BE72" s="2299" t="s">
        <v>1982</v>
      </c>
      <c r="BF72" s="2298"/>
      <c r="BG72" s="2295"/>
      <c r="BH72" s="2299" t="s">
        <v>2002</v>
      </c>
      <c r="BI72" s="2298"/>
      <c r="BJ72" s="2295"/>
      <c r="BK72" s="2299" t="s">
        <v>358</v>
      </c>
      <c r="BL72" s="2298"/>
      <c r="BM72" s="2295"/>
      <c r="BN72" s="2299" t="s">
        <v>39</v>
      </c>
      <c r="BO72" s="2298"/>
      <c r="BP72" s="2295"/>
      <c r="BQ72" s="2299" t="s">
        <v>1175</v>
      </c>
      <c r="BR72" s="2298"/>
      <c r="BS72" s="2295"/>
      <c r="BT72" s="2299" t="s">
        <v>27</v>
      </c>
      <c r="BU72" s="2298"/>
      <c r="BV72" s="2295"/>
      <c r="BW72" s="2299" t="s">
        <v>1233</v>
      </c>
      <c r="BX72" s="2298"/>
      <c r="BY72" s="2295"/>
      <c r="BZ72" s="2299" t="s">
        <v>0</v>
      </c>
      <c r="CA72" s="2298"/>
      <c r="CB72" s="2295"/>
      <c r="CC72" s="2299" t="s">
        <v>1987</v>
      </c>
      <c r="CD72" s="2298"/>
      <c r="CE72" s="2295"/>
      <c r="CF72" s="2299" t="s">
        <v>1975</v>
      </c>
      <c r="CG72" s="2298"/>
      <c r="CH72" s="2295"/>
      <c r="CI72" s="2299" t="s">
        <v>1977</v>
      </c>
      <c r="CJ72" s="2298"/>
      <c r="CK72" s="2295"/>
      <c r="CL72" s="2295"/>
      <c r="CM72" s="2295"/>
    </row>
    <row r="73" spans="1:91" ht="44.25">
      <c r="A73" s="2202"/>
      <c r="B73" s="2209" t="s">
        <v>1213</v>
      </c>
      <c r="C73" s="2204" t="s">
        <v>1972</v>
      </c>
      <c r="D73" s="2269" t="s">
        <v>1213</v>
      </c>
      <c r="E73" s="2208" t="s">
        <v>357</v>
      </c>
      <c r="F73" s="2204" t="s">
        <v>1972</v>
      </c>
      <c r="G73" s="2270" t="s">
        <v>357</v>
      </c>
      <c r="H73" s="2205">
        <v>20</v>
      </c>
      <c r="I73" s="2204" t="s">
        <v>1972</v>
      </c>
      <c r="J73" s="2270">
        <v>20</v>
      </c>
      <c r="K73" s="2205">
        <v>46</v>
      </c>
      <c r="L73" s="2204" t="s">
        <v>1972</v>
      </c>
      <c r="M73" s="2268">
        <v>46</v>
      </c>
      <c r="N73" s="2202"/>
      <c r="O73" s="2209" t="s">
        <v>1213</v>
      </c>
      <c r="P73" s="2204" t="s">
        <v>1972</v>
      </c>
      <c r="Q73" s="2266" t="s">
        <v>1213</v>
      </c>
      <c r="R73" s="2208" t="s">
        <v>357</v>
      </c>
      <c r="S73" s="2204" t="s">
        <v>1972</v>
      </c>
      <c r="T73" s="2267" t="s">
        <v>357</v>
      </c>
      <c r="U73" s="2205">
        <v>20</v>
      </c>
      <c r="V73" s="2204" t="s">
        <v>1972</v>
      </c>
      <c r="W73" s="2266">
        <v>20</v>
      </c>
      <c r="X73" s="2205">
        <v>46</v>
      </c>
      <c r="Y73" s="2204" t="s">
        <v>1972</v>
      </c>
      <c r="Z73" s="2265">
        <v>46</v>
      </c>
      <c r="AA73" s="2202"/>
      <c r="AB73" s="2202"/>
      <c r="AC73" s="2202"/>
      <c r="AG73" s="2293" t="s">
        <v>59</v>
      </c>
      <c r="AI73" s="2260" t="s">
        <v>601</v>
      </c>
      <c r="AJ73" s="2257"/>
      <c r="AK73" s="2259" t="s">
        <v>59</v>
      </c>
      <c r="AM73" s="2262" t="s">
        <v>603</v>
      </c>
      <c r="AO73" s="2292" t="s">
        <v>601</v>
      </c>
      <c r="AQ73" s="2256" t="s">
        <v>59</v>
      </c>
      <c r="AS73" s="2255" t="s">
        <v>59</v>
      </c>
      <c r="AU73" s="2254" t="s">
        <v>59</v>
      </c>
      <c r="BD73" s="4919"/>
      <c r="BE73" s="2297" t="s">
        <v>1982</v>
      </c>
      <c r="BF73" s="2296"/>
      <c r="BG73" s="2295"/>
      <c r="BH73" s="2297" t="s">
        <v>2001</v>
      </c>
      <c r="BI73" s="2296"/>
      <c r="BJ73" s="2295"/>
      <c r="BK73" s="2297" t="s">
        <v>2000</v>
      </c>
      <c r="BL73" s="2296"/>
      <c r="BM73" s="2295"/>
      <c r="BN73" s="2297" t="s">
        <v>2017</v>
      </c>
      <c r="BO73" s="2296"/>
      <c r="BP73" s="2295"/>
      <c r="BQ73" s="2297" t="s">
        <v>2003</v>
      </c>
      <c r="BR73" s="2296"/>
      <c r="BS73" s="2295"/>
      <c r="BT73" s="2297" t="s">
        <v>2018</v>
      </c>
      <c r="BU73" s="2296"/>
      <c r="BV73" s="2295"/>
      <c r="BW73" s="2297" t="s">
        <v>2007</v>
      </c>
      <c r="BX73" s="2296"/>
      <c r="BY73" s="2295"/>
      <c r="BZ73" s="2297" t="s">
        <v>1074</v>
      </c>
      <c r="CA73" s="2296"/>
      <c r="CB73" s="2295"/>
      <c r="CC73" s="2297" t="s">
        <v>1995</v>
      </c>
      <c r="CD73" s="2296"/>
      <c r="CE73" s="2295"/>
      <c r="CF73" s="2297" t="s">
        <v>1993</v>
      </c>
      <c r="CG73" s="2296"/>
      <c r="CH73" s="2295"/>
      <c r="CI73" s="2297" t="s">
        <v>381</v>
      </c>
      <c r="CJ73" s="2296"/>
      <c r="CK73" s="2295"/>
      <c r="CL73" s="2295"/>
      <c r="CM73" s="2295"/>
    </row>
    <row r="74" spans="1:91" ht="44.25">
      <c r="A74" s="2202"/>
      <c r="B74" s="2209" t="s">
        <v>792</v>
      </c>
      <c r="C74" s="2204" t="s">
        <v>1972</v>
      </c>
      <c r="D74" s="2269" t="s">
        <v>792</v>
      </c>
      <c r="E74" s="2208" t="s">
        <v>356</v>
      </c>
      <c r="F74" s="2204" t="s">
        <v>1972</v>
      </c>
      <c r="G74" s="2270" t="s">
        <v>356</v>
      </c>
      <c r="H74" s="2205">
        <v>21</v>
      </c>
      <c r="I74" s="2204" t="s">
        <v>1972</v>
      </c>
      <c r="J74" s="2270">
        <v>21</v>
      </c>
      <c r="K74" s="2205">
        <v>47</v>
      </c>
      <c r="L74" s="2204" t="s">
        <v>1972</v>
      </c>
      <c r="M74" s="2268">
        <v>47</v>
      </c>
      <c r="N74" s="2202"/>
      <c r="O74" s="2209" t="s">
        <v>792</v>
      </c>
      <c r="P74" s="2204" t="s">
        <v>1972</v>
      </c>
      <c r="Q74" s="2266" t="s">
        <v>792</v>
      </c>
      <c r="R74" s="2208" t="s">
        <v>356</v>
      </c>
      <c r="S74" s="2204" t="s">
        <v>1972</v>
      </c>
      <c r="T74" s="2267" t="s">
        <v>356</v>
      </c>
      <c r="U74" s="2205">
        <v>21</v>
      </c>
      <c r="V74" s="2204" t="s">
        <v>1972</v>
      </c>
      <c r="W74" s="2266">
        <v>21</v>
      </c>
      <c r="X74" s="2205">
        <v>47</v>
      </c>
      <c r="Y74" s="2204" t="s">
        <v>1972</v>
      </c>
      <c r="Z74" s="2265">
        <v>47</v>
      </c>
      <c r="AA74" s="2202"/>
      <c r="AB74" s="2202"/>
      <c r="AC74" s="2202"/>
      <c r="AG74" s="2294" t="s">
        <v>60</v>
      </c>
      <c r="AI74" s="2293" t="s">
        <v>603</v>
      </c>
      <c r="AJ74" s="2257"/>
      <c r="AK74" s="2259" t="s">
        <v>60</v>
      </c>
      <c r="AM74" s="2262" t="s">
        <v>601</v>
      </c>
      <c r="AO74" s="2292"/>
      <c r="AQ74" s="2256" t="s">
        <v>60</v>
      </c>
      <c r="AS74" s="2255" t="s">
        <v>60</v>
      </c>
      <c r="AU74" s="2254" t="s">
        <v>60</v>
      </c>
      <c r="BE74" s="2275"/>
      <c r="BF74" s="2275"/>
      <c r="BG74" s="2275"/>
      <c r="BH74" s="2275"/>
      <c r="BI74" s="2275"/>
      <c r="BJ74" s="2275"/>
      <c r="BK74" s="2275"/>
      <c r="BL74" s="2275"/>
      <c r="BM74" s="2275"/>
      <c r="BN74" s="2275"/>
      <c r="BO74" s="2275"/>
      <c r="BP74" s="2275"/>
      <c r="BQ74" s="2275"/>
      <c r="BR74" s="2275"/>
      <c r="BS74" s="2275"/>
      <c r="BT74" s="2275"/>
      <c r="BU74" s="2275"/>
      <c r="BV74" s="2275"/>
      <c r="BW74" s="2275"/>
      <c r="BX74" s="2275"/>
      <c r="BY74" s="2275"/>
      <c r="BZ74" s="2275"/>
      <c r="CA74" s="2275"/>
      <c r="CB74" s="2275"/>
      <c r="CC74" s="2275"/>
      <c r="CD74" s="2275"/>
      <c r="CE74" s="2275"/>
      <c r="CF74" s="2275"/>
      <c r="CG74" s="2275"/>
      <c r="CH74" s="2275"/>
      <c r="CI74" s="2275"/>
      <c r="CJ74" s="2275"/>
      <c r="CK74" s="2275"/>
      <c r="CL74" s="2275"/>
      <c r="CM74" s="2275"/>
    </row>
    <row r="75" spans="1:91" ht="44.25">
      <c r="A75" s="2202"/>
      <c r="B75" s="2209" t="s">
        <v>1175</v>
      </c>
      <c r="C75" s="2204" t="s">
        <v>1972</v>
      </c>
      <c r="D75" s="2269" t="s">
        <v>1175</v>
      </c>
      <c r="E75" s="2208" t="s">
        <v>2003</v>
      </c>
      <c r="F75" s="2204" t="s">
        <v>1972</v>
      </c>
      <c r="G75" s="2270" t="s">
        <v>2003</v>
      </c>
      <c r="H75" s="2205">
        <v>22</v>
      </c>
      <c r="I75" s="2204" t="s">
        <v>1972</v>
      </c>
      <c r="J75" s="2270">
        <v>22</v>
      </c>
      <c r="K75" s="2205">
        <v>48</v>
      </c>
      <c r="L75" s="2204" t="s">
        <v>1972</v>
      </c>
      <c r="M75" s="2268">
        <v>48</v>
      </c>
      <c r="N75" s="2202"/>
      <c r="O75" s="2209" t="s">
        <v>1175</v>
      </c>
      <c r="P75" s="2204" t="s">
        <v>1972</v>
      </c>
      <c r="Q75" s="2266" t="s">
        <v>1175</v>
      </c>
      <c r="R75" s="2208" t="s">
        <v>2003</v>
      </c>
      <c r="S75" s="2204" t="s">
        <v>1972</v>
      </c>
      <c r="T75" s="2267" t="s">
        <v>2003</v>
      </c>
      <c r="U75" s="2205">
        <v>22</v>
      </c>
      <c r="V75" s="2204" t="s">
        <v>1972</v>
      </c>
      <c r="W75" s="2266">
        <v>22</v>
      </c>
      <c r="X75" s="2205">
        <v>48</v>
      </c>
      <c r="Y75" s="2204" t="s">
        <v>1972</v>
      </c>
      <c r="Z75" s="2265">
        <v>48</v>
      </c>
      <c r="AA75" s="2202"/>
      <c r="AB75" s="2202"/>
      <c r="AC75" s="2202"/>
      <c r="AG75" s="2291" t="s">
        <v>61</v>
      </c>
      <c r="AI75" s="2260" t="s">
        <v>2050</v>
      </c>
      <c r="AJ75" s="2257"/>
      <c r="AK75" s="2259" t="s">
        <v>61</v>
      </c>
      <c r="AM75" s="2262" t="s">
        <v>2050</v>
      </c>
      <c r="AO75" s="2290" t="s">
        <v>603</v>
      </c>
      <c r="AQ75" s="2256" t="s">
        <v>61</v>
      </c>
      <c r="AS75" s="2255" t="s">
        <v>61</v>
      </c>
      <c r="AU75" s="2254" t="s">
        <v>61</v>
      </c>
      <c r="BE75" s="2275"/>
      <c r="BF75" s="2275"/>
      <c r="BG75" s="2275"/>
      <c r="BH75" s="2275"/>
      <c r="BI75" s="2275"/>
      <c r="BJ75" s="2275"/>
      <c r="BK75" s="2275"/>
      <c r="BL75" s="2275"/>
      <c r="BM75" s="2275"/>
      <c r="BN75" s="2275"/>
      <c r="BO75" s="2275"/>
      <c r="BP75" s="2275"/>
      <c r="BQ75" s="2275"/>
      <c r="BR75" s="2275"/>
      <c r="BS75" s="2275"/>
      <c r="BT75" s="2275"/>
      <c r="BU75" s="2275"/>
      <c r="BV75" s="2275"/>
      <c r="BW75" s="2275"/>
      <c r="BX75" s="2275"/>
      <c r="BY75" s="2275"/>
      <c r="BZ75" s="2275"/>
      <c r="CA75" s="2275"/>
      <c r="CB75" s="2275"/>
      <c r="CC75" s="2275"/>
      <c r="CD75" s="2275"/>
      <c r="CE75" s="2275"/>
      <c r="CF75" s="2275"/>
      <c r="CG75" s="2275"/>
      <c r="CH75" s="2275"/>
      <c r="CI75" s="2275"/>
      <c r="CJ75" s="2275"/>
      <c r="CK75" s="2275"/>
      <c r="CL75" s="2275"/>
      <c r="CM75" s="2275"/>
    </row>
    <row r="76" spans="1:91" ht="44.25">
      <c r="A76" s="2202"/>
      <c r="B76" s="2209" t="s">
        <v>2002</v>
      </c>
      <c r="C76" s="2204" t="s">
        <v>1972</v>
      </c>
      <c r="D76" s="2269" t="s">
        <v>2002</v>
      </c>
      <c r="E76" s="2208" t="s">
        <v>2001</v>
      </c>
      <c r="F76" s="2204" t="s">
        <v>1972</v>
      </c>
      <c r="G76" s="2270" t="s">
        <v>2001</v>
      </c>
      <c r="H76" s="2205">
        <v>23</v>
      </c>
      <c r="I76" s="2204" t="s">
        <v>1972</v>
      </c>
      <c r="J76" s="2270">
        <v>23</v>
      </c>
      <c r="K76" s="2205">
        <v>49</v>
      </c>
      <c r="L76" s="2204" t="s">
        <v>1972</v>
      </c>
      <c r="M76" s="2268">
        <v>49</v>
      </c>
      <c r="N76" s="2202"/>
      <c r="O76" s="2209" t="s">
        <v>2002</v>
      </c>
      <c r="P76" s="2204" t="s">
        <v>1972</v>
      </c>
      <c r="Q76" s="2266" t="s">
        <v>2002</v>
      </c>
      <c r="R76" s="2208" t="s">
        <v>2001</v>
      </c>
      <c r="S76" s="2204" t="s">
        <v>1972</v>
      </c>
      <c r="T76" s="2267" t="s">
        <v>2001</v>
      </c>
      <c r="U76" s="2205">
        <v>23</v>
      </c>
      <c r="V76" s="2204" t="s">
        <v>1972</v>
      </c>
      <c r="W76" s="2266">
        <v>23</v>
      </c>
      <c r="X76" s="2205">
        <v>49</v>
      </c>
      <c r="Y76" s="2204" t="s">
        <v>1972</v>
      </c>
      <c r="Z76" s="2265">
        <v>49</v>
      </c>
      <c r="AA76" s="2202"/>
      <c r="AB76" s="2202"/>
      <c r="AC76" s="2202"/>
      <c r="AG76" s="2289" t="s">
        <v>421</v>
      </c>
      <c r="AI76" s="2260" t="s">
        <v>2049</v>
      </c>
      <c r="AJ76" s="2257"/>
      <c r="AK76" s="2259" t="s">
        <v>421</v>
      </c>
      <c r="AM76" s="2262" t="s">
        <v>2049</v>
      </c>
      <c r="AO76" s="2288" t="s">
        <v>2050</v>
      </c>
      <c r="AQ76" s="2256" t="s">
        <v>421</v>
      </c>
      <c r="AS76" s="2255" t="s">
        <v>421</v>
      </c>
      <c r="AU76" s="2254" t="s">
        <v>421</v>
      </c>
      <c r="BE76" s="2275"/>
      <c r="BF76" s="2275"/>
      <c r="BG76" s="2275"/>
      <c r="BH76" s="2275"/>
      <c r="BI76" s="2275"/>
      <c r="BJ76" s="2275"/>
      <c r="BK76" s="2275"/>
      <c r="BL76" s="2275"/>
      <c r="BM76" s="2275"/>
      <c r="BN76" s="2275"/>
      <c r="BO76" s="2275"/>
      <c r="BP76" s="2275"/>
      <c r="BQ76" s="2275"/>
      <c r="BR76" s="2275"/>
      <c r="BS76" s="2275"/>
      <c r="BT76" s="2275"/>
      <c r="BU76" s="2275"/>
      <c r="BV76" s="2275"/>
      <c r="BW76" s="2275"/>
      <c r="BX76" s="2275"/>
      <c r="BY76" s="2275"/>
      <c r="BZ76" s="2275"/>
      <c r="CA76" s="2275"/>
      <c r="CB76" s="2275"/>
      <c r="CC76" s="2275"/>
      <c r="CD76" s="2275"/>
      <c r="CE76" s="2275"/>
      <c r="CF76" s="2275"/>
      <c r="CG76" s="2275"/>
      <c r="CH76" s="2275"/>
      <c r="CI76" s="2275"/>
      <c r="CJ76" s="2275"/>
      <c r="CK76" s="2275"/>
      <c r="CL76" s="2275"/>
      <c r="CM76" s="2275"/>
    </row>
    <row r="77" spans="1:91" ht="44.25">
      <c r="A77" s="2202"/>
      <c r="B77" s="2209" t="s">
        <v>358</v>
      </c>
      <c r="C77" s="2204" t="s">
        <v>1972</v>
      </c>
      <c r="D77" s="2269" t="s">
        <v>358</v>
      </c>
      <c r="E77" s="2208" t="s">
        <v>2000</v>
      </c>
      <c r="F77" s="2204" t="s">
        <v>1972</v>
      </c>
      <c r="G77" s="2270" t="s">
        <v>2000</v>
      </c>
      <c r="H77" s="2205">
        <v>24</v>
      </c>
      <c r="I77" s="2204" t="s">
        <v>1972</v>
      </c>
      <c r="J77" s="2270">
        <v>24</v>
      </c>
      <c r="K77" s="2205">
        <v>50</v>
      </c>
      <c r="L77" s="2204" t="s">
        <v>1972</v>
      </c>
      <c r="M77" s="2268">
        <v>50</v>
      </c>
      <c r="N77" s="2202"/>
      <c r="O77" s="2209" t="s">
        <v>358</v>
      </c>
      <c r="P77" s="2204" t="s">
        <v>1972</v>
      </c>
      <c r="Q77" s="2266" t="s">
        <v>358</v>
      </c>
      <c r="R77" s="2208" t="s">
        <v>2000</v>
      </c>
      <c r="S77" s="2204" t="s">
        <v>1972</v>
      </c>
      <c r="T77" s="2267" t="s">
        <v>2000</v>
      </c>
      <c r="U77" s="2205">
        <v>24</v>
      </c>
      <c r="V77" s="2204" t="s">
        <v>1972</v>
      </c>
      <c r="W77" s="2266">
        <v>24</v>
      </c>
      <c r="X77" s="2205">
        <v>50</v>
      </c>
      <c r="Y77" s="2204" t="s">
        <v>1972</v>
      </c>
      <c r="Z77" s="2265">
        <v>50</v>
      </c>
      <c r="AA77" s="2202"/>
      <c r="AB77" s="2202"/>
      <c r="AC77" s="2202"/>
      <c r="AG77" s="2287" t="s">
        <v>420</v>
      </c>
      <c r="AI77" s="2260" t="s">
        <v>2048</v>
      </c>
      <c r="AJ77" s="2257"/>
      <c r="AK77" s="2259" t="s">
        <v>420</v>
      </c>
      <c r="AM77" s="2262" t="s">
        <v>2048</v>
      </c>
      <c r="AO77" s="2286" t="s">
        <v>2049</v>
      </c>
      <c r="AQ77" s="2256" t="s">
        <v>420</v>
      </c>
      <c r="AS77" s="2255" t="s">
        <v>420</v>
      </c>
      <c r="AU77" s="2254" t="s">
        <v>420</v>
      </c>
      <c r="BE77" s="2275"/>
      <c r="BF77" s="2275"/>
      <c r="BG77" s="2275"/>
      <c r="BH77" s="2275"/>
      <c r="BI77" s="2275"/>
      <c r="BJ77" s="2275"/>
      <c r="BK77" s="2275"/>
      <c r="BL77" s="2275"/>
      <c r="BM77" s="2275"/>
      <c r="BN77" s="2275"/>
      <c r="BO77" s="2275"/>
      <c r="BP77" s="2275"/>
      <c r="BQ77" s="2275"/>
      <c r="BR77" s="2275"/>
      <c r="BS77" s="2275"/>
      <c r="BT77" s="2275"/>
      <c r="BU77" s="2275"/>
      <c r="BV77" s="2275"/>
      <c r="BW77" s="2275"/>
      <c r="BX77" s="2275"/>
      <c r="BY77" s="2275"/>
      <c r="BZ77" s="2275"/>
      <c r="CA77" s="2275"/>
      <c r="CB77" s="2275"/>
      <c r="CC77" s="2275"/>
      <c r="CD77" s="2275"/>
      <c r="CE77" s="2275"/>
      <c r="CF77" s="2275"/>
      <c r="CG77" s="2275"/>
      <c r="CH77" s="2275"/>
      <c r="CI77" s="2275"/>
      <c r="CJ77" s="2275"/>
      <c r="CK77" s="2275"/>
      <c r="CL77" s="2275"/>
      <c r="CM77" s="2275"/>
    </row>
    <row r="78" spans="1:91" ht="44.25">
      <c r="A78" s="2202"/>
      <c r="B78" s="2209" t="s">
        <v>1999</v>
      </c>
      <c r="C78" s="2204" t="s">
        <v>1972</v>
      </c>
      <c r="D78" s="2269" t="s">
        <v>1999</v>
      </c>
      <c r="E78" s="2208" t="s">
        <v>1998</v>
      </c>
      <c r="F78" s="2204" t="s">
        <v>1972</v>
      </c>
      <c r="G78" s="2270" t="s">
        <v>1998</v>
      </c>
      <c r="H78" s="2205">
        <v>25</v>
      </c>
      <c r="I78" s="2204" t="s">
        <v>1972</v>
      </c>
      <c r="J78" s="2270">
        <v>25</v>
      </c>
      <c r="K78" s="2205">
        <v>51</v>
      </c>
      <c r="L78" s="2204" t="s">
        <v>1972</v>
      </c>
      <c r="M78" s="2268">
        <v>51</v>
      </c>
      <c r="N78" s="2202"/>
      <c r="O78" s="2209" t="s">
        <v>1999</v>
      </c>
      <c r="P78" s="2204" t="s">
        <v>1972</v>
      </c>
      <c r="Q78" s="2266" t="s">
        <v>1999</v>
      </c>
      <c r="R78" s="2208" t="s">
        <v>1998</v>
      </c>
      <c r="S78" s="2204" t="s">
        <v>1972</v>
      </c>
      <c r="T78" s="2267" t="s">
        <v>1998</v>
      </c>
      <c r="U78" s="2205">
        <v>25</v>
      </c>
      <c r="V78" s="2204" t="s">
        <v>1972</v>
      </c>
      <c r="W78" s="2266">
        <v>25</v>
      </c>
      <c r="X78" s="2205">
        <v>51</v>
      </c>
      <c r="Y78" s="2204" t="s">
        <v>1972</v>
      </c>
      <c r="Z78" s="2265">
        <v>51</v>
      </c>
      <c r="AA78" s="2202"/>
      <c r="AB78" s="2202"/>
      <c r="AC78" s="2202"/>
      <c r="AG78" s="2285" t="s">
        <v>419</v>
      </c>
      <c r="AI78" s="2260" t="s">
        <v>2047</v>
      </c>
      <c r="AJ78" s="2257"/>
      <c r="AK78" s="2259" t="s">
        <v>419</v>
      </c>
      <c r="AM78" s="2262" t="s">
        <v>2047</v>
      </c>
      <c r="AO78" s="2284" t="s">
        <v>2048</v>
      </c>
      <c r="AQ78" s="2256" t="s">
        <v>419</v>
      </c>
      <c r="AS78" s="2255" t="s">
        <v>419</v>
      </c>
      <c r="AU78" s="2254" t="s">
        <v>419</v>
      </c>
      <c r="BE78" s="2275"/>
      <c r="BF78" s="2275"/>
      <c r="BG78" s="2275"/>
      <c r="BH78" s="2275"/>
      <c r="BI78" s="2275"/>
      <c r="BJ78" s="2275"/>
      <c r="BK78" s="2275"/>
      <c r="BL78" s="2275"/>
      <c r="BM78" s="2275"/>
      <c r="BN78" s="2275"/>
      <c r="BO78" s="2275"/>
      <c r="BP78" s="2275"/>
      <c r="BQ78" s="2275"/>
      <c r="BR78" s="2275"/>
      <c r="BS78" s="2275"/>
      <c r="BT78" s="2275"/>
      <c r="BU78" s="2275"/>
      <c r="BV78" s="2275"/>
      <c r="BW78" s="2275"/>
      <c r="BX78" s="2275"/>
      <c r="BY78" s="2275"/>
      <c r="BZ78" s="2275"/>
      <c r="CA78" s="2275"/>
      <c r="CB78" s="2275"/>
      <c r="CC78" s="2275"/>
      <c r="CD78" s="2275"/>
      <c r="CE78" s="2275"/>
      <c r="CF78" s="2275"/>
      <c r="CG78" s="2275"/>
      <c r="CH78" s="2275"/>
      <c r="CI78" s="2275"/>
      <c r="CJ78" s="2275"/>
      <c r="CK78" s="2275"/>
      <c r="CL78" s="2275"/>
      <c r="CM78" s="2275"/>
    </row>
    <row r="79" spans="1:91" ht="44.25">
      <c r="A79" s="2202"/>
      <c r="B79" s="2209" t="s">
        <v>344</v>
      </c>
      <c r="C79" s="2204" t="s">
        <v>1972</v>
      </c>
      <c r="D79" s="2269" t="s">
        <v>344</v>
      </c>
      <c r="E79" s="2208" t="s">
        <v>1997</v>
      </c>
      <c r="F79" s="2204" t="s">
        <v>1972</v>
      </c>
      <c r="G79" s="2270" t="s">
        <v>1997</v>
      </c>
      <c r="H79" s="2205">
        <v>26</v>
      </c>
      <c r="I79" s="2204" t="s">
        <v>1972</v>
      </c>
      <c r="J79" s="2270">
        <v>26</v>
      </c>
      <c r="K79" s="2205">
        <v>52</v>
      </c>
      <c r="L79" s="2204" t="s">
        <v>1972</v>
      </c>
      <c r="M79" s="2268">
        <v>52</v>
      </c>
      <c r="N79" s="2202"/>
      <c r="O79" s="2209" t="s">
        <v>344</v>
      </c>
      <c r="P79" s="2204" t="s">
        <v>1972</v>
      </c>
      <c r="Q79" s="2266" t="s">
        <v>344</v>
      </c>
      <c r="R79" s="2208" t="s">
        <v>1997</v>
      </c>
      <c r="S79" s="2204" t="s">
        <v>1972</v>
      </c>
      <c r="T79" s="2267" t="s">
        <v>1997</v>
      </c>
      <c r="U79" s="2205">
        <v>26</v>
      </c>
      <c r="V79" s="2204" t="s">
        <v>1972</v>
      </c>
      <c r="W79" s="2266">
        <v>26</v>
      </c>
      <c r="X79" s="2205">
        <v>52</v>
      </c>
      <c r="Y79" s="2204" t="s">
        <v>1972</v>
      </c>
      <c r="Z79" s="2265">
        <v>52</v>
      </c>
      <c r="AA79" s="2202"/>
      <c r="AB79" s="2202"/>
      <c r="AC79" s="2202"/>
      <c r="AG79" s="2283" t="s">
        <v>418</v>
      </c>
      <c r="AI79" s="2260" t="s">
        <v>2046</v>
      </c>
      <c r="AJ79" s="2257"/>
      <c r="AK79" s="2259" t="s">
        <v>418</v>
      </c>
      <c r="AM79" s="2262" t="s">
        <v>2046</v>
      </c>
      <c r="AO79" s="2282" t="s">
        <v>2047</v>
      </c>
      <c r="AQ79" s="2256" t="s">
        <v>418</v>
      </c>
      <c r="AS79" s="2255" t="s">
        <v>418</v>
      </c>
      <c r="AU79" s="2254" t="s">
        <v>418</v>
      </c>
      <c r="BE79" s="2275"/>
      <c r="BF79" s="2275"/>
      <c r="BG79" s="2275"/>
      <c r="BH79" s="2275"/>
      <c r="BI79" s="2275"/>
      <c r="BJ79" s="2275"/>
      <c r="BK79" s="2275"/>
      <c r="BL79" s="2275"/>
      <c r="BM79" s="2275"/>
      <c r="BN79" s="2275"/>
      <c r="BO79" s="2275"/>
      <c r="BP79" s="2275"/>
      <c r="BQ79" s="2275"/>
      <c r="BR79" s="2275"/>
      <c r="BS79" s="2275"/>
      <c r="BT79" s="2275"/>
      <c r="BU79" s="2275"/>
      <c r="BV79" s="2275"/>
      <c r="BW79" s="2275"/>
      <c r="BX79" s="2275"/>
      <c r="BY79" s="2275"/>
      <c r="BZ79" s="2275"/>
      <c r="CA79" s="2275"/>
      <c r="CB79" s="2275"/>
      <c r="CC79" s="2275"/>
      <c r="CD79" s="2275"/>
      <c r="CE79" s="2275"/>
      <c r="CF79" s="2275"/>
      <c r="CG79" s="2275"/>
      <c r="CH79" s="2275"/>
      <c r="CI79" s="2275"/>
      <c r="CJ79" s="2275"/>
      <c r="CK79" s="2275"/>
      <c r="CL79" s="2275"/>
      <c r="CM79" s="2275"/>
    </row>
    <row r="80" spans="1:91" ht="44.25">
      <c r="A80" s="2202"/>
      <c r="B80" s="2209" t="s">
        <v>376</v>
      </c>
      <c r="C80" s="2204" t="s">
        <v>1972</v>
      </c>
      <c r="D80" s="2269" t="s">
        <v>376</v>
      </c>
      <c r="E80" s="2208" t="s">
        <v>377</v>
      </c>
      <c r="F80" s="2204" t="s">
        <v>1972</v>
      </c>
      <c r="G80" s="2270" t="s">
        <v>377</v>
      </c>
      <c r="H80" s="2205" t="s">
        <v>1996</v>
      </c>
      <c r="I80" s="2204" t="s">
        <v>1972</v>
      </c>
      <c r="J80" s="2269" t="s">
        <v>1996</v>
      </c>
      <c r="K80" s="2205" t="s">
        <v>1995</v>
      </c>
      <c r="L80" s="2204" t="s">
        <v>1972</v>
      </c>
      <c r="M80" s="2268" t="s">
        <v>1995</v>
      </c>
      <c r="N80" s="2202"/>
      <c r="O80" s="2209" t="s">
        <v>376</v>
      </c>
      <c r="P80" s="2204" t="s">
        <v>1972</v>
      </c>
      <c r="Q80" s="2266" t="s">
        <v>376</v>
      </c>
      <c r="R80" s="2208" t="s">
        <v>377</v>
      </c>
      <c r="S80" s="2204" t="s">
        <v>1972</v>
      </c>
      <c r="T80" s="2267" t="s">
        <v>377</v>
      </c>
      <c r="U80" s="2205" t="s">
        <v>1996</v>
      </c>
      <c r="V80" s="2204" t="s">
        <v>1972</v>
      </c>
      <c r="W80" s="2266" t="s">
        <v>1996</v>
      </c>
      <c r="X80" s="2205" t="s">
        <v>1995</v>
      </c>
      <c r="Y80" s="2204" t="s">
        <v>1972</v>
      </c>
      <c r="Z80" s="2265" t="s">
        <v>1995</v>
      </c>
      <c r="AA80" s="2202"/>
      <c r="AB80" s="2202"/>
      <c r="AC80" s="2202"/>
      <c r="AG80" s="2281" t="s">
        <v>417</v>
      </c>
      <c r="AI80" s="2260" t="s">
        <v>2044</v>
      </c>
      <c r="AJ80" s="2257"/>
      <c r="AK80" s="2259" t="s">
        <v>417</v>
      </c>
      <c r="AM80" s="2262" t="s">
        <v>2044</v>
      </c>
      <c r="AO80" s="2280" t="s">
        <v>2046</v>
      </c>
      <c r="AQ80" s="2256" t="s">
        <v>417</v>
      </c>
      <c r="AS80" s="2255" t="s">
        <v>417</v>
      </c>
      <c r="AU80" s="2254" t="s">
        <v>417</v>
      </c>
      <c r="BE80" s="2275"/>
      <c r="BF80" s="2275"/>
      <c r="BG80" s="2275"/>
      <c r="BH80" s="2275"/>
      <c r="BI80" s="2275"/>
      <c r="BJ80" s="2275"/>
      <c r="BK80" s="2275"/>
      <c r="BL80" s="2275"/>
      <c r="BM80" s="2275"/>
      <c r="BN80" s="2275"/>
      <c r="BO80" s="2275"/>
      <c r="BP80" s="2275"/>
      <c r="BQ80" s="2275"/>
      <c r="BR80" s="2275"/>
      <c r="BS80" s="2275"/>
      <c r="BT80" s="2275"/>
      <c r="BU80" s="2275"/>
      <c r="BV80" s="2275"/>
      <c r="BW80" s="2275"/>
      <c r="BX80" s="2275"/>
      <c r="BY80" s="2275"/>
      <c r="BZ80" s="2275"/>
      <c r="CA80" s="2275"/>
      <c r="CB80" s="2275"/>
      <c r="CC80" s="2275"/>
      <c r="CD80" s="2275"/>
      <c r="CE80" s="2275"/>
      <c r="CF80" s="2275"/>
      <c r="CG80" s="2275"/>
      <c r="CH80" s="2275"/>
      <c r="CI80" s="2275"/>
      <c r="CJ80" s="2275"/>
      <c r="CK80" s="2275"/>
      <c r="CL80" s="2275"/>
      <c r="CM80" s="2275"/>
    </row>
    <row r="81" spans="1:91" ht="44.25">
      <c r="A81" s="2202"/>
      <c r="B81" s="2209" t="s">
        <v>1994</v>
      </c>
      <c r="C81" s="2204" t="s">
        <v>1972</v>
      </c>
      <c r="D81" s="2269" t="s">
        <v>1994</v>
      </c>
      <c r="E81" s="2208" t="s">
        <v>379</v>
      </c>
      <c r="F81" s="2204" t="s">
        <v>1972</v>
      </c>
      <c r="G81" s="2270" t="s">
        <v>379</v>
      </c>
      <c r="H81" s="2205" t="s">
        <v>375</v>
      </c>
      <c r="I81" s="2204" t="s">
        <v>1972</v>
      </c>
      <c r="J81" s="2269" t="s">
        <v>375</v>
      </c>
      <c r="K81" s="2205" t="s">
        <v>1993</v>
      </c>
      <c r="L81" s="2204" t="s">
        <v>1972</v>
      </c>
      <c r="M81" s="2268" t="s">
        <v>1993</v>
      </c>
      <c r="N81" s="2202"/>
      <c r="O81" s="2209" t="s">
        <v>1994</v>
      </c>
      <c r="P81" s="2204" t="s">
        <v>1972</v>
      </c>
      <c r="Q81" s="2266" t="s">
        <v>1994</v>
      </c>
      <c r="R81" s="2208" t="s">
        <v>379</v>
      </c>
      <c r="S81" s="2204" t="s">
        <v>1972</v>
      </c>
      <c r="T81" s="2267" t="s">
        <v>379</v>
      </c>
      <c r="U81" s="2205" t="s">
        <v>375</v>
      </c>
      <c r="V81" s="2204" t="s">
        <v>1972</v>
      </c>
      <c r="W81" s="2266" t="s">
        <v>375</v>
      </c>
      <c r="X81" s="2205" t="s">
        <v>1993</v>
      </c>
      <c r="Y81" s="2204" t="s">
        <v>1972</v>
      </c>
      <c r="Z81" s="2265" t="s">
        <v>1993</v>
      </c>
      <c r="AA81" s="2202"/>
      <c r="AB81" s="2202"/>
      <c r="AC81" s="2202"/>
      <c r="AG81" s="2279" t="s">
        <v>416</v>
      </c>
      <c r="AI81" s="2260" t="s">
        <v>2045</v>
      </c>
      <c r="AJ81" s="2257"/>
      <c r="AK81" s="2259" t="s">
        <v>416</v>
      </c>
      <c r="AM81" s="2262" t="s">
        <v>2045</v>
      </c>
      <c r="AO81" s="2278" t="s">
        <v>2044</v>
      </c>
      <c r="AQ81" s="2256" t="s">
        <v>416</v>
      </c>
      <c r="AS81" s="2255" t="s">
        <v>416</v>
      </c>
      <c r="AU81" s="2254" t="s">
        <v>416</v>
      </c>
      <c r="BE81" s="2275"/>
      <c r="BF81" s="2275"/>
      <c r="BG81" s="2275"/>
      <c r="BH81" s="2275"/>
      <c r="BI81" s="2275"/>
      <c r="BJ81" s="2275"/>
      <c r="BK81" s="2275"/>
      <c r="BL81" s="2275"/>
      <c r="BM81" s="2275"/>
      <c r="BN81" s="2275"/>
      <c r="BO81" s="2275"/>
      <c r="BP81" s="2275"/>
      <c r="BQ81" s="2275"/>
      <c r="BR81" s="2275"/>
      <c r="BS81" s="2275"/>
      <c r="BT81" s="2275"/>
      <c r="BU81" s="2275"/>
      <c r="BV81" s="2275"/>
      <c r="BW81" s="2275"/>
      <c r="BX81" s="2275"/>
      <c r="BY81" s="2275"/>
      <c r="BZ81" s="2275"/>
      <c r="CA81" s="2275"/>
      <c r="CB81" s="2275"/>
      <c r="CC81" s="2275"/>
      <c r="CD81" s="2275"/>
      <c r="CE81" s="2275"/>
      <c r="CF81" s="2275"/>
      <c r="CG81" s="2275"/>
      <c r="CH81" s="2275"/>
      <c r="CI81" s="2275"/>
      <c r="CJ81" s="2275"/>
      <c r="CK81" s="2275"/>
      <c r="CL81" s="2275"/>
      <c r="CM81" s="2275"/>
    </row>
    <row r="82" spans="1:91" ht="44.25">
      <c r="A82" s="2202"/>
      <c r="B82" s="2209" t="s">
        <v>1992</v>
      </c>
      <c r="C82" s="2204" t="s">
        <v>1972</v>
      </c>
      <c r="D82" s="2269" t="s">
        <v>1992</v>
      </c>
      <c r="E82" s="2208" t="s">
        <v>1991</v>
      </c>
      <c r="F82" s="2204" t="s">
        <v>1972</v>
      </c>
      <c r="G82" s="2270" t="s">
        <v>1991</v>
      </c>
      <c r="H82" s="2205" t="s">
        <v>381</v>
      </c>
      <c r="I82" s="2204" t="s">
        <v>1972</v>
      </c>
      <c r="J82" s="2269" t="s">
        <v>381</v>
      </c>
      <c r="K82" s="2205" t="s">
        <v>1990</v>
      </c>
      <c r="L82" s="2204" t="s">
        <v>1972</v>
      </c>
      <c r="M82" s="2268" t="s">
        <v>1990</v>
      </c>
      <c r="N82" s="2202"/>
      <c r="O82" s="2209" t="s">
        <v>1992</v>
      </c>
      <c r="P82" s="2204" t="s">
        <v>1972</v>
      </c>
      <c r="Q82" s="2266" t="s">
        <v>1992</v>
      </c>
      <c r="R82" s="2208" t="s">
        <v>1991</v>
      </c>
      <c r="S82" s="2204" t="s">
        <v>1972</v>
      </c>
      <c r="T82" s="2267" t="s">
        <v>1991</v>
      </c>
      <c r="U82" s="2205" t="s">
        <v>381</v>
      </c>
      <c r="V82" s="2204" t="s">
        <v>1972</v>
      </c>
      <c r="W82" s="2266" t="s">
        <v>381</v>
      </c>
      <c r="X82" s="2205" t="s">
        <v>1990</v>
      </c>
      <c r="Y82" s="2204" t="s">
        <v>1972</v>
      </c>
      <c r="Z82" s="2265" t="s">
        <v>1990</v>
      </c>
      <c r="AA82" s="2202"/>
      <c r="AB82" s="2202"/>
      <c r="AC82" s="2202"/>
      <c r="AG82" s="2277" t="s">
        <v>415</v>
      </c>
      <c r="AI82" s="2260" t="s">
        <v>2043</v>
      </c>
      <c r="AJ82" s="2257"/>
      <c r="AK82" s="2259" t="s">
        <v>415</v>
      </c>
      <c r="AM82" s="2262" t="s">
        <v>2043</v>
      </c>
      <c r="AO82" s="2257"/>
      <c r="AQ82" s="2256" t="s">
        <v>415</v>
      </c>
      <c r="AS82" s="2255" t="s">
        <v>415</v>
      </c>
      <c r="AU82" s="2254" t="s">
        <v>415</v>
      </c>
      <c r="BE82" s="2275"/>
      <c r="BF82" s="2275"/>
      <c r="BG82" s="2275"/>
      <c r="BH82" s="2275"/>
      <c r="BI82" s="2275"/>
      <c r="BJ82" s="2275"/>
      <c r="BK82" s="2275"/>
      <c r="BL82" s="2275"/>
      <c r="BM82" s="2275"/>
      <c r="BN82" s="2275"/>
      <c r="BO82" s="2275"/>
      <c r="BP82" s="2275"/>
      <c r="BQ82" s="2275"/>
      <c r="BR82" s="2275"/>
      <c r="BS82" s="2275"/>
      <c r="BT82" s="2275"/>
      <c r="BU82" s="2275"/>
      <c r="BV82" s="2275"/>
      <c r="BW82" s="2275"/>
      <c r="BX82" s="2275"/>
      <c r="BY82" s="2275"/>
      <c r="BZ82" s="2275"/>
      <c r="CA82" s="2275"/>
      <c r="CB82" s="2275"/>
      <c r="CC82" s="2275"/>
      <c r="CD82" s="2275"/>
      <c r="CE82" s="2275"/>
      <c r="CF82" s="2275"/>
      <c r="CG82" s="2275"/>
      <c r="CH82" s="2275"/>
      <c r="CI82" s="2275"/>
      <c r="CJ82" s="2275"/>
      <c r="CK82" s="2275"/>
      <c r="CL82" s="2275"/>
      <c r="CM82" s="2275"/>
    </row>
    <row r="83" spans="1:91" ht="44.25">
      <c r="A83" s="2202"/>
      <c r="B83" s="2209" t="s">
        <v>1989</v>
      </c>
      <c r="C83" s="2204" t="s">
        <v>1972</v>
      </c>
      <c r="D83" s="2269" t="s">
        <v>1989</v>
      </c>
      <c r="E83" s="2208" t="s">
        <v>1988</v>
      </c>
      <c r="F83" s="2204" t="s">
        <v>1972</v>
      </c>
      <c r="G83" s="2270" t="s">
        <v>1988</v>
      </c>
      <c r="H83" s="2205" t="s">
        <v>0</v>
      </c>
      <c r="I83" s="2204" t="s">
        <v>1972</v>
      </c>
      <c r="J83" s="2269" t="s">
        <v>0</v>
      </c>
      <c r="K83" s="2205" t="s">
        <v>1987</v>
      </c>
      <c r="L83" s="2204" t="s">
        <v>1972</v>
      </c>
      <c r="M83" s="2268" t="s">
        <v>1987</v>
      </c>
      <c r="N83" s="2202"/>
      <c r="O83" s="2209" t="s">
        <v>1989</v>
      </c>
      <c r="P83" s="2204" t="s">
        <v>1972</v>
      </c>
      <c r="Q83" s="2266" t="s">
        <v>1989</v>
      </c>
      <c r="R83" s="2208" t="s">
        <v>1988</v>
      </c>
      <c r="S83" s="2204" t="s">
        <v>1972</v>
      </c>
      <c r="T83" s="2267" t="s">
        <v>1988</v>
      </c>
      <c r="U83" s="2205" t="s">
        <v>0</v>
      </c>
      <c r="V83" s="2204" t="s">
        <v>1972</v>
      </c>
      <c r="W83" s="2266" t="s">
        <v>0</v>
      </c>
      <c r="X83" s="2205" t="s">
        <v>1987</v>
      </c>
      <c r="Y83" s="2204" t="s">
        <v>1972</v>
      </c>
      <c r="Z83" s="2265" t="s">
        <v>1987</v>
      </c>
      <c r="AA83" s="2202"/>
      <c r="AB83" s="2202"/>
      <c r="AC83" s="2202"/>
      <c r="AG83" s="2276" t="s">
        <v>414</v>
      </c>
      <c r="AI83" s="2260" t="s">
        <v>2042</v>
      </c>
      <c r="AJ83" s="2257"/>
      <c r="AK83" s="2259" t="s">
        <v>414</v>
      </c>
      <c r="AM83" s="2262" t="s">
        <v>2042</v>
      </c>
      <c r="AO83" s="2257"/>
      <c r="AQ83" s="2256" t="s">
        <v>414</v>
      </c>
      <c r="AS83" s="2255" t="s">
        <v>414</v>
      </c>
      <c r="AU83" s="2254" t="s">
        <v>414</v>
      </c>
      <c r="BE83" s="2275"/>
      <c r="BF83" s="2275"/>
      <c r="BG83" s="2275"/>
      <c r="BH83" s="2275"/>
      <c r="BI83" s="2275"/>
      <c r="BJ83" s="2275"/>
      <c r="BK83" s="2275"/>
      <c r="BL83" s="2275"/>
      <c r="BM83" s="2275"/>
      <c r="BN83" s="2275"/>
      <c r="BO83" s="2275"/>
      <c r="BP83" s="2275"/>
      <c r="BQ83" s="2275"/>
      <c r="BR83" s="2275"/>
      <c r="BS83" s="2275"/>
      <c r="BT83" s="2275"/>
      <c r="BU83" s="2275"/>
      <c r="BV83" s="2275"/>
      <c r="BW83" s="2275"/>
      <c r="BX83" s="2275"/>
      <c r="BY83" s="2275"/>
      <c r="BZ83" s="2275"/>
      <c r="CA83" s="2275"/>
      <c r="CB83" s="2275"/>
      <c r="CC83" s="2275"/>
      <c r="CD83" s="2275"/>
      <c r="CE83" s="2275"/>
      <c r="CF83" s="2275"/>
      <c r="CG83" s="2275"/>
      <c r="CH83" s="2275"/>
      <c r="CI83" s="2275"/>
      <c r="CJ83" s="2275"/>
      <c r="CK83" s="2275"/>
      <c r="CL83" s="2275"/>
      <c r="CM83" s="2275"/>
    </row>
    <row r="84" spans="1:91" ht="44.25">
      <c r="A84" s="2202"/>
      <c r="B84" s="2209" t="s">
        <v>1986</v>
      </c>
      <c r="C84" s="2204" t="s">
        <v>1972</v>
      </c>
      <c r="D84" s="2269" t="s">
        <v>1986</v>
      </c>
      <c r="E84" s="2208" t="s">
        <v>1985</v>
      </c>
      <c r="F84" s="2204" t="s">
        <v>1972</v>
      </c>
      <c r="G84" s="2270" t="s">
        <v>1985</v>
      </c>
      <c r="H84" s="2205" t="s">
        <v>29</v>
      </c>
      <c r="I84" s="2204" t="s">
        <v>1972</v>
      </c>
      <c r="J84" s="2269" t="s">
        <v>29</v>
      </c>
      <c r="K84" s="2205" t="s">
        <v>1984</v>
      </c>
      <c r="L84" s="2204" t="s">
        <v>1972</v>
      </c>
      <c r="M84" s="2268" t="s">
        <v>1984</v>
      </c>
      <c r="N84" s="2202"/>
      <c r="O84" s="2209" t="s">
        <v>1986</v>
      </c>
      <c r="P84" s="2204" t="s">
        <v>1972</v>
      </c>
      <c r="Q84" s="2266" t="s">
        <v>1986</v>
      </c>
      <c r="R84" s="2208" t="s">
        <v>1985</v>
      </c>
      <c r="S84" s="2204" t="s">
        <v>1972</v>
      </c>
      <c r="T84" s="2267" t="s">
        <v>1985</v>
      </c>
      <c r="U84" s="2205" t="s">
        <v>29</v>
      </c>
      <c r="V84" s="2204" t="s">
        <v>1972</v>
      </c>
      <c r="W84" s="2266" t="s">
        <v>29</v>
      </c>
      <c r="X84" s="2205" t="s">
        <v>1984</v>
      </c>
      <c r="Y84" s="2204" t="s">
        <v>1972</v>
      </c>
      <c r="Z84" s="2265" t="s">
        <v>1984</v>
      </c>
      <c r="AA84" s="2202"/>
      <c r="AB84" s="2202"/>
      <c r="AC84" s="2202"/>
      <c r="AG84" s="2274" t="s">
        <v>413</v>
      </c>
      <c r="AI84" s="2260" t="s">
        <v>2041</v>
      </c>
      <c r="AJ84" s="2257"/>
      <c r="AK84" s="2259" t="s">
        <v>413</v>
      </c>
      <c r="AM84" s="2262" t="s">
        <v>2041</v>
      </c>
      <c r="AO84" s="2257"/>
      <c r="AQ84" s="2256" t="s">
        <v>413</v>
      </c>
      <c r="AS84" s="2255" t="s">
        <v>413</v>
      </c>
      <c r="AU84" s="2254" t="s">
        <v>413</v>
      </c>
    </row>
    <row r="85" spans="1:91" ht="44.25">
      <c r="A85" s="2202"/>
      <c r="B85" s="2209" t="s">
        <v>33</v>
      </c>
      <c r="C85" s="2204" t="s">
        <v>1972</v>
      </c>
      <c r="D85" s="2269" t="s">
        <v>33</v>
      </c>
      <c r="E85" s="2208" t="s">
        <v>1983</v>
      </c>
      <c r="F85" s="2204" t="s">
        <v>1972</v>
      </c>
      <c r="G85" s="2270" t="s">
        <v>1983</v>
      </c>
      <c r="H85" s="2205" t="s">
        <v>1982</v>
      </c>
      <c r="I85" s="2204" t="s">
        <v>1972</v>
      </c>
      <c r="J85" s="2269" t="s">
        <v>1982</v>
      </c>
      <c r="K85" s="2205" t="s">
        <v>380</v>
      </c>
      <c r="L85" s="2204" t="s">
        <v>1972</v>
      </c>
      <c r="M85" s="2268" t="s">
        <v>380</v>
      </c>
      <c r="N85" s="2202"/>
      <c r="O85" s="2209" t="s">
        <v>33</v>
      </c>
      <c r="P85" s="2204" t="s">
        <v>1972</v>
      </c>
      <c r="Q85" s="2266" t="s">
        <v>33</v>
      </c>
      <c r="R85" s="2208" t="s">
        <v>1983</v>
      </c>
      <c r="S85" s="2204" t="s">
        <v>1972</v>
      </c>
      <c r="T85" s="2267" t="s">
        <v>1983</v>
      </c>
      <c r="U85" s="2205" t="s">
        <v>1982</v>
      </c>
      <c r="V85" s="2204" t="s">
        <v>1972</v>
      </c>
      <c r="W85" s="2266" t="s">
        <v>1982</v>
      </c>
      <c r="X85" s="2205" t="s">
        <v>380</v>
      </c>
      <c r="Y85" s="2204" t="s">
        <v>1972</v>
      </c>
      <c r="Z85" s="2265" t="s">
        <v>380</v>
      </c>
      <c r="AA85" s="2202"/>
      <c r="AB85" s="2202"/>
      <c r="AC85" s="2202"/>
      <c r="AG85" s="2273" t="s">
        <v>412</v>
      </c>
      <c r="AI85" s="2260" t="s">
        <v>2040</v>
      </c>
      <c r="AJ85" s="2257"/>
      <c r="AK85" s="2259" t="s">
        <v>412</v>
      </c>
      <c r="AM85" s="2262" t="s">
        <v>2040</v>
      </c>
      <c r="AO85" s="2257"/>
      <c r="AQ85" s="2256" t="s">
        <v>412</v>
      </c>
      <c r="AS85" s="2255" t="s">
        <v>412</v>
      </c>
      <c r="AU85" s="2254" t="s">
        <v>412</v>
      </c>
    </row>
    <row r="86" spans="1:91" s="2105" customFormat="1" ht="44.25">
      <c r="A86" s="2202"/>
      <c r="B86" s="2209" t="s">
        <v>1981</v>
      </c>
      <c r="C86" s="2204" t="s">
        <v>1972</v>
      </c>
      <c r="D86" s="2269" t="s">
        <v>1981</v>
      </c>
      <c r="E86" s="2208" t="s">
        <v>1980</v>
      </c>
      <c r="F86" s="2204" t="s">
        <v>1972</v>
      </c>
      <c r="G86" s="2270" t="s">
        <v>1980</v>
      </c>
      <c r="H86" s="2205" t="s">
        <v>1979</v>
      </c>
      <c r="I86" s="2204" t="s">
        <v>1972</v>
      </c>
      <c r="J86" s="2269" t="s">
        <v>1979</v>
      </c>
      <c r="K86" s="2205" t="s">
        <v>1978</v>
      </c>
      <c r="L86" s="2204" t="s">
        <v>1972</v>
      </c>
      <c r="M86" s="2268" t="s">
        <v>1978</v>
      </c>
      <c r="N86" s="2202"/>
      <c r="O86" s="2209" t="s">
        <v>1981</v>
      </c>
      <c r="P86" s="2204" t="s">
        <v>1972</v>
      </c>
      <c r="Q86" s="2266" t="s">
        <v>1981</v>
      </c>
      <c r="R86" s="2208" t="s">
        <v>1980</v>
      </c>
      <c r="S86" s="2204" t="s">
        <v>1972</v>
      </c>
      <c r="T86" s="2267" t="s">
        <v>1980</v>
      </c>
      <c r="U86" s="2205" t="s">
        <v>1979</v>
      </c>
      <c r="V86" s="2204" t="s">
        <v>1972</v>
      </c>
      <c r="W86" s="2266" t="s">
        <v>1979</v>
      </c>
      <c r="X86" s="2205" t="s">
        <v>1978</v>
      </c>
      <c r="Y86" s="2204" t="s">
        <v>1972</v>
      </c>
      <c r="Z86" s="2265" t="s">
        <v>1978</v>
      </c>
      <c r="AA86" s="2202"/>
      <c r="AB86" s="2202"/>
      <c r="AC86" s="2202"/>
      <c r="AG86" s="2272" t="s">
        <v>411</v>
      </c>
      <c r="AI86" s="2260" t="s">
        <v>2039</v>
      </c>
      <c r="AJ86" s="2257"/>
      <c r="AK86" s="2259" t="s">
        <v>411</v>
      </c>
      <c r="AM86" s="2262" t="s">
        <v>2039</v>
      </c>
      <c r="AO86" s="2257"/>
      <c r="AQ86" s="2256" t="s">
        <v>411</v>
      </c>
      <c r="AS86" s="2255" t="s">
        <v>411</v>
      </c>
      <c r="AU86" s="2254" t="s">
        <v>411</v>
      </c>
    </row>
    <row r="87" spans="1:91" s="2105" customFormat="1" ht="44.25">
      <c r="A87" s="2202"/>
      <c r="B87" s="2209" t="s">
        <v>1977</v>
      </c>
      <c r="C87" s="2204" t="s">
        <v>1972</v>
      </c>
      <c r="D87" s="2269" t="s">
        <v>1977</v>
      </c>
      <c r="E87" s="2208" t="s">
        <v>1976</v>
      </c>
      <c r="F87" s="2204" t="s">
        <v>1972</v>
      </c>
      <c r="G87" s="2270" t="s">
        <v>1976</v>
      </c>
      <c r="H87" s="2205" t="s">
        <v>1975</v>
      </c>
      <c r="I87" s="2204" t="s">
        <v>1972</v>
      </c>
      <c r="J87" s="2269" t="s">
        <v>1975</v>
      </c>
      <c r="K87" s="2205" t="s">
        <v>1074</v>
      </c>
      <c r="L87" s="2204" t="s">
        <v>1972</v>
      </c>
      <c r="M87" s="2268" t="s">
        <v>1074</v>
      </c>
      <c r="N87" s="2202"/>
      <c r="O87" s="2209" t="s">
        <v>1977</v>
      </c>
      <c r="P87" s="2204" t="s">
        <v>1972</v>
      </c>
      <c r="Q87" s="2266" t="s">
        <v>1977</v>
      </c>
      <c r="R87" s="2208" t="s">
        <v>1976</v>
      </c>
      <c r="S87" s="2204" t="s">
        <v>1972</v>
      </c>
      <c r="T87" s="2267" t="s">
        <v>1976</v>
      </c>
      <c r="U87" s="2205" t="s">
        <v>1975</v>
      </c>
      <c r="V87" s="2204" t="s">
        <v>1972</v>
      </c>
      <c r="W87" s="2266" t="s">
        <v>1975</v>
      </c>
      <c r="X87" s="2205" t="s">
        <v>1074</v>
      </c>
      <c r="Y87" s="2204" t="s">
        <v>1972</v>
      </c>
      <c r="Z87" s="2265" t="s">
        <v>1074</v>
      </c>
      <c r="AA87" s="2202"/>
      <c r="AB87" s="2202"/>
      <c r="AC87" s="2202"/>
      <c r="AG87" s="2271" t="s">
        <v>410</v>
      </c>
      <c r="AI87" s="2260" t="s">
        <v>2038</v>
      </c>
      <c r="AJ87" s="2257"/>
      <c r="AK87" s="2259" t="s">
        <v>410</v>
      </c>
      <c r="AM87" s="2262" t="s">
        <v>2038</v>
      </c>
      <c r="AO87" s="2257"/>
      <c r="AQ87" s="2256" t="s">
        <v>410</v>
      </c>
      <c r="AS87" s="2255" t="s">
        <v>410</v>
      </c>
      <c r="AU87" s="2254" t="s">
        <v>410</v>
      </c>
    </row>
    <row r="88" spans="1:91" s="2105" customFormat="1" ht="44.25">
      <c r="A88" s="2202"/>
      <c r="B88" s="2209"/>
      <c r="C88" s="2204" t="s">
        <v>1972</v>
      </c>
      <c r="D88" s="2269"/>
      <c r="E88" s="2208" t="s">
        <v>1974</v>
      </c>
      <c r="F88" s="2204" t="s">
        <v>1972</v>
      </c>
      <c r="G88" s="2270" t="s">
        <v>1974</v>
      </c>
      <c r="H88" s="2205" t="s">
        <v>1973</v>
      </c>
      <c r="I88" s="2204" t="s">
        <v>1972</v>
      </c>
      <c r="J88" s="2269" t="s">
        <v>1973</v>
      </c>
      <c r="K88" s="2205"/>
      <c r="L88" s="2204" t="s">
        <v>1972</v>
      </c>
      <c r="M88" s="2268"/>
      <c r="N88" s="2202"/>
      <c r="O88" s="2209"/>
      <c r="P88" s="2204" t="s">
        <v>1972</v>
      </c>
      <c r="Q88" s="2266"/>
      <c r="R88" s="2208" t="s">
        <v>1974</v>
      </c>
      <c r="S88" s="2204" t="s">
        <v>1972</v>
      </c>
      <c r="T88" s="2267" t="s">
        <v>1974</v>
      </c>
      <c r="U88" s="2205" t="s">
        <v>1973</v>
      </c>
      <c r="V88" s="2204" t="s">
        <v>1972</v>
      </c>
      <c r="W88" s="2266" t="s">
        <v>1973</v>
      </c>
      <c r="X88" s="2205"/>
      <c r="Y88" s="2204" t="s">
        <v>1972</v>
      </c>
      <c r="Z88" s="2265"/>
      <c r="AA88" s="2202"/>
      <c r="AB88" s="2202"/>
      <c r="AC88" s="2202"/>
      <c r="AG88" s="2264" t="s">
        <v>409</v>
      </c>
      <c r="AI88" s="2260" t="s">
        <v>2037</v>
      </c>
      <c r="AJ88" s="2257"/>
      <c r="AK88" s="2259" t="s">
        <v>409</v>
      </c>
      <c r="AM88" s="2262" t="s">
        <v>2037</v>
      </c>
      <c r="AO88" s="2257"/>
      <c r="AQ88" s="2256" t="s">
        <v>409</v>
      </c>
      <c r="AS88" s="2255" t="s">
        <v>409</v>
      </c>
      <c r="AU88" s="2254" t="s">
        <v>409</v>
      </c>
    </row>
    <row r="89" spans="1:91" s="2105" customFormat="1" ht="18.75">
      <c r="A89" s="2195"/>
      <c r="B89" s="2201"/>
      <c r="C89" s="2200"/>
      <c r="D89" s="2200"/>
      <c r="E89" s="2200"/>
      <c r="F89" s="2200"/>
      <c r="G89" s="2200"/>
      <c r="H89" s="2200"/>
      <c r="I89" s="2200"/>
      <c r="J89" s="2200"/>
      <c r="K89" s="2200"/>
      <c r="L89" s="2200"/>
      <c r="M89" s="2199"/>
      <c r="N89" s="2234"/>
      <c r="O89" s="2201"/>
      <c r="P89" s="2200"/>
      <c r="Q89" s="2200"/>
      <c r="R89" s="2200"/>
      <c r="S89" s="2200"/>
      <c r="T89" s="2200"/>
      <c r="U89" s="2200"/>
      <c r="V89" s="2200"/>
      <c r="W89" s="2200"/>
      <c r="X89" s="2200"/>
      <c r="Y89" s="2200"/>
      <c r="Z89" s="2199"/>
      <c r="AA89" s="2234"/>
      <c r="AB89" s="2195"/>
      <c r="AC89" s="2195"/>
      <c r="AG89" s="2263" t="s">
        <v>408</v>
      </c>
      <c r="AI89" s="2260" t="s">
        <v>2036</v>
      </c>
      <c r="AJ89" s="2257"/>
      <c r="AK89" s="2259" t="s">
        <v>408</v>
      </c>
      <c r="AM89" s="2262" t="s">
        <v>2036</v>
      </c>
      <c r="AO89" s="2257"/>
      <c r="AQ89" s="2256" t="s">
        <v>408</v>
      </c>
      <c r="AS89" s="2255" t="s">
        <v>408</v>
      </c>
      <c r="AU89" s="2254" t="s">
        <v>408</v>
      </c>
    </row>
    <row r="90" spans="1:91" s="2105" customFormat="1" ht="18.75">
      <c r="A90" s="987"/>
      <c r="B90" s="987"/>
      <c r="C90" s="987"/>
      <c r="D90" s="987"/>
      <c r="E90" s="987"/>
      <c r="F90" s="987"/>
      <c r="G90" s="987"/>
      <c r="H90" s="987"/>
      <c r="I90" s="987"/>
      <c r="J90" s="987"/>
      <c r="K90" s="987"/>
      <c r="L90" s="987"/>
      <c r="M90" s="987"/>
      <c r="N90" s="987"/>
      <c r="O90" s="987"/>
      <c r="P90" s="987"/>
      <c r="Q90" s="987"/>
      <c r="R90" s="987"/>
      <c r="S90" s="987"/>
      <c r="T90" s="987"/>
      <c r="U90" s="987"/>
      <c r="V90" s="987"/>
      <c r="W90" s="987"/>
      <c r="X90" s="987"/>
      <c r="Y90" s="987"/>
      <c r="Z90" s="987"/>
      <c r="AA90" s="987"/>
      <c r="AB90" s="987"/>
      <c r="AC90" s="987"/>
      <c r="AG90" s="2261" t="s">
        <v>407</v>
      </c>
      <c r="AI90" s="2260" t="s">
        <v>2035</v>
      </c>
      <c r="AJ90" s="2257"/>
      <c r="AK90" s="2259" t="s">
        <v>407</v>
      </c>
      <c r="AM90" s="2262" t="s">
        <v>2035</v>
      </c>
      <c r="AO90" s="2257"/>
      <c r="AQ90" s="2256" t="s">
        <v>407</v>
      </c>
      <c r="AS90" s="2255" t="s">
        <v>407</v>
      </c>
      <c r="AU90" s="2254" t="s">
        <v>407</v>
      </c>
    </row>
    <row r="91" spans="1:91" s="2105" customFormat="1" ht="18.75">
      <c r="A91" s="987"/>
      <c r="B91" s="987"/>
      <c r="C91" s="987"/>
      <c r="D91" s="987"/>
      <c r="E91" s="987"/>
      <c r="F91" s="987"/>
      <c r="G91" s="987"/>
      <c r="H91" s="987"/>
      <c r="I91" s="987"/>
      <c r="J91" s="987"/>
      <c r="K91" s="987"/>
      <c r="L91" s="987"/>
      <c r="M91" s="987"/>
      <c r="N91" s="987"/>
      <c r="O91" s="987"/>
      <c r="P91" s="987"/>
      <c r="Q91" s="987"/>
      <c r="R91" s="987"/>
      <c r="S91" s="987"/>
      <c r="T91" s="987"/>
      <c r="U91" s="987"/>
      <c r="V91" s="987"/>
      <c r="W91" s="987"/>
      <c r="X91" s="987"/>
      <c r="Y91" s="987"/>
      <c r="Z91" s="987"/>
      <c r="AA91" s="987"/>
      <c r="AB91" s="987"/>
      <c r="AC91" s="987"/>
      <c r="AG91" s="2261" t="s">
        <v>406</v>
      </c>
      <c r="AI91" s="2260" t="s">
        <v>2034</v>
      </c>
      <c r="AJ91" s="2257"/>
      <c r="AK91" s="2259" t="s">
        <v>406</v>
      </c>
      <c r="AM91" s="2258"/>
      <c r="AO91" s="2257"/>
      <c r="AQ91" s="2256" t="s">
        <v>406</v>
      </c>
      <c r="AS91" s="2255" t="s">
        <v>406</v>
      </c>
      <c r="AU91" s="2254" t="s">
        <v>406</v>
      </c>
    </row>
    <row r="92" spans="1:91" s="2105" customFormat="1" ht="30">
      <c r="A92" s="987"/>
      <c r="B92" s="2230" t="s">
        <v>2029</v>
      </c>
      <c r="C92" s="2229"/>
      <c r="D92" s="2228" t="s">
        <v>2028</v>
      </c>
      <c r="E92" s="2253" t="s">
        <v>2033</v>
      </c>
      <c r="F92" s="2252"/>
      <c r="G92" s="2252"/>
      <c r="H92" s="2252"/>
      <c r="I92" s="2252"/>
      <c r="J92" s="2252"/>
      <c r="K92" s="2252"/>
      <c r="L92" s="2252"/>
      <c r="M92" s="2251"/>
      <c r="N92" s="987"/>
      <c r="O92" s="2230" t="s">
        <v>2029</v>
      </c>
      <c r="P92" s="2229"/>
      <c r="Q92" s="2228" t="s">
        <v>2028</v>
      </c>
      <c r="R92" s="2250" t="s">
        <v>2032</v>
      </c>
      <c r="S92" s="2249"/>
      <c r="T92" s="2249"/>
      <c r="U92" s="2249"/>
      <c r="V92" s="2249"/>
      <c r="W92" s="2249"/>
      <c r="X92" s="2249"/>
      <c r="Y92" s="2249"/>
      <c r="Z92" s="2248"/>
      <c r="AA92" s="987"/>
      <c r="AB92" s="987"/>
      <c r="AC92" s="987"/>
    </row>
    <row r="93" spans="1:91" s="2105" customFormat="1" ht="30">
      <c r="A93" s="987"/>
      <c r="B93" s="2223" t="s">
        <v>2026</v>
      </c>
      <c r="C93" s="2222" t="s">
        <v>1972</v>
      </c>
      <c r="D93" s="2247" t="str">
        <f>B93</f>
        <v>Aa</v>
      </c>
      <c r="E93" s="2246" t="s">
        <v>2031</v>
      </c>
      <c r="F93" s="2244"/>
      <c r="G93" s="2243"/>
      <c r="H93" s="2243"/>
      <c r="I93" s="2243"/>
      <c r="J93" s="2243"/>
      <c r="K93" s="2243"/>
      <c r="L93" s="2243"/>
      <c r="M93" s="2242"/>
      <c r="N93" s="987"/>
      <c r="O93" s="2223" t="s">
        <v>2026</v>
      </c>
      <c r="P93" s="2222" t="s">
        <v>1972</v>
      </c>
      <c r="Q93" s="2245" t="str">
        <f>O93</f>
        <v>Aa</v>
      </c>
      <c r="R93" s="2220" t="s">
        <v>2025</v>
      </c>
      <c r="S93" s="2244"/>
      <c r="T93" s="2243"/>
      <c r="U93" s="2243"/>
      <c r="V93" s="2243"/>
      <c r="W93" s="2243"/>
      <c r="X93" s="2243"/>
      <c r="Y93" s="2243"/>
      <c r="Z93" s="2242"/>
      <c r="AA93" s="987"/>
      <c r="AB93" s="987"/>
      <c r="AC93" s="987"/>
    </row>
    <row r="94" spans="1:91" s="2105" customFormat="1">
      <c r="A94" s="987"/>
      <c r="B94" s="2217"/>
      <c r="C94" s="987"/>
      <c r="D94" s="987"/>
      <c r="E94" s="987"/>
      <c r="F94" s="987"/>
      <c r="G94" s="987"/>
      <c r="H94" s="987"/>
      <c r="I94" s="987"/>
      <c r="J94" s="987"/>
      <c r="K94" s="987"/>
      <c r="L94" s="987"/>
      <c r="M94" s="2216"/>
      <c r="N94" s="987"/>
      <c r="O94" s="2217"/>
      <c r="P94" s="987"/>
      <c r="Q94" s="987"/>
      <c r="R94" s="987"/>
      <c r="S94" s="987"/>
      <c r="T94" s="987"/>
      <c r="U94" s="987"/>
      <c r="V94" s="987"/>
      <c r="W94" s="987"/>
      <c r="X94" s="987"/>
      <c r="Y94" s="987"/>
      <c r="Z94" s="2216"/>
      <c r="AA94" s="987"/>
      <c r="AB94" s="987"/>
      <c r="AC94" s="987"/>
    </row>
    <row r="95" spans="1:91" s="2105" customFormat="1">
      <c r="A95" s="987"/>
      <c r="B95" s="2215" t="s">
        <v>2024</v>
      </c>
      <c r="C95" s="4903" t="s">
        <v>2020</v>
      </c>
      <c r="D95" s="4904"/>
      <c r="E95" s="2214" t="s">
        <v>2023</v>
      </c>
      <c r="F95" s="4903" t="s">
        <v>2020</v>
      </c>
      <c r="G95" s="4904"/>
      <c r="H95" s="2214" t="s">
        <v>2022</v>
      </c>
      <c r="I95" s="4903" t="s">
        <v>2020</v>
      </c>
      <c r="J95" s="4904"/>
      <c r="K95" s="2214" t="s">
        <v>2021</v>
      </c>
      <c r="L95" s="4903" t="s">
        <v>2020</v>
      </c>
      <c r="M95" s="4905"/>
      <c r="N95" s="987"/>
      <c r="O95" s="2215" t="s">
        <v>2024</v>
      </c>
      <c r="P95" s="4906" t="s">
        <v>2020</v>
      </c>
      <c r="Q95" s="4907"/>
      <c r="R95" s="2214" t="s">
        <v>2023</v>
      </c>
      <c r="S95" s="4906" t="s">
        <v>2020</v>
      </c>
      <c r="T95" s="4907"/>
      <c r="U95" s="2214" t="s">
        <v>2022</v>
      </c>
      <c r="V95" s="4906" t="s">
        <v>2020</v>
      </c>
      <c r="W95" s="4907"/>
      <c r="X95" s="2214" t="s">
        <v>2021</v>
      </c>
      <c r="Y95" s="4906" t="s">
        <v>2020</v>
      </c>
      <c r="Z95" s="4909"/>
      <c r="AA95" s="987"/>
      <c r="AB95" s="987"/>
      <c r="AC95" s="987"/>
    </row>
    <row r="96" spans="1:91" s="2105" customFormat="1" ht="44.25">
      <c r="A96" s="2202"/>
      <c r="B96" s="2209" t="s">
        <v>2</v>
      </c>
      <c r="C96" s="2204" t="s">
        <v>1972</v>
      </c>
      <c r="D96" s="2240" t="s">
        <v>2</v>
      </c>
      <c r="E96" s="2208" t="s">
        <v>2019</v>
      </c>
      <c r="F96" s="2204" t="s">
        <v>1972</v>
      </c>
      <c r="G96" s="2241" t="s">
        <v>2019</v>
      </c>
      <c r="H96" s="2205">
        <v>1</v>
      </c>
      <c r="I96" s="2204" t="s">
        <v>1972</v>
      </c>
      <c r="J96" s="2240">
        <v>1</v>
      </c>
      <c r="K96" s="2205">
        <v>27</v>
      </c>
      <c r="L96" s="2204" t="s">
        <v>1972</v>
      </c>
      <c r="M96" s="2239">
        <v>27</v>
      </c>
      <c r="N96" s="2202"/>
      <c r="O96" s="2209" t="s">
        <v>2</v>
      </c>
      <c r="P96" s="2204" t="s">
        <v>1972</v>
      </c>
      <c r="Q96" s="2237" t="s">
        <v>2</v>
      </c>
      <c r="R96" s="2208" t="s">
        <v>2019</v>
      </c>
      <c r="S96" s="2204" t="s">
        <v>1972</v>
      </c>
      <c r="T96" s="2238" t="s">
        <v>2019</v>
      </c>
      <c r="U96" s="2205">
        <v>1</v>
      </c>
      <c r="V96" s="2204" t="s">
        <v>1972</v>
      </c>
      <c r="W96" s="2237">
        <v>1</v>
      </c>
      <c r="X96" s="2205">
        <v>27</v>
      </c>
      <c r="Y96" s="2204" t="s">
        <v>1972</v>
      </c>
      <c r="Z96" s="2236">
        <v>27</v>
      </c>
      <c r="AA96" s="2202"/>
      <c r="AB96" s="2202"/>
      <c r="AC96" s="2202"/>
    </row>
    <row r="97" spans="1:29" s="2105" customFormat="1" ht="44.25">
      <c r="A97" s="2202"/>
      <c r="B97" s="2209" t="s">
        <v>27</v>
      </c>
      <c r="C97" s="2204" t="s">
        <v>1972</v>
      </c>
      <c r="D97" s="2240" t="s">
        <v>27</v>
      </c>
      <c r="E97" s="2208" t="s">
        <v>2018</v>
      </c>
      <c r="F97" s="2204" t="s">
        <v>1972</v>
      </c>
      <c r="G97" s="2241" t="s">
        <v>2018</v>
      </c>
      <c r="H97" s="2205">
        <v>2</v>
      </c>
      <c r="I97" s="2204" t="s">
        <v>1972</v>
      </c>
      <c r="J97" s="2240">
        <v>2</v>
      </c>
      <c r="K97" s="2205">
        <v>28</v>
      </c>
      <c r="L97" s="2204" t="s">
        <v>1972</v>
      </c>
      <c r="M97" s="2239">
        <v>28</v>
      </c>
      <c r="N97" s="2202"/>
      <c r="O97" s="2209" t="s">
        <v>27</v>
      </c>
      <c r="P97" s="2204" t="s">
        <v>1972</v>
      </c>
      <c r="Q97" s="2237" t="s">
        <v>27</v>
      </c>
      <c r="R97" s="2208" t="s">
        <v>2018</v>
      </c>
      <c r="S97" s="2204" t="s">
        <v>1972</v>
      </c>
      <c r="T97" s="2238" t="s">
        <v>2018</v>
      </c>
      <c r="U97" s="2205">
        <v>2</v>
      </c>
      <c r="V97" s="2204" t="s">
        <v>1972</v>
      </c>
      <c r="W97" s="2237">
        <v>2</v>
      </c>
      <c r="X97" s="2205">
        <v>28</v>
      </c>
      <c r="Y97" s="2204" t="s">
        <v>1972</v>
      </c>
      <c r="Z97" s="2236">
        <v>28</v>
      </c>
      <c r="AA97" s="2202"/>
      <c r="AB97" s="2202"/>
      <c r="AC97" s="2202"/>
    </row>
    <row r="98" spans="1:29" s="2105" customFormat="1" ht="44.25">
      <c r="A98" s="2202"/>
      <c r="B98" s="2209" t="s">
        <v>39</v>
      </c>
      <c r="C98" s="2204" t="s">
        <v>1972</v>
      </c>
      <c r="D98" s="2240" t="s">
        <v>39</v>
      </c>
      <c r="E98" s="2208" t="s">
        <v>2017</v>
      </c>
      <c r="F98" s="2204" t="s">
        <v>1972</v>
      </c>
      <c r="G98" s="2241" t="s">
        <v>2017</v>
      </c>
      <c r="H98" s="2205">
        <v>3</v>
      </c>
      <c r="I98" s="2204" t="s">
        <v>1972</v>
      </c>
      <c r="J98" s="2240">
        <v>3</v>
      </c>
      <c r="K98" s="2205">
        <v>29</v>
      </c>
      <c r="L98" s="2204" t="s">
        <v>1972</v>
      </c>
      <c r="M98" s="2239">
        <v>29</v>
      </c>
      <c r="N98" s="2202"/>
      <c r="O98" s="2209" t="s">
        <v>39</v>
      </c>
      <c r="P98" s="2204" t="s">
        <v>1972</v>
      </c>
      <c r="Q98" s="2237" t="s">
        <v>39</v>
      </c>
      <c r="R98" s="2208" t="s">
        <v>2017</v>
      </c>
      <c r="S98" s="2204" t="s">
        <v>1972</v>
      </c>
      <c r="T98" s="2238" t="s">
        <v>2017</v>
      </c>
      <c r="U98" s="2205">
        <v>3</v>
      </c>
      <c r="V98" s="2204" t="s">
        <v>1972</v>
      </c>
      <c r="W98" s="2237">
        <v>3</v>
      </c>
      <c r="X98" s="2205">
        <v>29</v>
      </c>
      <c r="Y98" s="2204" t="s">
        <v>1972</v>
      </c>
      <c r="Z98" s="2236">
        <v>29</v>
      </c>
      <c r="AA98" s="2202"/>
      <c r="AB98" s="2202"/>
      <c r="AC98" s="2202"/>
    </row>
    <row r="99" spans="1:29" s="2105" customFormat="1" ht="44.25">
      <c r="A99" s="2202"/>
      <c r="B99" s="2209" t="s">
        <v>52</v>
      </c>
      <c r="C99" s="2204" t="s">
        <v>1972</v>
      </c>
      <c r="D99" s="2240" t="s">
        <v>52</v>
      </c>
      <c r="E99" s="2208" t="s">
        <v>2016</v>
      </c>
      <c r="F99" s="2204" t="s">
        <v>1972</v>
      </c>
      <c r="G99" s="2241" t="s">
        <v>2016</v>
      </c>
      <c r="H99" s="2205">
        <v>4</v>
      </c>
      <c r="I99" s="2204" t="s">
        <v>1972</v>
      </c>
      <c r="J99" s="2240">
        <v>4</v>
      </c>
      <c r="K99" s="2205">
        <v>30</v>
      </c>
      <c r="L99" s="2204" t="s">
        <v>1972</v>
      </c>
      <c r="M99" s="2239">
        <v>30</v>
      </c>
      <c r="N99" s="2202"/>
      <c r="O99" s="2209" t="s">
        <v>52</v>
      </c>
      <c r="P99" s="2204" t="s">
        <v>1972</v>
      </c>
      <c r="Q99" s="2237" t="s">
        <v>52</v>
      </c>
      <c r="R99" s="2208" t="s">
        <v>2016</v>
      </c>
      <c r="S99" s="2204" t="s">
        <v>1972</v>
      </c>
      <c r="T99" s="2238" t="s">
        <v>2016</v>
      </c>
      <c r="U99" s="2205">
        <v>4</v>
      </c>
      <c r="V99" s="2204" t="s">
        <v>1972</v>
      </c>
      <c r="W99" s="2237">
        <v>4</v>
      </c>
      <c r="X99" s="2205">
        <v>30</v>
      </c>
      <c r="Y99" s="2204" t="s">
        <v>1972</v>
      </c>
      <c r="Z99" s="2236">
        <v>30</v>
      </c>
      <c r="AA99" s="2202"/>
      <c r="AB99" s="2202"/>
      <c r="AC99" s="2202"/>
    </row>
    <row r="100" spans="1:29" s="2105" customFormat="1" ht="44.25">
      <c r="A100" s="2202"/>
      <c r="B100" s="2209" t="s">
        <v>771</v>
      </c>
      <c r="C100" s="2204" t="s">
        <v>1972</v>
      </c>
      <c r="D100" s="2240" t="s">
        <v>771</v>
      </c>
      <c r="E100" s="2208" t="s">
        <v>2015</v>
      </c>
      <c r="F100" s="2204" t="s">
        <v>1972</v>
      </c>
      <c r="G100" s="2241" t="s">
        <v>2015</v>
      </c>
      <c r="H100" s="2205">
        <v>5</v>
      </c>
      <c r="I100" s="2204" t="s">
        <v>1972</v>
      </c>
      <c r="J100" s="2240">
        <v>5</v>
      </c>
      <c r="K100" s="2205">
        <v>31</v>
      </c>
      <c r="L100" s="2204" t="s">
        <v>1972</v>
      </c>
      <c r="M100" s="2239">
        <v>31</v>
      </c>
      <c r="N100" s="2202"/>
      <c r="O100" s="2209" t="s">
        <v>771</v>
      </c>
      <c r="P100" s="2204" t="s">
        <v>1972</v>
      </c>
      <c r="Q100" s="2237" t="s">
        <v>771</v>
      </c>
      <c r="R100" s="2208" t="s">
        <v>2015</v>
      </c>
      <c r="S100" s="2204" t="s">
        <v>1972</v>
      </c>
      <c r="T100" s="2238" t="s">
        <v>2015</v>
      </c>
      <c r="U100" s="2205">
        <v>5</v>
      </c>
      <c r="V100" s="2204" t="s">
        <v>1972</v>
      </c>
      <c r="W100" s="2237">
        <v>5</v>
      </c>
      <c r="X100" s="2205">
        <v>31</v>
      </c>
      <c r="Y100" s="2204" t="s">
        <v>1972</v>
      </c>
      <c r="Z100" s="2236">
        <v>31</v>
      </c>
      <c r="AA100" s="2202"/>
      <c r="AB100" s="2202"/>
      <c r="AC100" s="2202"/>
    </row>
    <row r="101" spans="1:29" s="2105" customFormat="1" ht="44.25">
      <c r="A101" s="2202"/>
      <c r="B101" s="2209" t="s">
        <v>874</v>
      </c>
      <c r="C101" s="2204" t="s">
        <v>1972</v>
      </c>
      <c r="D101" s="2240" t="s">
        <v>874</v>
      </c>
      <c r="E101" s="2208" t="s">
        <v>2014</v>
      </c>
      <c r="F101" s="2204" t="s">
        <v>1972</v>
      </c>
      <c r="G101" s="2241" t="s">
        <v>2014</v>
      </c>
      <c r="H101" s="2205">
        <v>6</v>
      </c>
      <c r="I101" s="2204" t="s">
        <v>1972</v>
      </c>
      <c r="J101" s="2240">
        <v>6</v>
      </c>
      <c r="K101" s="2205">
        <v>32</v>
      </c>
      <c r="L101" s="2204" t="s">
        <v>1972</v>
      </c>
      <c r="M101" s="2239">
        <v>32</v>
      </c>
      <c r="N101" s="2202"/>
      <c r="O101" s="2209" t="s">
        <v>874</v>
      </c>
      <c r="P101" s="2204" t="s">
        <v>1972</v>
      </c>
      <c r="Q101" s="2237" t="s">
        <v>874</v>
      </c>
      <c r="R101" s="2208" t="s">
        <v>2014</v>
      </c>
      <c r="S101" s="2204" t="s">
        <v>1972</v>
      </c>
      <c r="T101" s="2238" t="s">
        <v>2014</v>
      </c>
      <c r="U101" s="2205">
        <v>6</v>
      </c>
      <c r="V101" s="2204" t="s">
        <v>1972</v>
      </c>
      <c r="W101" s="2237">
        <v>6</v>
      </c>
      <c r="X101" s="2205">
        <v>32</v>
      </c>
      <c r="Y101" s="2204" t="s">
        <v>1972</v>
      </c>
      <c r="Z101" s="2236">
        <v>32</v>
      </c>
      <c r="AA101" s="2202"/>
      <c r="AB101" s="2202"/>
      <c r="AC101" s="2202"/>
    </row>
    <row r="102" spans="1:29" s="2105" customFormat="1" ht="44.25">
      <c r="A102" s="2202"/>
      <c r="B102" s="2209" t="s">
        <v>18</v>
      </c>
      <c r="C102" s="2204" t="s">
        <v>1972</v>
      </c>
      <c r="D102" s="2240" t="s">
        <v>18</v>
      </c>
      <c r="E102" s="2208" t="s">
        <v>598</v>
      </c>
      <c r="F102" s="2204" t="s">
        <v>1972</v>
      </c>
      <c r="G102" s="2241" t="s">
        <v>598</v>
      </c>
      <c r="H102" s="2205">
        <v>7</v>
      </c>
      <c r="I102" s="2204" t="s">
        <v>1972</v>
      </c>
      <c r="J102" s="2240">
        <v>7</v>
      </c>
      <c r="K102" s="2205">
        <v>33</v>
      </c>
      <c r="L102" s="2204" t="s">
        <v>1972</v>
      </c>
      <c r="M102" s="2239">
        <v>33</v>
      </c>
      <c r="N102" s="2202"/>
      <c r="O102" s="2209" t="s">
        <v>18</v>
      </c>
      <c r="P102" s="2204" t="s">
        <v>1972</v>
      </c>
      <c r="Q102" s="2237" t="s">
        <v>18</v>
      </c>
      <c r="R102" s="2208" t="s">
        <v>598</v>
      </c>
      <c r="S102" s="2204" t="s">
        <v>1972</v>
      </c>
      <c r="T102" s="2238" t="s">
        <v>598</v>
      </c>
      <c r="U102" s="2205">
        <v>7</v>
      </c>
      <c r="V102" s="2204" t="s">
        <v>1972</v>
      </c>
      <c r="W102" s="2237">
        <v>7</v>
      </c>
      <c r="X102" s="2205">
        <v>33</v>
      </c>
      <c r="Y102" s="2204" t="s">
        <v>1972</v>
      </c>
      <c r="Z102" s="2236">
        <v>33</v>
      </c>
      <c r="AA102" s="2202"/>
      <c r="AB102" s="2202"/>
      <c r="AC102" s="2202"/>
    </row>
    <row r="103" spans="1:29" s="2105" customFormat="1" ht="44.25">
      <c r="A103" s="2202"/>
      <c r="B103" s="2209" t="s">
        <v>30</v>
      </c>
      <c r="C103" s="2204" t="s">
        <v>1972</v>
      </c>
      <c r="D103" s="2240" t="s">
        <v>30</v>
      </c>
      <c r="E103" s="2208" t="s">
        <v>2013</v>
      </c>
      <c r="F103" s="2204" t="s">
        <v>1972</v>
      </c>
      <c r="G103" s="2241" t="s">
        <v>2013</v>
      </c>
      <c r="H103" s="2205">
        <v>8</v>
      </c>
      <c r="I103" s="2204" t="s">
        <v>1972</v>
      </c>
      <c r="J103" s="2240">
        <v>8</v>
      </c>
      <c r="K103" s="2205">
        <v>34</v>
      </c>
      <c r="L103" s="2204" t="s">
        <v>1972</v>
      </c>
      <c r="M103" s="2239">
        <v>34</v>
      </c>
      <c r="N103" s="2202"/>
      <c r="O103" s="2209" t="s">
        <v>30</v>
      </c>
      <c r="P103" s="2204" t="s">
        <v>1972</v>
      </c>
      <c r="Q103" s="2237" t="s">
        <v>30</v>
      </c>
      <c r="R103" s="2208" t="s">
        <v>2013</v>
      </c>
      <c r="S103" s="2204" t="s">
        <v>1972</v>
      </c>
      <c r="T103" s="2238" t="s">
        <v>2013</v>
      </c>
      <c r="U103" s="2205">
        <v>8</v>
      </c>
      <c r="V103" s="2204" t="s">
        <v>1972</v>
      </c>
      <c r="W103" s="2237">
        <v>8</v>
      </c>
      <c r="X103" s="2205">
        <v>34</v>
      </c>
      <c r="Y103" s="2204" t="s">
        <v>1972</v>
      </c>
      <c r="Z103" s="2236">
        <v>34</v>
      </c>
      <c r="AA103" s="2202"/>
      <c r="AB103" s="2202"/>
      <c r="AC103" s="2202"/>
    </row>
    <row r="104" spans="1:29" s="2105" customFormat="1" ht="44.25">
      <c r="A104" s="2202"/>
      <c r="B104" s="2209" t="s">
        <v>872</v>
      </c>
      <c r="C104" s="2204" t="s">
        <v>1972</v>
      </c>
      <c r="D104" s="2240" t="s">
        <v>872</v>
      </c>
      <c r="E104" s="2208" t="s">
        <v>2012</v>
      </c>
      <c r="F104" s="2204" t="s">
        <v>1972</v>
      </c>
      <c r="G104" s="2241" t="s">
        <v>2012</v>
      </c>
      <c r="H104" s="2205">
        <v>9</v>
      </c>
      <c r="I104" s="2204" t="s">
        <v>1972</v>
      </c>
      <c r="J104" s="2240">
        <v>9</v>
      </c>
      <c r="K104" s="2205">
        <v>35</v>
      </c>
      <c r="L104" s="2204" t="s">
        <v>1972</v>
      </c>
      <c r="M104" s="2239">
        <v>35</v>
      </c>
      <c r="N104" s="2202"/>
      <c r="O104" s="2209" t="s">
        <v>872</v>
      </c>
      <c r="P104" s="2204" t="s">
        <v>1972</v>
      </c>
      <c r="Q104" s="2237" t="s">
        <v>872</v>
      </c>
      <c r="R104" s="2208" t="s">
        <v>2012</v>
      </c>
      <c r="S104" s="2204" t="s">
        <v>1972</v>
      </c>
      <c r="T104" s="2238" t="s">
        <v>2012</v>
      </c>
      <c r="U104" s="2205">
        <v>9</v>
      </c>
      <c r="V104" s="2204" t="s">
        <v>1972</v>
      </c>
      <c r="W104" s="2237">
        <v>9</v>
      </c>
      <c r="X104" s="2205">
        <v>35</v>
      </c>
      <c r="Y104" s="2204" t="s">
        <v>1972</v>
      </c>
      <c r="Z104" s="2236">
        <v>35</v>
      </c>
      <c r="AA104" s="2202"/>
      <c r="AB104" s="2202"/>
      <c r="AC104" s="2202"/>
    </row>
    <row r="105" spans="1:29" s="2105" customFormat="1" ht="44.25">
      <c r="A105" s="2202"/>
      <c r="B105" s="2209" t="s">
        <v>870</v>
      </c>
      <c r="C105" s="2204" t="s">
        <v>1972</v>
      </c>
      <c r="D105" s="2240" t="s">
        <v>870</v>
      </c>
      <c r="E105" s="2208" t="s">
        <v>2011</v>
      </c>
      <c r="F105" s="2204" t="s">
        <v>1972</v>
      </c>
      <c r="G105" s="2241" t="s">
        <v>2011</v>
      </c>
      <c r="H105" s="2205">
        <v>10</v>
      </c>
      <c r="I105" s="2204" t="s">
        <v>1972</v>
      </c>
      <c r="J105" s="2240">
        <v>10</v>
      </c>
      <c r="K105" s="2205">
        <v>36</v>
      </c>
      <c r="L105" s="2204" t="s">
        <v>1972</v>
      </c>
      <c r="M105" s="2239">
        <v>36</v>
      </c>
      <c r="N105" s="2202"/>
      <c r="O105" s="2209" t="s">
        <v>870</v>
      </c>
      <c r="P105" s="2204" t="s">
        <v>1972</v>
      </c>
      <c r="Q105" s="2237" t="s">
        <v>870</v>
      </c>
      <c r="R105" s="2208" t="s">
        <v>2011</v>
      </c>
      <c r="S105" s="2204" t="s">
        <v>1972</v>
      </c>
      <c r="T105" s="2238" t="s">
        <v>2011</v>
      </c>
      <c r="U105" s="2205">
        <v>10</v>
      </c>
      <c r="V105" s="2204" t="s">
        <v>1972</v>
      </c>
      <c r="W105" s="2237">
        <v>10</v>
      </c>
      <c r="X105" s="2205">
        <v>36</v>
      </c>
      <c r="Y105" s="2204" t="s">
        <v>1972</v>
      </c>
      <c r="Z105" s="2236">
        <v>36</v>
      </c>
      <c r="AA105" s="2202"/>
      <c r="AB105" s="2202"/>
      <c r="AC105" s="2202"/>
    </row>
    <row r="106" spans="1:29" s="2105" customFormat="1" ht="44.25">
      <c r="A106" s="2202"/>
      <c r="B106" s="2209" t="s">
        <v>868</v>
      </c>
      <c r="C106" s="2204" t="s">
        <v>1972</v>
      </c>
      <c r="D106" s="2240" t="s">
        <v>868</v>
      </c>
      <c r="E106" s="2208" t="s">
        <v>2010</v>
      </c>
      <c r="F106" s="2204" t="s">
        <v>1972</v>
      </c>
      <c r="G106" s="2241" t="s">
        <v>2010</v>
      </c>
      <c r="H106" s="2205">
        <v>11</v>
      </c>
      <c r="I106" s="2204" t="s">
        <v>1972</v>
      </c>
      <c r="J106" s="2240">
        <v>11</v>
      </c>
      <c r="K106" s="2205">
        <v>37</v>
      </c>
      <c r="L106" s="2204" t="s">
        <v>1972</v>
      </c>
      <c r="M106" s="2239">
        <v>37</v>
      </c>
      <c r="N106" s="2202"/>
      <c r="O106" s="2209" t="s">
        <v>868</v>
      </c>
      <c r="P106" s="2204" t="s">
        <v>1972</v>
      </c>
      <c r="Q106" s="2237" t="s">
        <v>868</v>
      </c>
      <c r="R106" s="2208" t="s">
        <v>2010</v>
      </c>
      <c r="S106" s="2204" t="s">
        <v>1972</v>
      </c>
      <c r="T106" s="2238" t="s">
        <v>2010</v>
      </c>
      <c r="U106" s="2205">
        <v>11</v>
      </c>
      <c r="V106" s="2204" t="s">
        <v>1972</v>
      </c>
      <c r="W106" s="2237">
        <v>11</v>
      </c>
      <c r="X106" s="2205">
        <v>37</v>
      </c>
      <c r="Y106" s="2204" t="s">
        <v>1972</v>
      </c>
      <c r="Z106" s="2236">
        <v>37</v>
      </c>
      <c r="AA106" s="2202"/>
      <c r="AB106" s="2202"/>
      <c r="AC106" s="2202"/>
    </row>
    <row r="107" spans="1:29" s="2105" customFormat="1" ht="44.25">
      <c r="A107" s="2202"/>
      <c r="B107" s="2209" t="s">
        <v>642</v>
      </c>
      <c r="C107" s="2204" t="s">
        <v>1972</v>
      </c>
      <c r="D107" s="2240" t="s">
        <v>642</v>
      </c>
      <c r="E107" s="2208" t="s">
        <v>2009</v>
      </c>
      <c r="F107" s="2204" t="s">
        <v>1972</v>
      </c>
      <c r="G107" s="2241" t="s">
        <v>2009</v>
      </c>
      <c r="H107" s="2205">
        <v>12</v>
      </c>
      <c r="I107" s="2204" t="s">
        <v>1972</v>
      </c>
      <c r="J107" s="2240">
        <v>12</v>
      </c>
      <c r="K107" s="2205">
        <v>38</v>
      </c>
      <c r="L107" s="2204" t="s">
        <v>1972</v>
      </c>
      <c r="M107" s="2239">
        <v>38</v>
      </c>
      <c r="N107" s="2202"/>
      <c r="O107" s="2209" t="s">
        <v>642</v>
      </c>
      <c r="P107" s="2204" t="s">
        <v>1972</v>
      </c>
      <c r="Q107" s="2237" t="s">
        <v>642</v>
      </c>
      <c r="R107" s="2208" t="s">
        <v>2009</v>
      </c>
      <c r="S107" s="2204" t="s">
        <v>1972</v>
      </c>
      <c r="T107" s="2238" t="s">
        <v>2009</v>
      </c>
      <c r="U107" s="2205">
        <v>12</v>
      </c>
      <c r="V107" s="2204" t="s">
        <v>1972</v>
      </c>
      <c r="W107" s="2237">
        <v>12</v>
      </c>
      <c r="X107" s="2205">
        <v>38</v>
      </c>
      <c r="Y107" s="2204" t="s">
        <v>1972</v>
      </c>
      <c r="Z107" s="2236">
        <v>38</v>
      </c>
      <c r="AA107" s="2202"/>
      <c r="AB107" s="2202"/>
      <c r="AC107" s="2202"/>
    </row>
    <row r="108" spans="1:29" s="2105" customFormat="1" ht="44.25">
      <c r="A108" s="2202"/>
      <c r="B108" s="2209" t="s">
        <v>53</v>
      </c>
      <c r="C108" s="2204" t="s">
        <v>1972</v>
      </c>
      <c r="D108" s="2240" t="s">
        <v>53</v>
      </c>
      <c r="E108" s="2208" t="s">
        <v>2008</v>
      </c>
      <c r="F108" s="2204" t="s">
        <v>1972</v>
      </c>
      <c r="G108" s="2241" t="s">
        <v>2008</v>
      </c>
      <c r="H108" s="2205">
        <v>13</v>
      </c>
      <c r="I108" s="2204" t="s">
        <v>1972</v>
      </c>
      <c r="J108" s="2240">
        <v>13</v>
      </c>
      <c r="K108" s="2205">
        <v>39</v>
      </c>
      <c r="L108" s="2204" t="s">
        <v>1972</v>
      </c>
      <c r="M108" s="2239">
        <v>39</v>
      </c>
      <c r="N108" s="2202"/>
      <c r="O108" s="2209" t="s">
        <v>53</v>
      </c>
      <c r="P108" s="2204" t="s">
        <v>1972</v>
      </c>
      <c r="Q108" s="2237" t="s">
        <v>53</v>
      </c>
      <c r="R108" s="2208" t="s">
        <v>2008</v>
      </c>
      <c r="S108" s="2204" t="s">
        <v>1972</v>
      </c>
      <c r="T108" s="2238" t="s">
        <v>2008</v>
      </c>
      <c r="U108" s="2205">
        <v>13</v>
      </c>
      <c r="V108" s="2204" t="s">
        <v>1972</v>
      </c>
      <c r="W108" s="2237">
        <v>13</v>
      </c>
      <c r="X108" s="2205">
        <v>39</v>
      </c>
      <c r="Y108" s="2204" t="s">
        <v>1972</v>
      </c>
      <c r="Z108" s="2236">
        <v>39</v>
      </c>
      <c r="AA108" s="2202"/>
      <c r="AB108" s="2202"/>
      <c r="AC108" s="2202"/>
    </row>
    <row r="109" spans="1:29" s="2105" customFormat="1" ht="44.25">
      <c r="A109" s="2202"/>
      <c r="B109" s="2209" t="s">
        <v>1233</v>
      </c>
      <c r="C109" s="2204" t="s">
        <v>1972</v>
      </c>
      <c r="D109" s="2240" t="s">
        <v>1233</v>
      </c>
      <c r="E109" s="2208" t="s">
        <v>2007</v>
      </c>
      <c r="F109" s="2204" t="s">
        <v>1972</v>
      </c>
      <c r="G109" s="2241" t="s">
        <v>2007</v>
      </c>
      <c r="H109" s="2205">
        <v>14</v>
      </c>
      <c r="I109" s="2204" t="s">
        <v>1972</v>
      </c>
      <c r="J109" s="2240">
        <v>14</v>
      </c>
      <c r="K109" s="2205">
        <v>40</v>
      </c>
      <c r="L109" s="2204" t="s">
        <v>1972</v>
      </c>
      <c r="M109" s="2239">
        <v>40</v>
      </c>
      <c r="N109" s="2202"/>
      <c r="O109" s="2209" t="s">
        <v>1233</v>
      </c>
      <c r="P109" s="2204" t="s">
        <v>1972</v>
      </c>
      <c r="Q109" s="2237" t="s">
        <v>1233</v>
      </c>
      <c r="R109" s="2208" t="s">
        <v>2007</v>
      </c>
      <c r="S109" s="2204" t="s">
        <v>1972</v>
      </c>
      <c r="T109" s="2238" t="s">
        <v>2007</v>
      </c>
      <c r="U109" s="2205">
        <v>14</v>
      </c>
      <c r="V109" s="2204" t="s">
        <v>1972</v>
      </c>
      <c r="W109" s="2237">
        <v>14</v>
      </c>
      <c r="X109" s="2205">
        <v>40</v>
      </c>
      <c r="Y109" s="2204" t="s">
        <v>1972</v>
      </c>
      <c r="Z109" s="2236">
        <v>40</v>
      </c>
      <c r="AA109" s="2202"/>
      <c r="AB109" s="2202"/>
      <c r="AC109" s="2202"/>
    </row>
    <row r="110" spans="1:29" s="2105" customFormat="1" ht="44.25">
      <c r="A110" s="2202"/>
      <c r="B110" s="2209" t="s">
        <v>1225</v>
      </c>
      <c r="C110" s="2204" t="s">
        <v>1972</v>
      </c>
      <c r="D110" s="2240" t="s">
        <v>1225</v>
      </c>
      <c r="E110" s="2208" t="s">
        <v>2006</v>
      </c>
      <c r="F110" s="2204" t="s">
        <v>1972</v>
      </c>
      <c r="G110" s="2241" t="s">
        <v>2006</v>
      </c>
      <c r="H110" s="2205">
        <v>15</v>
      </c>
      <c r="I110" s="2204" t="s">
        <v>1972</v>
      </c>
      <c r="J110" s="2240">
        <v>15</v>
      </c>
      <c r="K110" s="2205">
        <v>41</v>
      </c>
      <c r="L110" s="2204" t="s">
        <v>1972</v>
      </c>
      <c r="M110" s="2239">
        <v>41</v>
      </c>
      <c r="N110" s="2202"/>
      <c r="O110" s="2209" t="s">
        <v>1225</v>
      </c>
      <c r="P110" s="2204" t="s">
        <v>1972</v>
      </c>
      <c r="Q110" s="2237" t="s">
        <v>1225</v>
      </c>
      <c r="R110" s="2208" t="s">
        <v>2006</v>
      </c>
      <c r="S110" s="2204" t="s">
        <v>1972</v>
      </c>
      <c r="T110" s="2238" t="s">
        <v>2006</v>
      </c>
      <c r="U110" s="2205">
        <v>15</v>
      </c>
      <c r="V110" s="2204" t="s">
        <v>1972</v>
      </c>
      <c r="W110" s="2237">
        <v>15</v>
      </c>
      <c r="X110" s="2205">
        <v>41</v>
      </c>
      <c r="Y110" s="2204" t="s">
        <v>1972</v>
      </c>
      <c r="Z110" s="2236">
        <v>41</v>
      </c>
      <c r="AA110" s="2202"/>
      <c r="AB110" s="2202"/>
      <c r="AC110" s="2202"/>
    </row>
    <row r="111" spans="1:29" s="2105" customFormat="1" ht="44.25">
      <c r="A111" s="2202"/>
      <c r="B111" s="2209" t="s">
        <v>54</v>
      </c>
      <c r="C111" s="2204" t="s">
        <v>1972</v>
      </c>
      <c r="D111" s="2240" t="s">
        <v>54</v>
      </c>
      <c r="E111" s="2208" t="s">
        <v>342</v>
      </c>
      <c r="F111" s="2204" t="s">
        <v>1972</v>
      </c>
      <c r="G111" s="2241" t="s">
        <v>342</v>
      </c>
      <c r="H111" s="2205">
        <v>16</v>
      </c>
      <c r="I111" s="2204" t="s">
        <v>1972</v>
      </c>
      <c r="J111" s="2240">
        <v>16</v>
      </c>
      <c r="K111" s="2205">
        <v>42</v>
      </c>
      <c r="L111" s="2204" t="s">
        <v>1972</v>
      </c>
      <c r="M111" s="2239">
        <v>42</v>
      </c>
      <c r="N111" s="2202"/>
      <c r="O111" s="2209" t="s">
        <v>54</v>
      </c>
      <c r="P111" s="2204" t="s">
        <v>1972</v>
      </c>
      <c r="Q111" s="2237" t="s">
        <v>54</v>
      </c>
      <c r="R111" s="2208" t="s">
        <v>342</v>
      </c>
      <c r="S111" s="2204" t="s">
        <v>1972</v>
      </c>
      <c r="T111" s="2238" t="s">
        <v>342</v>
      </c>
      <c r="U111" s="2205">
        <v>16</v>
      </c>
      <c r="V111" s="2204" t="s">
        <v>1972</v>
      </c>
      <c r="W111" s="2237">
        <v>16</v>
      </c>
      <c r="X111" s="2205">
        <v>42</v>
      </c>
      <c r="Y111" s="2204" t="s">
        <v>1972</v>
      </c>
      <c r="Z111" s="2236">
        <v>42</v>
      </c>
      <c r="AA111" s="2202"/>
      <c r="AB111" s="2202"/>
      <c r="AC111" s="2202"/>
    </row>
    <row r="112" spans="1:29" s="2105" customFormat="1" ht="44.25">
      <c r="A112" s="2202"/>
      <c r="B112" s="2209" t="s">
        <v>1443</v>
      </c>
      <c r="C112" s="2204" t="s">
        <v>1972</v>
      </c>
      <c r="D112" s="2240" t="s">
        <v>1443</v>
      </c>
      <c r="E112" s="2208" t="s">
        <v>343</v>
      </c>
      <c r="F112" s="2204" t="s">
        <v>1972</v>
      </c>
      <c r="G112" s="2241" t="s">
        <v>343</v>
      </c>
      <c r="H112" s="2205">
        <v>17</v>
      </c>
      <c r="I112" s="2204" t="s">
        <v>1972</v>
      </c>
      <c r="J112" s="2240">
        <v>17</v>
      </c>
      <c r="K112" s="2205">
        <v>43</v>
      </c>
      <c r="L112" s="2204" t="s">
        <v>1972</v>
      </c>
      <c r="M112" s="2239">
        <v>43</v>
      </c>
      <c r="N112" s="2202"/>
      <c r="O112" s="2209" t="s">
        <v>1443</v>
      </c>
      <c r="P112" s="2204" t="s">
        <v>1972</v>
      </c>
      <c r="Q112" s="2237" t="s">
        <v>1443</v>
      </c>
      <c r="R112" s="2208" t="s">
        <v>343</v>
      </c>
      <c r="S112" s="2204" t="s">
        <v>1972</v>
      </c>
      <c r="T112" s="2238" t="s">
        <v>343</v>
      </c>
      <c r="U112" s="2205">
        <v>17</v>
      </c>
      <c r="V112" s="2204" t="s">
        <v>1972</v>
      </c>
      <c r="W112" s="2237">
        <v>17</v>
      </c>
      <c r="X112" s="2205">
        <v>43</v>
      </c>
      <c r="Y112" s="2204" t="s">
        <v>1972</v>
      </c>
      <c r="Z112" s="2236">
        <v>43</v>
      </c>
      <c r="AA112" s="2202"/>
      <c r="AB112" s="2202"/>
      <c r="AC112" s="2202"/>
    </row>
    <row r="113" spans="1:29" s="2105" customFormat="1" ht="44.25">
      <c r="A113" s="2202"/>
      <c r="B113" s="2209" t="s">
        <v>1291</v>
      </c>
      <c r="C113" s="2204" t="s">
        <v>1972</v>
      </c>
      <c r="D113" s="2240" t="s">
        <v>1291</v>
      </c>
      <c r="E113" s="2208" t="s">
        <v>2005</v>
      </c>
      <c r="F113" s="2204" t="s">
        <v>1972</v>
      </c>
      <c r="G113" s="2241" t="s">
        <v>2005</v>
      </c>
      <c r="H113" s="2205">
        <v>18</v>
      </c>
      <c r="I113" s="2204" t="s">
        <v>1972</v>
      </c>
      <c r="J113" s="2240">
        <v>18</v>
      </c>
      <c r="K113" s="2205">
        <v>44</v>
      </c>
      <c r="L113" s="2204" t="s">
        <v>1972</v>
      </c>
      <c r="M113" s="2239">
        <v>44</v>
      </c>
      <c r="N113" s="2202"/>
      <c r="O113" s="2209" t="s">
        <v>1291</v>
      </c>
      <c r="P113" s="2204" t="s">
        <v>1972</v>
      </c>
      <c r="Q113" s="2237" t="s">
        <v>1291</v>
      </c>
      <c r="R113" s="2208" t="s">
        <v>2005</v>
      </c>
      <c r="S113" s="2204" t="s">
        <v>1972</v>
      </c>
      <c r="T113" s="2238" t="s">
        <v>2005</v>
      </c>
      <c r="U113" s="2205">
        <v>18</v>
      </c>
      <c r="V113" s="2204" t="s">
        <v>1972</v>
      </c>
      <c r="W113" s="2237">
        <v>18</v>
      </c>
      <c r="X113" s="2205">
        <v>44</v>
      </c>
      <c r="Y113" s="2204" t="s">
        <v>1972</v>
      </c>
      <c r="Z113" s="2236">
        <v>44</v>
      </c>
      <c r="AA113" s="2202"/>
      <c r="AB113" s="2202"/>
      <c r="AC113" s="2202"/>
    </row>
    <row r="114" spans="1:29" s="2105" customFormat="1" ht="44.25">
      <c r="A114" s="2202"/>
      <c r="B114" s="2209" t="s">
        <v>31</v>
      </c>
      <c r="C114" s="2204" t="s">
        <v>1972</v>
      </c>
      <c r="D114" s="2240" t="s">
        <v>31</v>
      </c>
      <c r="E114" s="2208" t="s">
        <v>2004</v>
      </c>
      <c r="F114" s="2204" t="s">
        <v>1972</v>
      </c>
      <c r="G114" s="2241" t="s">
        <v>2004</v>
      </c>
      <c r="H114" s="2205">
        <v>19</v>
      </c>
      <c r="I114" s="2204" t="s">
        <v>1972</v>
      </c>
      <c r="J114" s="2240">
        <v>19</v>
      </c>
      <c r="K114" s="2205">
        <v>45</v>
      </c>
      <c r="L114" s="2204" t="s">
        <v>1972</v>
      </c>
      <c r="M114" s="2239">
        <v>45</v>
      </c>
      <c r="N114" s="2202"/>
      <c r="O114" s="2209" t="s">
        <v>31</v>
      </c>
      <c r="P114" s="2204" t="s">
        <v>1972</v>
      </c>
      <c r="Q114" s="2237" t="s">
        <v>31</v>
      </c>
      <c r="R114" s="2208" t="s">
        <v>2004</v>
      </c>
      <c r="S114" s="2204" t="s">
        <v>1972</v>
      </c>
      <c r="T114" s="2238" t="s">
        <v>2004</v>
      </c>
      <c r="U114" s="2205">
        <v>19</v>
      </c>
      <c r="V114" s="2204" t="s">
        <v>1972</v>
      </c>
      <c r="W114" s="2237">
        <v>19</v>
      </c>
      <c r="X114" s="2205">
        <v>45</v>
      </c>
      <c r="Y114" s="2204" t="s">
        <v>1972</v>
      </c>
      <c r="Z114" s="2236">
        <v>45</v>
      </c>
      <c r="AA114" s="2202"/>
      <c r="AB114" s="2202"/>
      <c r="AC114" s="2202"/>
    </row>
    <row r="115" spans="1:29" s="2105" customFormat="1" ht="44.25">
      <c r="A115" s="2202"/>
      <c r="B115" s="2209" t="s">
        <v>1213</v>
      </c>
      <c r="C115" s="2204" t="s">
        <v>1972</v>
      </c>
      <c r="D115" s="2240" t="s">
        <v>1213</v>
      </c>
      <c r="E115" s="2208" t="s">
        <v>357</v>
      </c>
      <c r="F115" s="2204" t="s">
        <v>1972</v>
      </c>
      <c r="G115" s="2241" t="s">
        <v>357</v>
      </c>
      <c r="H115" s="2205">
        <v>20</v>
      </c>
      <c r="I115" s="2204" t="s">
        <v>1972</v>
      </c>
      <c r="J115" s="2240">
        <v>20</v>
      </c>
      <c r="K115" s="2205">
        <v>46</v>
      </c>
      <c r="L115" s="2204" t="s">
        <v>1972</v>
      </c>
      <c r="M115" s="2239">
        <v>46</v>
      </c>
      <c r="N115" s="2202"/>
      <c r="O115" s="2209" t="s">
        <v>1213</v>
      </c>
      <c r="P115" s="2204" t="s">
        <v>1972</v>
      </c>
      <c r="Q115" s="2237" t="s">
        <v>1213</v>
      </c>
      <c r="R115" s="2208" t="s">
        <v>357</v>
      </c>
      <c r="S115" s="2204" t="s">
        <v>1972</v>
      </c>
      <c r="T115" s="2238" t="s">
        <v>357</v>
      </c>
      <c r="U115" s="2205">
        <v>20</v>
      </c>
      <c r="V115" s="2204" t="s">
        <v>1972</v>
      </c>
      <c r="W115" s="2237">
        <v>20</v>
      </c>
      <c r="X115" s="2205">
        <v>46</v>
      </c>
      <c r="Y115" s="2204" t="s">
        <v>1972</v>
      </c>
      <c r="Z115" s="2236">
        <v>46</v>
      </c>
      <c r="AA115" s="2202"/>
      <c r="AB115" s="2202"/>
      <c r="AC115" s="2202"/>
    </row>
    <row r="116" spans="1:29" s="2105" customFormat="1" ht="44.25">
      <c r="A116" s="2202"/>
      <c r="B116" s="2209" t="s">
        <v>792</v>
      </c>
      <c r="C116" s="2204" t="s">
        <v>1972</v>
      </c>
      <c r="D116" s="2240" t="s">
        <v>792</v>
      </c>
      <c r="E116" s="2208" t="s">
        <v>356</v>
      </c>
      <c r="F116" s="2204" t="s">
        <v>1972</v>
      </c>
      <c r="G116" s="2241" t="s">
        <v>356</v>
      </c>
      <c r="H116" s="2205">
        <v>21</v>
      </c>
      <c r="I116" s="2204" t="s">
        <v>1972</v>
      </c>
      <c r="J116" s="2240">
        <v>21</v>
      </c>
      <c r="K116" s="2205">
        <v>47</v>
      </c>
      <c r="L116" s="2204" t="s">
        <v>1972</v>
      </c>
      <c r="M116" s="2239">
        <v>47</v>
      </c>
      <c r="N116" s="2202"/>
      <c r="O116" s="2209" t="s">
        <v>792</v>
      </c>
      <c r="P116" s="2204" t="s">
        <v>1972</v>
      </c>
      <c r="Q116" s="2237" t="s">
        <v>792</v>
      </c>
      <c r="R116" s="2208" t="s">
        <v>356</v>
      </c>
      <c r="S116" s="2204" t="s">
        <v>1972</v>
      </c>
      <c r="T116" s="2238" t="s">
        <v>356</v>
      </c>
      <c r="U116" s="2205">
        <v>21</v>
      </c>
      <c r="V116" s="2204" t="s">
        <v>1972</v>
      </c>
      <c r="W116" s="2237">
        <v>21</v>
      </c>
      <c r="X116" s="2205">
        <v>47</v>
      </c>
      <c r="Y116" s="2204" t="s">
        <v>1972</v>
      </c>
      <c r="Z116" s="2236">
        <v>47</v>
      </c>
      <c r="AA116" s="2202"/>
      <c r="AB116" s="2202"/>
      <c r="AC116" s="2202"/>
    </row>
    <row r="117" spans="1:29" s="2105" customFormat="1" ht="44.25">
      <c r="A117" s="2202"/>
      <c r="B117" s="2209" t="s">
        <v>1175</v>
      </c>
      <c r="C117" s="2204" t="s">
        <v>1972</v>
      </c>
      <c r="D117" s="2240" t="s">
        <v>1175</v>
      </c>
      <c r="E117" s="2208" t="s">
        <v>2003</v>
      </c>
      <c r="F117" s="2204" t="s">
        <v>1972</v>
      </c>
      <c r="G117" s="2241" t="s">
        <v>2003</v>
      </c>
      <c r="H117" s="2205">
        <v>22</v>
      </c>
      <c r="I117" s="2204" t="s">
        <v>1972</v>
      </c>
      <c r="J117" s="2240">
        <v>22</v>
      </c>
      <c r="K117" s="2205">
        <v>48</v>
      </c>
      <c r="L117" s="2204" t="s">
        <v>1972</v>
      </c>
      <c r="M117" s="2239">
        <v>48</v>
      </c>
      <c r="N117" s="2202"/>
      <c r="O117" s="2209" t="s">
        <v>1175</v>
      </c>
      <c r="P117" s="2204" t="s">
        <v>1972</v>
      </c>
      <c r="Q117" s="2237" t="s">
        <v>1175</v>
      </c>
      <c r="R117" s="2208" t="s">
        <v>2003</v>
      </c>
      <c r="S117" s="2204" t="s">
        <v>1972</v>
      </c>
      <c r="T117" s="2238" t="s">
        <v>2003</v>
      </c>
      <c r="U117" s="2205">
        <v>22</v>
      </c>
      <c r="V117" s="2204" t="s">
        <v>1972</v>
      </c>
      <c r="W117" s="2237">
        <v>22</v>
      </c>
      <c r="X117" s="2205">
        <v>48</v>
      </c>
      <c r="Y117" s="2204" t="s">
        <v>1972</v>
      </c>
      <c r="Z117" s="2236">
        <v>48</v>
      </c>
      <c r="AA117" s="2202"/>
      <c r="AB117" s="2202"/>
      <c r="AC117" s="2202"/>
    </row>
    <row r="118" spans="1:29" s="2105" customFormat="1" ht="44.25">
      <c r="A118" s="2202"/>
      <c r="B118" s="2209" t="s">
        <v>2002</v>
      </c>
      <c r="C118" s="2204" t="s">
        <v>1972</v>
      </c>
      <c r="D118" s="2240" t="s">
        <v>2002</v>
      </c>
      <c r="E118" s="2208" t="s">
        <v>2001</v>
      </c>
      <c r="F118" s="2204" t="s">
        <v>1972</v>
      </c>
      <c r="G118" s="2241" t="s">
        <v>2001</v>
      </c>
      <c r="H118" s="2205">
        <v>23</v>
      </c>
      <c r="I118" s="2204" t="s">
        <v>1972</v>
      </c>
      <c r="J118" s="2240">
        <v>23</v>
      </c>
      <c r="K118" s="2205">
        <v>49</v>
      </c>
      <c r="L118" s="2204" t="s">
        <v>1972</v>
      </c>
      <c r="M118" s="2239">
        <v>49</v>
      </c>
      <c r="N118" s="2202"/>
      <c r="O118" s="2209" t="s">
        <v>2002</v>
      </c>
      <c r="P118" s="2204" t="s">
        <v>1972</v>
      </c>
      <c r="Q118" s="2237" t="s">
        <v>2002</v>
      </c>
      <c r="R118" s="2208" t="s">
        <v>2001</v>
      </c>
      <c r="S118" s="2204" t="s">
        <v>1972</v>
      </c>
      <c r="T118" s="2238" t="s">
        <v>2001</v>
      </c>
      <c r="U118" s="2205">
        <v>23</v>
      </c>
      <c r="V118" s="2204" t="s">
        <v>1972</v>
      </c>
      <c r="W118" s="2237">
        <v>23</v>
      </c>
      <c r="X118" s="2205">
        <v>49</v>
      </c>
      <c r="Y118" s="2204" t="s">
        <v>1972</v>
      </c>
      <c r="Z118" s="2236">
        <v>49</v>
      </c>
      <c r="AA118" s="2202"/>
      <c r="AB118" s="2202"/>
      <c r="AC118" s="2202"/>
    </row>
    <row r="119" spans="1:29" s="2105" customFormat="1" ht="44.25">
      <c r="A119" s="2202"/>
      <c r="B119" s="2209" t="s">
        <v>358</v>
      </c>
      <c r="C119" s="2204" t="s">
        <v>1972</v>
      </c>
      <c r="D119" s="2240" t="s">
        <v>358</v>
      </c>
      <c r="E119" s="2208" t="s">
        <v>2000</v>
      </c>
      <c r="F119" s="2204" t="s">
        <v>1972</v>
      </c>
      <c r="G119" s="2241" t="s">
        <v>2000</v>
      </c>
      <c r="H119" s="2205">
        <v>24</v>
      </c>
      <c r="I119" s="2204" t="s">
        <v>1972</v>
      </c>
      <c r="J119" s="2240">
        <v>24</v>
      </c>
      <c r="K119" s="2205">
        <v>50</v>
      </c>
      <c r="L119" s="2204" t="s">
        <v>1972</v>
      </c>
      <c r="M119" s="2239">
        <v>50</v>
      </c>
      <c r="N119" s="2202"/>
      <c r="O119" s="2209" t="s">
        <v>358</v>
      </c>
      <c r="P119" s="2204" t="s">
        <v>1972</v>
      </c>
      <c r="Q119" s="2237" t="s">
        <v>358</v>
      </c>
      <c r="R119" s="2208" t="s">
        <v>2000</v>
      </c>
      <c r="S119" s="2204" t="s">
        <v>1972</v>
      </c>
      <c r="T119" s="2238" t="s">
        <v>2000</v>
      </c>
      <c r="U119" s="2205">
        <v>24</v>
      </c>
      <c r="V119" s="2204" t="s">
        <v>1972</v>
      </c>
      <c r="W119" s="2237">
        <v>24</v>
      </c>
      <c r="X119" s="2205">
        <v>50</v>
      </c>
      <c r="Y119" s="2204" t="s">
        <v>1972</v>
      </c>
      <c r="Z119" s="2236">
        <v>50</v>
      </c>
      <c r="AA119" s="2202"/>
      <c r="AB119" s="2202"/>
      <c r="AC119" s="2202"/>
    </row>
    <row r="120" spans="1:29" s="2105" customFormat="1" ht="44.25">
      <c r="A120" s="2202"/>
      <c r="B120" s="2209" t="s">
        <v>1999</v>
      </c>
      <c r="C120" s="2204" t="s">
        <v>1972</v>
      </c>
      <c r="D120" s="2240" t="s">
        <v>1999</v>
      </c>
      <c r="E120" s="2208" t="s">
        <v>1998</v>
      </c>
      <c r="F120" s="2204" t="s">
        <v>1972</v>
      </c>
      <c r="G120" s="2241" t="s">
        <v>1998</v>
      </c>
      <c r="H120" s="2205">
        <v>25</v>
      </c>
      <c r="I120" s="2204" t="s">
        <v>1972</v>
      </c>
      <c r="J120" s="2240">
        <v>25</v>
      </c>
      <c r="K120" s="2205">
        <v>51</v>
      </c>
      <c r="L120" s="2204" t="s">
        <v>1972</v>
      </c>
      <c r="M120" s="2239">
        <v>51</v>
      </c>
      <c r="N120" s="2202"/>
      <c r="O120" s="2209" t="s">
        <v>1999</v>
      </c>
      <c r="P120" s="2204" t="s">
        <v>1972</v>
      </c>
      <c r="Q120" s="2237" t="s">
        <v>1999</v>
      </c>
      <c r="R120" s="2208" t="s">
        <v>1998</v>
      </c>
      <c r="S120" s="2204" t="s">
        <v>1972</v>
      </c>
      <c r="T120" s="2238" t="s">
        <v>1998</v>
      </c>
      <c r="U120" s="2205">
        <v>25</v>
      </c>
      <c r="V120" s="2204" t="s">
        <v>1972</v>
      </c>
      <c r="W120" s="2237">
        <v>25</v>
      </c>
      <c r="X120" s="2205">
        <v>51</v>
      </c>
      <c r="Y120" s="2204" t="s">
        <v>1972</v>
      </c>
      <c r="Z120" s="2236">
        <v>51</v>
      </c>
      <c r="AA120" s="2202"/>
      <c r="AB120" s="2202"/>
      <c r="AC120" s="2202"/>
    </row>
    <row r="121" spans="1:29" s="2105" customFormat="1" ht="44.25">
      <c r="A121" s="2202"/>
      <c r="B121" s="2209" t="s">
        <v>344</v>
      </c>
      <c r="C121" s="2204" t="s">
        <v>1972</v>
      </c>
      <c r="D121" s="2240" t="s">
        <v>344</v>
      </c>
      <c r="E121" s="2208" t="s">
        <v>1997</v>
      </c>
      <c r="F121" s="2204" t="s">
        <v>1972</v>
      </c>
      <c r="G121" s="2241" t="s">
        <v>1997</v>
      </c>
      <c r="H121" s="2205">
        <v>26</v>
      </c>
      <c r="I121" s="2204" t="s">
        <v>1972</v>
      </c>
      <c r="J121" s="2240">
        <v>26</v>
      </c>
      <c r="K121" s="2205">
        <v>52</v>
      </c>
      <c r="L121" s="2204" t="s">
        <v>1972</v>
      </c>
      <c r="M121" s="2239">
        <v>52</v>
      </c>
      <c r="N121" s="2202"/>
      <c r="O121" s="2209" t="s">
        <v>344</v>
      </c>
      <c r="P121" s="2204" t="s">
        <v>1972</v>
      </c>
      <c r="Q121" s="2237" t="s">
        <v>344</v>
      </c>
      <c r="R121" s="2208" t="s">
        <v>1997</v>
      </c>
      <c r="S121" s="2204" t="s">
        <v>1972</v>
      </c>
      <c r="T121" s="2238" t="s">
        <v>1997</v>
      </c>
      <c r="U121" s="2205">
        <v>26</v>
      </c>
      <c r="V121" s="2204" t="s">
        <v>1972</v>
      </c>
      <c r="W121" s="2237">
        <v>26</v>
      </c>
      <c r="X121" s="2205">
        <v>52</v>
      </c>
      <c r="Y121" s="2204" t="s">
        <v>1972</v>
      </c>
      <c r="Z121" s="2236">
        <v>52</v>
      </c>
      <c r="AA121" s="2202"/>
      <c r="AB121" s="2202"/>
      <c r="AC121" s="2202"/>
    </row>
    <row r="122" spans="1:29" s="2105" customFormat="1" ht="44.25">
      <c r="A122" s="2202"/>
      <c r="B122" s="2209" t="s">
        <v>376</v>
      </c>
      <c r="C122" s="2204" t="s">
        <v>1972</v>
      </c>
      <c r="D122" s="2240" t="s">
        <v>376</v>
      </c>
      <c r="E122" s="2208" t="s">
        <v>377</v>
      </c>
      <c r="F122" s="2204" t="s">
        <v>1972</v>
      </c>
      <c r="G122" s="2241" t="s">
        <v>377</v>
      </c>
      <c r="H122" s="2205" t="s">
        <v>1996</v>
      </c>
      <c r="I122" s="2204" t="s">
        <v>1972</v>
      </c>
      <c r="J122" s="2240" t="s">
        <v>1996</v>
      </c>
      <c r="K122" s="2205" t="s">
        <v>1995</v>
      </c>
      <c r="L122" s="2204" t="s">
        <v>1972</v>
      </c>
      <c r="M122" s="2239" t="s">
        <v>1995</v>
      </c>
      <c r="N122" s="2202"/>
      <c r="O122" s="2209" t="s">
        <v>376</v>
      </c>
      <c r="P122" s="2204" t="s">
        <v>1972</v>
      </c>
      <c r="Q122" s="2237" t="s">
        <v>376</v>
      </c>
      <c r="R122" s="2208" t="s">
        <v>377</v>
      </c>
      <c r="S122" s="2204" t="s">
        <v>1972</v>
      </c>
      <c r="T122" s="2238" t="s">
        <v>377</v>
      </c>
      <c r="U122" s="2205" t="s">
        <v>1996</v>
      </c>
      <c r="V122" s="2204" t="s">
        <v>1972</v>
      </c>
      <c r="W122" s="2237" t="s">
        <v>1996</v>
      </c>
      <c r="X122" s="2205" t="s">
        <v>1995</v>
      </c>
      <c r="Y122" s="2204" t="s">
        <v>1972</v>
      </c>
      <c r="Z122" s="2236" t="s">
        <v>1995</v>
      </c>
      <c r="AA122" s="2202"/>
      <c r="AB122" s="2202"/>
      <c r="AC122" s="2202"/>
    </row>
    <row r="123" spans="1:29" s="2105" customFormat="1" ht="44.25">
      <c r="A123" s="2202"/>
      <c r="B123" s="2209" t="s">
        <v>1994</v>
      </c>
      <c r="C123" s="2204" t="s">
        <v>1972</v>
      </c>
      <c r="D123" s="2240" t="s">
        <v>1994</v>
      </c>
      <c r="E123" s="2208" t="s">
        <v>379</v>
      </c>
      <c r="F123" s="2204" t="s">
        <v>1972</v>
      </c>
      <c r="G123" s="2241" t="s">
        <v>379</v>
      </c>
      <c r="H123" s="2205" t="s">
        <v>375</v>
      </c>
      <c r="I123" s="2204" t="s">
        <v>1972</v>
      </c>
      <c r="J123" s="2240" t="s">
        <v>375</v>
      </c>
      <c r="K123" s="2205" t="s">
        <v>1993</v>
      </c>
      <c r="L123" s="2204" t="s">
        <v>1972</v>
      </c>
      <c r="M123" s="2239" t="s">
        <v>1993</v>
      </c>
      <c r="N123" s="2202"/>
      <c r="O123" s="2209" t="s">
        <v>1994</v>
      </c>
      <c r="P123" s="2204" t="s">
        <v>1972</v>
      </c>
      <c r="Q123" s="2237" t="s">
        <v>1994</v>
      </c>
      <c r="R123" s="2208" t="s">
        <v>379</v>
      </c>
      <c r="S123" s="2204" t="s">
        <v>1972</v>
      </c>
      <c r="T123" s="2238" t="s">
        <v>379</v>
      </c>
      <c r="U123" s="2205" t="s">
        <v>375</v>
      </c>
      <c r="V123" s="2204" t="s">
        <v>1972</v>
      </c>
      <c r="W123" s="2237" t="s">
        <v>375</v>
      </c>
      <c r="X123" s="2205" t="s">
        <v>1993</v>
      </c>
      <c r="Y123" s="2204" t="s">
        <v>1972</v>
      </c>
      <c r="Z123" s="2236" t="s">
        <v>1993</v>
      </c>
      <c r="AA123" s="2202"/>
      <c r="AB123" s="2202"/>
      <c r="AC123" s="2202"/>
    </row>
    <row r="124" spans="1:29" s="2105" customFormat="1" ht="44.25">
      <c r="A124" s="2202"/>
      <c r="B124" s="2209" t="s">
        <v>1992</v>
      </c>
      <c r="C124" s="2204" t="s">
        <v>1972</v>
      </c>
      <c r="D124" s="2240" t="s">
        <v>1992</v>
      </c>
      <c r="E124" s="2208" t="s">
        <v>1991</v>
      </c>
      <c r="F124" s="2204" t="s">
        <v>1972</v>
      </c>
      <c r="G124" s="2241" t="s">
        <v>1991</v>
      </c>
      <c r="H124" s="2205" t="s">
        <v>381</v>
      </c>
      <c r="I124" s="2204" t="s">
        <v>1972</v>
      </c>
      <c r="J124" s="2240" t="s">
        <v>381</v>
      </c>
      <c r="K124" s="2205" t="s">
        <v>1990</v>
      </c>
      <c r="L124" s="2204" t="s">
        <v>1972</v>
      </c>
      <c r="M124" s="2239" t="s">
        <v>1990</v>
      </c>
      <c r="N124" s="2202"/>
      <c r="O124" s="2209" t="s">
        <v>1992</v>
      </c>
      <c r="P124" s="2204" t="s">
        <v>1972</v>
      </c>
      <c r="Q124" s="2237" t="s">
        <v>1992</v>
      </c>
      <c r="R124" s="2208" t="s">
        <v>1991</v>
      </c>
      <c r="S124" s="2204" t="s">
        <v>1972</v>
      </c>
      <c r="T124" s="2238" t="s">
        <v>1991</v>
      </c>
      <c r="U124" s="2205" t="s">
        <v>381</v>
      </c>
      <c r="V124" s="2204" t="s">
        <v>1972</v>
      </c>
      <c r="W124" s="2237" t="s">
        <v>381</v>
      </c>
      <c r="X124" s="2205" t="s">
        <v>1990</v>
      </c>
      <c r="Y124" s="2204" t="s">
        <v>1972</v>
      </c>
      <c r="Z124" s="2236" t="s">
        <v>1990</v>
      </c>
      <c r="AA124" s="2202"/>
      <c r="AB124" s="2202"/>
      <c r="AC124" s="2202"/>
    </row>
    <row r="125" spans="1:29" s="2105" customFormat="1" ht="44.25">
      <c r="A125" s="2202"/>
      <c r="B125" s="2209" t="s">
        <v>1989</v>
      </c>
      <c r="C125" s="2204" t="s">
        <v>1972</v>
      </c>
      <c r="D125" s="2240" t="s">
        <v>1989</v>
      </c>
      <c r="E125" s="2208" t="s">
        <v>1988</v>
      </c>
      <c r="F125" s="2204" t="s">
        <v>1972</v>
      </c>
      <c r="G125" s="2241" t="s">
        <v>1988</v>
      </c>
      <c r="H125" s="2205" t="s">
        <v>0</v>
      </c>
      <c r="I125" s="2204" t="s">
        <v>1972</v>
      </c>
      <c r="J125" s="2240" t="s">
        <v>0</v>
      </c>
      <c r="K125" s="2205" t="s">
        <v>1987</v>
      </c>
      <c r="L125" s="2204" t="s">
        <v>1972</v>
      </c>
      <c r="M125" s="2239" t="s">
        <v>1987</v>
      </c>
      <c r="N125" s="2202"/>
      <c r="O125" s="2209" t="s">
        <v>1989</v>
      </c>
      <c r="P125" s="2204" t="s">
        <v>1972</v>
      </c>
      <c r="Q125" s="2237" t="s">
        <v>1989</v>
      </c>
      <c r="R125" s="2208" t="s">
        <v>1988</v>
      </c>
      <c r="S125" s="2204" t="s">
        <v>1972</v>
      </c>
      <c r="T125" s="2238" t="s">
        <v>1988</v>
      </c>
      <c r="U125" s="2205" t="s">
        <v>0</v>
      </c>
      <c r="V125" s="2204" t="s">
        <v>1972</v>
      </c>
      <c r="W125" s="2237" t="s">
        <v>0</v>
      </c>
      <c r="X125" s="2205" t="s">
        <v>1987</v>
      </c>
      <c r="Y125" s="2204" t="s">
        <v>1972</v>
      </c>
      <c r="Z125" s="2236" t="s">
        <v>1987</v>
      </c>
      <c r="AA125" s="2202"/>
      <c r="AB125" s="2202"/>
      <c r="AC125" s="2202"/>
    </row>
    <row r="126" spans="1:29" s="2105" customFormat="1" ht="44.25">
      <c r="A126" s="2202"/>
      <c r="B126" s="2209" t="s">
        <v>1986</v>
      </c>
      <c r="C126" s="2204" t="s">
        <v>1972</v>
      </c>
      <c r="D126" s="2240" t="s">
        <v>1986</v>
      </c>
      <c r="E126" s="2208" t="s">
        <v>1985</v>
      </c>
      <c r="F126" s="2204" t="s">
        <v>1972</v>
      </c>
      <c r="G126" s="2241" t="s">
        <v>1985</v>
      </c>
      <c r="H126" s="2205" t="s">
        <v>29</v>
      </c>
      <c r="I126" s="2204" t="s">
        <v>1972</v>
      </c>
      <c r="J126" s="2240" t="s">
        <v>29</v>
      </c>
      <c r="K126" s="2205" t="s">
        <v>1984</v>
      </c>
      <c r="L126" s="2204" t="s">
        <v>1972</v>
      </c>
      <c r="M126" s="2239" t="s">
        <v>1984</v>
      </c>
      <c r="N126" s="2202"/>
      <c r="O126" s="2209" t="s">
        <v>1986</v>
      </c>
      <c r="P126" s="2204" t="s">
        <v>1972</v>
      </c>
      <c r="Q126" s="2237" t="s">
        <v>1986</v>
      </c>
      <c r="R126" s="2208" t="s">
        <v>1985</v>
      </c>
      <c r="S126" s="2204" t="s">
        <v>1972</v>
      </c>
      <c r="T126" s="2238" t="s">
        <v>1985</v>
      </c>
      <c r="U126" s="2205" t="s">
        <v>29</v>
      </c>
      <c r="V126" s="2204" t="s">
        <v>1972</v>
      </c>
      <c r="W126" s="2237" t="s">
        <v>29</v>
      </c>
      <c r="X126" s="2205" t="s">
        <v>1984</v>
      </c>
      <c r="Y126" s="2204" t="s">
        <v>1972</v>
      </c>
      <c r="Z126" s="2236" t="s">
        <v>1984</v>
      </c>
      <c r="AA126" s="2202"/>
      <c r="AB126" s="2202"/>
      <c r="AC126" s="2202"/>
    </row>
    <row r="127" spans="1:29" s="2105" customFormat="1" ht="44.25">
      <c r="A127" s="2202"/>
      <c r="B127" s="2209" t="s">
        <v>33</v>
      </c>
      <c r="C127" s="2204" t="s">
        <v>1972</v>
      </c>
      <c r="D127" s="2240" t="s">
        <v>33</v>
      </c>
      <c r="E127" s="2208" t="s">
        <v>1983</v>
      </c>
      <c r="F127" s="2204" t="s">
        <v>1972</v>
      </c>
      <c r="G127" s="2241" t="s">
        <v>1983</v>
      </c>
      <c r="H127" s="2205" t="s">
        <v>1982</v>
      </c>
      <c r="I127" s="2204" t="s">
        <v>1972</v>
      </c>
      <c r="J127" s="2240" t="s">
        <v>1982</v>
      </c>
      <c r="K127" s="2205" t="s">
        <v>380</v>
      </c>
      <c r="L127" s="2204" t="s">
        <v>1972</v>
      </c>
      <c r="M127" s="2239" t="s">
        <v>380</v>
      </c>
      <c r="N127" s="2202"/>
      <c r="O127" s="2209" t="s">
        <v>33</v>
      </c>
      <c r="P127" s="2204" t="s">
        <v>1972</v>
      </c>
      <c r="Q127" s="2237" t="s">
        <v>33</v>
      </c>
      <c r="R127" s="2208" t="s">
        <v>1983</v>
      </c>
      <c r="S127" s="2204" t="s">
        <v>1972</v>
      </c>
      <c r="T127" s="2238" t="s">
        <v>1983</v>
      </c>
      <c r="U127" s="2205" t="s">
        <v>1982</v>
      </c>
      <c r="V127" s="2204" t="s">
        <v>1972</v>
      </c>
      <c r="W127" s="2237" t="s">
        <v>1982</v>
      </c>
      <c r="X127" s="2205" t="s">
        <v>380</v>
      </c>
      <c r="Y127" s="2204" t="s">
        <v>1972</v>
      </c>
      <c r="Z127" s="2236" t="s">
        <v>380</v>
      </c>
      <c r="AA127" s="2202"/>
      <c r="AB127" s="2202"/>
      <c r="AC127" s="2202"/>
    </row>
    <row r="128" spans="1:29" s="2105" customFormat="1" ht="44.25">
      <c r="A128" s="2202"/>
      <c r="B128" s="2209" t="s">
        <v>1981</v>
      </c>
      <c r="C128" s="2204" t="s">
        <v>1972</v>
      </c>
      <c r="D128" s="2240" t="s">
        <v>1981</v>
      </c>
      <c r="E128" s="2208" t="s">
        <v>1980</v>
      </c>
      <c r="F128" s="2204" t="s">
        <v>1972</v>
      </c>
      <c r="G128" s="2241" t="s">
        <v>1980</v>
      </c>
      <c r="H128" s="2205" t="s">
        <v>1979</v>
      </c>
      <c r="I128" s="2204" t="s">
        <v>1972</v>
      </c>
      <c r="J128" s="2240" t="s">
        <v>1979</v>
      </c>
      <c r="K128" s="2205" t="s">
        <v>1978</v>
      </c>
      <c r="L128" s="2204" t="s">
        <v>1972</v>
      </c>
      <c r="M128" s="2239" t="s">
        <v>1978</v>
      </c>
      <c r="N128" s="2202"/>
      <c r="O128" s="2209" t="s">
        <v>1981</v>
      </c>
      <c r="P128" s="2204" t="s">
        <v>1972</v>
      </c>
      <c r="Q128" s="2237" t="s">
        <v>1981</v>
      </c>
      <c r="R128" s="2208" t="s">
        <v>1980</v>
      </c>
      <c r="S128" s="2204" t="s">
        <v>1972</v>
      </c>
      <c r="T128" s="2238" t="s">
        <v>1980</v>
      </c>
      <c r="U128" s="2205" t="s">
        <v>1979</v>
      </c>
      <c r="V128" s="2204" t="s">
        <v>1972</v>
      </c>
      <c r="W128" s="2237" t="s">
        <v>1979</v>
      </c>
      <c r="X128" s="2205" t="s">
        <v>1978</v>
      </c>
      <c r="Y128" s="2204" t="s">
        <v>1972</v>
      </c>
      <c r="Z128" s="2236" t="s">
        <v>1978</v>
      </c>
      <c r="AA128" s="2202"/>
      <c r="AB128" s="2202"/>
      <c r="AC128" s="2202"/>
    </row>
    <row r="129" spans="1:29" s="2105" customFormat="1" ht="44.25">
      <c r="A129" s="2202"/>
      <c r="B129" s="2209" t="s">
        <v>1977</v>
      </c>
      <c r="C129" s="2204" t="s">
        <v>1972</v>
      </c>
      <c r="D129" s="2240" t="s">
        <v>1977</v>
      </c>
      <c r="E129" s="2208" t="s">
        <v>1976</v>
      </c>
      <c r="F129" s="2204" t="s">
        <v>1972</v>
      </c>
      <c r="G129" s="2241" t="s">
        <v>1976</v>
      </c>
      <c r="H129" s="2205" t="s">
        <v>1975</v>
      </c>
      <c r="I129" s="2204" t="s">
        <v>1972</v>
      </c>
      <c r="J129" s="2240" t="s">
        <v>1975</v>
      </c>
      <c r="K129" s="2205" t="s">
        <v>1074</v>
      </c>
      <c r="L129" s="2204" t="s">
        <v>1972</v>
      </c>
      <c r="M129" s="2239" t="s">
        <v>1074</v>
      </c>
      <c r="N129" s="2202"/>
      <c r="O129" s="2209" t="s">
        <v>1977</v>
      </c>
      <c r="P129" s="2204" t="s">
        <v>1972</v>
      </c>
      <c r="Q129" s="2237" t="s">
        <v>1977</v>
      </c>
      <c r="R129" s="2208" t="s">
        <v>1976</v>
      </c>
      <c r="S129" s="2204" t="s">
        <v>1972</v>
      </c>
      <c r="T129" s="2238" t="s">
        <v>1976</v>
      </c>
      <c r="U129" s="2205" t="s">
        <v>1975</v>
      </c>
      <c r="V129" s="2204" t="s">
        <v>1972</v>
      </c>
      <c r="W129" s="2237" t="s">
        <v>1975</v>
      </c>
      <c r="X129" s="2205" t="s">
        <v>1074</v>
      </c>
      <c r="Y129" s="2204" t="s">
        <v>1972</v>
      </c>
      <c r="Z129" s="2236" t="s">
        <v>1074</v>
      </c>
      <c r="AA129" s="2202"/>
      <c r="AB129" s="2202"/>
      <c r="AC129" s="2202"/>
    </row>
    <row r="130" spans="1:29" s="2105" customFormat="1" ht="44.25">
      <c r="A130" s="2202"/>
      <c r="B130" s="2209"/>
      <c r="C130" s="2204" t="s">
        <v>1972</v>
      </c>
      <c r="D130" s="2240"/>
      <c r="E130" s="2208" t="s">
        <v>1974</v>
      </c>
      <c r="F130" s="2204" t="s">
        <v>1972</v>
      </c>
      <c r="G130" s="2241" t="s">
        <v>1974</v>
      </c>
      <c r="H130" s="2205" t="s">
        <v>1973</v>
      </c>
      <c r="I130" s="2204" t="s">
        <v>1972</v>
      </c>
      <c r="J130" s="2240" t="s">
        <v>1973</v>
      </c>
      <c r="K130" s="2205"/>
      <c r="L130" s="2204" t="s">
        <v>1972</v>
      </c>
      <c r="M130" s="2239"/>
      <c r="N130" s="2202"/>
      <c r="O130" s="2209"/>
      <c r="P130" s="2204" t="s">
        <v>1972</v>
      </c>
      <c r="Q130" s="2237"/>
      <c r="R130" s="2208" t="s">
        <v>1974</v>
      </c>
      <c r="S130" s="2204" t="s">
        <v>1972</v>
      </c>
      <c r="T130" s="2238" t="s">
        <v>1974</v>
      </c>
      <c r="U130" s="2205" t="s">
        <v>1973</v>
      </c>
      <c r="V130" s="2204" t="s">
        <v>1972</v>
      </c>
      <c r="W130" s="2237" t="s">
        <v>1973</v>
      </c>
      <c r="X130" s="2205"/>
      <c r="Y130" s="2204" t="s">
        <v>1972</v>
      </c>
      <c r="Z130" s="2236"/>
      <c r="AA130" s="2202"/>
      <c r="AB130" s="2202"/>
      <c r="AC130" s="2202"/>
    </row>
    <row r="131" spans="1:29" s="2105" customFormat="1" ht="15">
      <c r="A131" s="987"/>
      <c r="B131" s="2198"/>
      <c r="C131" s="2197"/>
      <c r="D131" s="2197"/>
      <c r="E131" s="2197"/>
      <c r="F131" s="2197"/>
      <c r="G131" s="2197"/>
      <c r="H131" s="2197"/>
      <c r="I131" s="2197"/>
      <c r="J131" s="2197"/>
      <c r="K131" s="2197"/>
      <c r="L131" s="2197"/>
      <c r="M131" s="2235"/>
      <c r="N131" s="2194"/>
      <c r="O131" s="2198"/>
      <c r="P131" s="2197"/>
      <c r="Q131" s="2197"/>
      <c r="R131" s="2197"/>
      <c r="S131" s="2197"/>
      <c r="T131" s="2197"/>
      <c r="U131" s="2197"/>
      <c r="V131" s="2197"/>
      <c r="W131" s="2197"/>
      <c r="X131" s="2197"/>
      <c r="Y131" s="2197"/>
      <c r="Z131" s="2196"/>
      <c r="AA131" s="2234"/>
      <c r="AB131" s="987"/>
      <c r="AC131" s="987"/>
    </row>
    <row r="134" spans="1:29" s="2105" customFormat="1" ht="30">
      <c r="A134" s="987"/>
      <c r="B134" s="2230" t="s">
        <v>2029</v>
      </c>
      <c r="C134" s="2229"/>
      <c r="D134" s="2228" t="s">
        <v>2028</v>
      </c>
      <c r="E134" s="2233" t="s">
        <v>2030</v>
      </c>
      <c r="F134" s="2232"/>
      <c r="G134" s="2232"/>
      <c r="H134" s="2232"/>
      <c r="I134" s="2232"/>
      <c r="J134" s="2232"/>
      <c r="K134" s="2232"/>
      <c r="L134" s="2232"/>
      <c r="M134" s="2231"/>
      <c r="N134" s="987"/>
      <c r="O134" s="2230" t="s">
        <v>2029</v>
      </c>
      <c r="P134" s="2229"/>
      <c r="Q134" s="2228" t="s">
        <v>2028</v>
      </c>
      <c r="R134" s="2227" t="s">
        <v>2027</v>
      </c>
      <c r="S134" s="2226"/>
      <c r="T134" s="2226"/>
      <c r="U134" s="2226"/>
      <c r="V134" s="2226"/>
      <c r="W134" s="2226"/>
      <c r="X134" s="2226"/>
      <c r="Y134" s="2226"/>
      <c r="Z134" s="2225"/>
      <c r="AA134" s="987"/>
      <c r="AB134" s="987"/>
      <c r="AC134" s="987"/>
    </row>
    <row r="135" spans="1:29" s="2105" customFormat="1" ht="30">
      <c r="A135" s="987"/>
      <c r="B135" s="2223" t="s">
        <v>2026</v>
      </c>
      <c r="C135" s="2222" t="s">
        <v>1972</v>
      </c>
      <c r="D135" s="2224" t="str">
        <f>B135</f>
        <v>Aa</v>
      </c>
      <c r="E135" s="2220" t="s">
        <v>2025</v>
      </c>
      <c r="F135" s="2220"/>
      <c r="G135" s="2219"/>
      <c r="H135" s="2219"/>
      <c r="I135" s="2219"/>
      <c r="J135" s="2219"/>
      <c r="K135" s="2219"/>
      <c r="L135" s="2219"/>
      <c r="M135" s="2218"/>
      <c r="N135" s="987"/>
      <c r="O135" s="2223" t="s">
        <v>2026</v>
      </c>
      <c r="P135" s="2222" t="s">
        <v>1972</v>
      </c>
      <c r="Q135" s="2221" t="str">
        <f>O135</f>
        <v>Aa</v>
      </c>
      <c r="R135" s="2220" t="s">
        <v>2025</v>
      </c>
      <c r="S135" s="2220"/>
      <c r="T135" s="2219"/>
      <c r="U135" s="2219"/>
      <c r="V135" s="2219"/>
      <c r="W135" s="2219"/>
      <c r="X135" s="2219"/>
      <c r="Y135" s="2219"/>
      <c r="Z135" s="2218"/>
      <c r="AA135" s="987"/>
      <c r="AB135" s="987"/>
      <c r="AC135" s="987"/>
    </row>
    <row r="136" spans="1:29" s="2105" customFormat="1">
      <c r="A136" s="987"/>
      <c r="B136" s="2217"/>
      <c r="C136" s="987"/>
      <c r="D136" s="987"/>
      <c r="E136" s="987"/>
      <c r="F136" s="987"/>
      <c r="G136" s="987"/>
      <c r="H136" s="987"/>
      <c r="I136" s="987"/>
      <c r="J136" s="987"/>
      <c r="K136" s="987"/>
      <c r="L136" s="987"/>
      <c r="M136" s="2216"/>
      <c r="N136" s="987"/>
      <c r="O136" s="2217"/>
      <c r="P136" s="987"/>
      <c r="Q136" s="987"/>
      <c r="R136" s="987"/>
      <c r="S136" s="987"/>
      <c r="T136" s="987"/>
      <c r="U136" s="987"/>
      <c r="V136" s="987"/>
      <c r="W136" s="987"/>
      <c r="X136" s="987"/>
      <c r="Y136" s="987"/>
      <c r="Z136" s="2216"/>
      <c r="AA136" s="987"/>
      <c r="AB136" s="987"/>
      <c r="AC136" s="987"/>
    </row>
    <row r="137" spans="1:29" s="2105" customFormat="1">
      <c r="A137" s="987"/>
      <c r="B137" s="2215" t="s">
        <v>2024</v>
      </c>
      <c r="C137" s="4898" t="s">
        <v>2020</v>
      </c>
      <c r="D137" s="4899"/>
      <c r="E137" s="2214" t="s">
        <v>2023</v>
      </c>
      <c r="F137" s="4898" t="s">
        <v>2020</v>
      </c>
      <c r="G137" s="4899"/>
      <c r="H137" s="2214" t="s">
        <v>2022</v>
      </c>
      <c r="I137" s="4898" t="s">
        <v>2020</v>
      </c>
      <c r="J137" s="4899"/>
      <c r="K137" s="2214" t="s">
        <v>2021</v>
      </c>
      <c r="L137" s="4898" t="s">
        <v>2020</v>
      </c>
      <c r="M137" s="4900"/>
      <c r="N137" s="987"/>
      <c r="O137" s="2215" t="s">
        <v>2024</v>
      </c>
      <c r="P137" s="4901" t="s">
        <v>2020</v>
      </c>
      <c r="Q137" s="4902"/>
      <c r="R137" s="2214" t="s">
        <v>2023</v>
      </c>
      <c r="S137" s="4901" t="s">
        <v>2020</v>
      </c>
      <c r="T137" s="4902"/>
      <c r="U137" s="2214" t="s">
        <v>2022</v>
      </c>
      <c r="V137" s="4901" t="s">
        <v>2020</v>
      </c>
      <c r="W137" s="4902"/>
      <c r="X137" s="2214" t="s">
        <v>2021</v>
      </c>
      <c r="Y137" s="4901" t="s">
        <v>2020</v>
      </c>
      <c r="Z137" s="4908"/>
      <c r="AA137" s="987"/>
      <c r="AB137" s="987"/>
      <c r="AC137" s="987"/>
    </row>
    <row r="138" spans="1:29" s="2105" customFormat="1" ht="45">
      <c r="A138" s="2202"/>
      <c r="B138" s="2209" t="s">
        <v>2</v>
      </c>
      <c r="C138" s="2204" t="s">
        <v>1972</v>
      </c>
      <c r="D138" s="2213" t="s">
        <v>2</v>
      </c>
      <c r="E138" s="2208" t="s">
        <v>2019</v>
      </c>
      <c r="F138" s="2204" t="s">
        <v>1972</v>
      </c>
      <c r="G138" s="2212" t="s">
        <v>2019</v>
      </c>
      <c r="H138" s="2205">
        <v>1</v>
      </c>
      <c r="I138" s="2204" t="s">
        <v>1972</v>
      </c>
      <c r="J138" s="2211">
        <v>1</v>
      </c>
      <c r="K138" s="2205">
        <v>27</v>
      </c>
      <c r="L138" s="2204" t="s">
        <v>1972</v>
      </c>
      <c r="M138" s="2210">
        <v>27</v>
      </c>
      <c r="N138" s="2202"/>
      <c r="O138" s="2209" t="s">
        <v>2</v>
      </c>
      <c r="P138" s="2204" t="s">
        <v>1972</v>
      </c>
      <c r="Q138" s="2206" t="s">
        <v>2</v>
      </c>
      <c r="R138" s="2208" t="s">
        <v>2019</v>
      </c>
      <c r="S138" s="2204" t="s">
        <v>1972</v>
      </c>
      <c r="T138" s="2207" t="s">
        <v>2019</v>
      </c>
      <c r="U138" s="2205">
        <v>1</v>
      </c>
      <c r="V138" s="2204" t="s">
        <v>1972</v>
      </c>
      <c r="W138" s="2206">
        <v>1</v>
      </c>
      <c r="X138" s="2205">
        <v>27</v>
      </c>
      <c r="Y138" s="2204" t="s">
        <v>1972</v>
      </c>
      <c r="Z138" s="2203">
        <v>27</v>
      </c>
      <c r="AA138" s="2202"/>
      <c r="AB138" s="2202"/>
      <c r="AC138" s="2202"/>
    </row>
    <row r="139" spans="1:29" s="2105" customFormat="1" ht="45">
      <c r="A139" s="2202"/>
      <c r="B139" s="2209" t="s">
        <v>27</v>
      </c>
      <c r="C139" s="2204" t="s">
        <v>1972</v>
      </c>
      <c r="D139" s="2213" t="s">
        <v>27</v>
      </c>
      <c r="E139" s="2208" t="s">
        <v>2018</v>
      </c>
      <c r="F139" s="2204" t="s">
        <v>1972</v>
      </c>
      <c r="G139" s="2212" t="s">
        <v>2018</v>
      </c>
      <c r="H139" s="2205">
        <v>2</v>
      </c>
      <c r="I139" s="2204" t="s">
        <v>1972</v>
      </c>
      <c r="J139" s="2211">
        <v>2</v>
      </c>
      <c r="K139" s="2205">
        <v>28</v>
      </c>
      <c r="L139" s="2204" t="s">
        <v>1972</v>
      </c>
      <c r="M139" s="2210">
        <v>28</v>
      </c>
      <c r="N139" s="2202"/>
      <c r="O139" s="2209" t="s">
        <v>27</v>
      </c>
      <c r="P139" s="2204" t="s">
        <v>1972</v>
      </c>
      <c r="Q139" s="2206" t="s">
        <v>27</v>
      </c>
      <c r="R139" s="2208" t="s">
        <v>2018</v>
      </c>
      <c r="S139" s="2204" t="s">
        <v>1972</v>
      </c>
      <c r="T139" s="2207" t="s">
        <v>2018</v>
      </c>
      <c r="U139" s="2205">
        <v>2</v>
      </c>
      <c r="V139" s="2204" t="s">
        <v>1972</v>
      </c>
      <c r="W139" s="2206">
        <v>2</v>
      </c>
      <c r="X139" s="2205">
        <v>28</v>
      </c>
      <c r="Y139" s="2204" t="s">
        <v>1972</v>
      </c>
      <c r="Z139" s="2203">
        <v>28</v>
      </c>
      <c r="AA139" s="2202"/>
      <c r="AB139" s="2202"/>
      <c r="AC139" s="2202"/>
    </row>
    <row r="140" spans="1:29" s="2105" customFormat="1" ht="45">
      <c r="A140" s="2202"/>
      <c r="B140" s="2209" t="s">
        <v>39</v>
      </c>
      <c r="C140" s="2204" t="s">
        <v>1972</v>
      </c>
      <c r="D140" s="2213" t="s">
        <v>39</v>
      </c>
      <c r="E140" s="2208" t="s">
        <v>2017</v>
      </c>
      <c r="F140" s="2204" t="s">
        <v>1972</v>
      </c>
      <c r="G140" s="2212" t="s">
        <v>2017</v>
      </c>
      <c r="H140" s="2205">
        <v>3</v>
      </c>
      <c r="I140" s="2204" t="s">
        <v>1972</v>
      </c>
      <c r="J140" s="2211">
        <v>3</v>
      </c>
      <c r="K140" s="2205">
        <v>29</v>
      </c>
      <c r="L140" s="2204" t="s">
        <v>1972</v>
      </c>
      <c r="M140" s="2210">
        <v>29</v>
      </c>
      <c r="N140" s="2202"/>
      <c r="O140" s="2209" t="s">
        <v>39</v>
      </c>
      <c r="P140" s="2204" t="s">
        <v>1972</v>
      </c>
      <c r="Q140" s="2206" t="s">
        <v>39</v>
      </c>
      <c r="R140" s="2208" t="s">
        <v>2017</v>
      </c>
      <c r="S140" s="2204" t="s">
        <v>1972</v>
      </c>
      <c r="T140" s="2207" t="s">
        <v>2017</v>
      </c>
      <c r="U140" s="2205">
        <v>3</v>
      </c>
      <c r="V140" s="2204" t="s">
        <v>1972</v>
      </c>
      <c r="W140" s="2206">
        <v>3</v>
      </c>
      <c r="X140" s="2205">
        <v>29</v>
      </c>
      <c r="Y140" s="2204" t="s">
        <v>1972</v>
      </c>
      <c r="Z140" s="2203">
        <v>29</v>
      </c>
      <c r="AA140" s="2202"/>
      <c r="AB140" s="2202"/>
      <c r="AC140" s="2202"/>
    </row>
    <row r="141" spans="1:29" s="2105" customFormat="1" ht="45">
      <c r="A141" s="2202"/>
      <c r="B141" s="2209" t="s">
        <v>52</v>
      </c>
      <c r="C141" s="2204" t="s">
        <v>1972</v>
      </c>
      <c r="D141" s="2213" t="s">
        <v>52</v>
      </c>
      <c r="E141" s="2208" t="s">
        <v>2016</v>
      </c>
      <c r="F141" s="2204" t="s">
        <v>1972</v>
      </c>
      <c r="G141" s="2212" t="s">
        <v>2016</v>
      </c>
      <c r="H141" s="2205">
        <v>4</v>
      </c>
      <c r="I141" s="2204" t="s">
        <v>1972</v>
      </c>
      <c r="J141" s="2211">
        <v>4</v>
      </c>
      <c r="K141" s="2205">
        <v>30</v>
      </c>
      <c r="L141" s="2204" t="s">
        <v>1972</v>
      </c>
      <c r="M141" s="2210">
        <v>30</v>
      </c>
      <c r="N141" s="2202"/>
      <c r="O141" s="2209" t="s">
        <v>52</v>
      </c>
      <c r="P141" s="2204" t="s">
        <v>1972</v>
      </c>
      <c r="Q141" s="2206" t="s">
        <v>52</v>
      </c>
      <c r="R141" s="2208" t="s">
        <v>2016</v>
      </c>
      <c r="S141" s="2204" t="s">
        <v>1972</v>
      </c>
      <c r="T141" s="2207" t="s">
        <v>2016</v>
      </c>
      <c r="U141" s="2205">
        <v>4</v>
      </c>
      <c r="V141" s="2204" t="s">
        <v>1972</v>
      </c>
      <c r="W141" s="2206">
        <v>4</v>
      </c>
      <c r="X141" s="2205">
        <v>30</v>
      </c>
      <c r="Y141" s="2204" t="s">
        <v>1972</v>
      </c>
      <c r="Z141" s="2203">
        <v>30</v>
      </c>
      <c r="AA141" s="2202"/>
      <c r="AB141" s="2202"/>
      <c r="AC141" s="2202"/>
    </row>
    <row r="142" spans="1:29" s="2105" customFormat="1" ht="45">
      <c r="A142" s="2202"/>
      <c r="B142" s="2209" t="s">
        <v>771</v>
      </c>
      <c r="C142" s="2204" t="s">
        <v>1972</v>
      </c>
      <c r="D142" s="2213" t="s">
        <v>771</v>
      </c>
      <c r="E142" s="2208" t="s">
        <v>2015</v>
      </c>
      <c r="F142" s="2204" t="s">
        <v>1972</v>
      </c>
      <c r="G142" s="2212" t="s">
        <v>2015</v>
      </c>
      <c r="H142" s="2205">
        <v>5</v>
      </c>
      <c r="I142" s="2204" t="s">
        <v>1972</v>
      </c>
      <c r="J142" s="2211">
        <v>5</v>
      </c>
      <c r="K142" s="2205">
        <v>31</v>
      </c>
      <c r="L142" s="2204" t="s">
        <v>1972</v>
      </c>
      <c r="M142" s="2210">
        <v>31</v>
      </c>
      <c r="N142" s="2202"/>
      <c r="O142" s="2209" t="s">
        <v>771</v>
      </c>
      <c r="P142" s="2204" t="s">
        <v>1972</v>
      </c>
      <c r="Q142" s="2206" t="s">
        <v>771</v>
      </c>
      <c r="R142" s="2208" t="s">
        <v>2015</v>
      </c>
      <c r="S142" s="2204" t="s">
        <v>1972</v>
      </c>
      <c r="T142" s="2207" t="s">
        <v>2015</v>
      </c>
      <c r="U142" s="2205">
        <v>5</v>
      </c>
      <c r="V142" s="2204" t="s">
        <v>1972</v>
      </c>
      <c r="W142" s="2206">
        <v>5</v>
      </c>
      <c r="X142" s="2205">
        <v>31</v>
      </c>
      <c r="Y142" s="2204" t="s">
        <v>1972</v>
      </c>
      <c r="Z142" s="2203">
        <v>31</v>
      </c>
      <c r="AA142" s="2202"/>
      <c r="AB142" s="2202"/>
      <c r="AC142" s="2202"/>
    </row>
    <row r="143" spans="1:29" s="2105" customFormat="1" ht="45">
      <c r="A143" s="2202"/>
      <c r="B143" s="2209" t="s">
        <v>874</v>
      </c>
      <c r="C143" s="2204" t="s">
        <v>1972</v>
      </c>
      <c r="D143" s="2213" t="s">
        <v>874</v>
      </c>
      <c r="E143" s="2208" t="s">
        <v>2014</v>
      </c>
      <c r="F143" s="2204" t="s">
        <v>1972</v>
      </c>
      <c r="G143" s="2212" t="s">
        <v>2014</v>
      </c>
      <c r="H143" s="2205">
        <v>6</v>
      </c>
      <c r="I143" s="2204" t="s">
        <v>1972</v>
      </c>
      <c r="J143" s="2211">
        <v>6</v>
      </c>
      <c r="K143" s="2205">
        <v>32</v>
      </c>
      <c r="L143" s="2204" t="s">
        <v>1972</v>
      </c>
      <c r="M143" s="2210">
        <v>32</v>
      </c>
      <c r="N143" s="2202"/>
      <c r="O143" s="2209" t="s">
        <v>874</v>
      </c>
      <c r="P143" s="2204" t="s">
        <v>1972</v>
      </c>
      <c r="Q143" s="2206" t="s">
        <v>874</v>
      </c>
      <c r="R143" s="2208" t="s">
        <v>2014</v>
      </c>
      <c r="S143" s="2204" t="s">
        <v>1972</v>
      </c>
      <c r="T143" s="2207" t="s">
        <v>2014</v>
      </c>
      <c r="U143" s="2205">
        <v>6</v>
      </c>
      <c r="V143" s="2204" t="s">
        <v>1972</v>
      </c>
      <c r="W143" s="2206">
        <v>6</v>
      </c>
      <c r="X143" s="2205">
        <v>32</v>
      </c>
      <c r="Y143" s="2204" t="s">
        <v>1972</v>
      </c>
      <c r="Z143" s="2203">
        <v>32</v>
      </c>
      <c r="AA143" s="2202"/>
      <c r="AB143" s="2202"/>
      <c r="AC143" s="2202"/>
    </row>
    <row r="144" spans="1:29" s="2105" customFormat="1" ht="45">
      <c r="A144" s="2202"/>
      <c r="B144" s="2209" t="s">
        <v>18</v>
      </c>
      <c r="C144" s="2204" t="s">
        <v>1972</v>
      </c>
      <c r="D144" s="2213" t="s">
        <v>18</v>
      </c>
      <c r="E144" s="2208" t="s">
        <v>598</v>
      </c>
      <c r="F144" s="2204" t="s">
        <v>1972</v>
      </c>
      <c r="G144" s="2212" t="s">
        <v>598</v>
      </c>
      <c r="H144" s="2205">
        <v>7</v>
      </c>
      <c r="I144" s="2204" t="s">
        <v>1972</v>
      </c>
      <c r="J144" s="2211">
        <v>7</v>
      </c>
      <c r="K144" s="2205">
        <v>33</v>
      </c>
      <c r="L144" s="2204" t="s">
        <v>1972</v>
      </c>
      <c r="M144" s="2210">
        <v>33</v>
      </c>
      <c r="N144" s="2202"/>
      <c r="O144" s="2209" t="s">
        <v>18</v>
      </c>
      <c r="P144" s="2204" t="s">
        <v>1972</v>
      </c>
      <c r="Q144" s="2206" t="s">
        <v>18</v>
      </c>
      <c r="R144" s="2208" t="s">
        <v>598</v>
      </c>
      <c r="S144" s="2204" t="s">
        <v>1972</v>
      </c>
      <c r="T144" s="2207" t="s">
        <v>598</v>
      </c>
      <c r="U144" s="2205">
        <v>7</v>
      </c>
      <c r="V144" s="2204" t="s">
        <v>1972</v>
      </c>
      <c r="W144" s="2206">
        <v>7</v>
      </c>
      <c r="X144" s="2205">
        <v>33</v>
      </c>
      <c r="Y144" s="2204" t="s">
        <v>1972</v>
      </c>
      <c r="Z144" s="2203">
        <v>33</v>
      </c>
      <c r="AA144" s="2202"/>
      <c r="AB144" s="2202"/>
      <c r="AC144" s="2202"/>
    </row>
    <row r="145" spans="1:29" s="2105" customFormat="1" ht="45">
      <c r="A145" s="2202"/>
      <c r="B145" s="2209" t="s">
        <v>30</v>
      </c>
      <c r="C145" s="2204" t="s">
        <v>1972</v>
      </c>
      <c r="D145" s="2213" t="s">
        <v>30</v>
      </c>
      <c r="E145" s="2208" t="s">
        <v>2013</v>
      </c>
      <c r="F145" s="2204" t="s">
        <v>1972</v>
      </c>
      <c r="G145" s="2212" t="s">
        <v>2013</v>
      </c>
      <c r="H145" s="2205">
        <v>8</v>
      </c>
      <c r="I145" s="2204" t="s">
        <v>1972</v>
      </c>
      <c r="J145" s="2211">
        <v>8</v>
      </c>
      <c r="K145" s="2205">
        <v>34</v>
      </c>
      <c r="L145" s="2204" t="s">
        <v>1972</v>
      </c>
      <c r="M145" s="2210">
        <v>34</v>
      </c>
      <c r="N145" s="2202"/>
      <c r="O145" s="2209" t="s">
        <v>30</v>
      </c>
      <c r="P145" s="2204" t="s">
        <v>1972</v>
      </c>
      <c r="Q145" s="2206" t="s">
        <v>30</v>
      </c>
      <c r="R145" s="2208" t="s">
        <v>2013</v>
      </c>
      <c r="S145" s="2204" t="s">
        <v>1972</v>
      </c>
      <c r="T145" s="2207" t="s">
        <v>2013</v>
      </c>
      <c r="U145" s="2205">
        <v>8</v>
      </c>
      <c r="V145" s="2204" t="s">
        <v>1972</v>
      </c>
      <c r="W145" s="2206">
        <v>8</v>
      </c>
      <c r="X145" s="2205">
        <v>34</v>
      </c>
      <c r="Y145" s="2204" t="s">
        <v>1972</v>
      </c>
      <c r="Z145" s="2203">
        <v>34</v>
      </c>
      <c r="AA145" s="2202"/>
      <c r="AB145" s="2202"/>
      <c r="AC145" s="2202"/>
    </row>
    <row r="146" spans="1:29" s="2105" customFormat="1" ht="45">
      <c r="A146" s="2202"/>
      <c r="B146" s="2209" t="s">
        <v>872</v>
      </c>
      <c r="C146" s="2204" t="s">
        <v>1972</v>
      </c>
      <c r="D146" s="2213" t="s">
        <v>872</v>
      </c>
      <c r="E146" s="2208" t="s">
        <v>2012</v>
      </c>
      <c r="F146" s="2204" t="s">
        <v>1972</v>
      </c>
      <c r="G146" s="2212" t="s">
        <v>2012</v>
      </c>
      <c r="H146" s="2205">
        <v>9</v>
      </c>
      <c r="I146" s="2204" t="s">
        <v>1972</v>
      </c>
      <c r="J146" s="2211">
        <v>9</v>
      </c>
      <c r="K146" s="2205">
        <v>35</v>
      </c>
      <c r="L146" s="2204" t="s">
        <v>1972</v>
      </c>
      <c r="M146" s="2210">
        <v>35</v>
      </c>
      <c r="N146" s="2202"/>
      <c r="O146" s="2209" t="s">
        <v>872</v>
      </c>
      <c r="P146" s="2204" t="s">
        <v>1972</v>
      </c>
      <c r="Q146" s="2206" t="s">
        <v>872</v>
      </c>
      <c r="R146" s="2208" t="s">
        <v>2012</v>
      </c>
      <c r="S146" s="2204" t="s">
        <v>1972</v>
      </c>
      <c r="T146" s="2207" t="s">
        <v>2012</v>
      </c>
      <c r="U146" s="2205">
        <v>9</v>
      </c>
      <c r="V146" s="2204" t="s">
        <v>1972</v>
      </c>
      <c r="W146" s="2206">
        <v>9</v>
      </c>
      <c r="X146" s="2205">
        <v>35</v>
      </c>
      <c r="Y146" s="2204" t="s">
        <v>1972</v>
      </c>
      <c r="Z146" s="2203">
        <v>35</v>
      </c>
      <c r="AA146" s="2202"/>
      <c r="AB146" s="2202"/>
      <c r="AC146" s="2202"/>
    </row>
    <row r="147" spans="1:29" s="2105" customFormat="1" ht="45">
      <c r="A147" s="2202"/>
      <c r="B147" s="2209" t="s">
        <v>870</v>
      </c>
      <c r="C147" s="2204" t="s">
        <v>1972</v>
      </c>
      <c r="D147" s="2213" t="s">
        <v>870</v>
      </c>
      <c r="E147" s="2208" t="s">
        <v>2011</v>
      </c>
      <c r="F147" s="2204" t="s">
        <v>1972</v>
      </c>
      <c r="G147" s="2212" t="s">
        <v>2011</v>
      </c>
      <c r="H147" s="2205">
        <v>10</v>
      </c>
      <c r="I147" s="2204" t="s">
        <v>1972</v>
      </c>
      <c r="J147" s="2211">
        <v>10</v>
      </c>
      <c r="K147" s="2205">
        <v>36</v>
      </c>
      <c r="L147" s="2204" t="s">
        <v>1972</v>
      </c>
      <c r="M147" s="2210">
        <v>36</v>
      </c>
      <c r="N147" s="2202"/>
      <c r="O147" s="2209" t="s">
        <v>870</v>
      </c>
      <c r="P147" s="2204" t="s">
        <v>1972</v>
      </c>
      <c r="Q147" s="2206" t="s">
        <v>870</v>
      </c>
      <c r="R147" s="2208" t="s">
        <v>2011</v>
      </c>
      <c r="S147" s="2204" t="s">
        <v>1972</v>
      </c>
      <c r="T147" s="2207" t="s">
        <v>2011</v>
      </c>
      <c r="U147" s="2205">
        <v>10</v>
      </c>
      <c r="V147" s="2204" t="s">
        <v>1972</v>
      </c>
      <c r="W147" s="2206">
        <v>10</v>
      </c>
      <c r="X147" s="2205">
        <v>36</v>
      </c>
      <c r="Y147" s="2204" t="s">
        <v>1972</v>
      </c>
      <c r="Z147" s="2203">
        <v>36</v>
      </c>
      <c r="AA147" s="2202"/>
      <c r="AB147" s="2202"/>
      <c r="AC147" s="2202"/>
    </row>
    <row r="148" spans="1:29" s="2105" customFormat="1" ht="45">
      <c r="A148" s="2202"/>
      <c r="B148" s="2209" t="s">
        <v>868</v>
      </c>
      <c r="C148" s="2204" t="s">
        <v>1972</v>
      </c>
      <c r="D148" s="2213" t="s">
        <v>868</v>
      </c>
      <c r="E148" s="2208" t="s">
        <v>2010</v>
      </c>
      <c r="F148" s="2204" t="s">
        <v>1972</v>
      </c>
      <c r="G148" s="2212" t="s">
        <v>2010</v>
      </c>
      <c r="H148" s="2205">
        <v>11</v>
      </c>
      <c r="I148" s="2204" t="s">
        <v>1972</v>
      </c>
      <c r="J148" s="2211">
        <v>11</v>
      </c>
      <c r="K148" s="2205">
        <v>37</v>
      </c>
      <c r="L148" s="2204" t="s">
        <v>1972</v>
      </c>
      <c r="M148" s="2210">
        <v>37</v>
      </c>
      <c r="N148" s="2202"/>
      <c r="O148" s="2209" t="s">
        <v>868</v>
      </c>
      <c r="P148" s="2204" t="s">
        <v>1972</v>
      </c>
      <c r="Q148" s="2206" t="s">
        <v>868</v>
      </c>
      <c r="R148" s="2208" t="s">
        <v>2010</v>
      </c>
      <c r="S148" s="2204" t="s">
        <v>1972</v>
      </c>
      <c r="T148" s="2207" t="s">
        <v>2010</v>
      </c>
      <c r="U148" s="2205">
        <v>11</v>
      </c>
      <c r="V148" s="2204" t="s">
        <v>1972</v>
      </c>
      <c r="W148" s="2206">
        <v>11</v>
      </c>
      <c r="X148" s="2205">
        <v>37</v>
      </c>
      <c r="Y148" s="2204" t="s">
        <v>1972</v>
      </c>
      <c r="Z148" s="2203">
        <v>37</v>
      </c>
      <c r="AA148" s="2202"/>
      <c r="AB148" s="2202"/>
      <c r="AC148" s="2202"/>
    </row>
    <row r="149" spans="1:29" s="2105" customFormat="1" ht="45">
      <c r="A149" s="2202"/>
      <c r="B149" s="2209" t="s">
        <v>642</v>
      </c>
      <c r="C149" s="2204" t="s">
        <v>1972</v>
      </c>
      <c r="D149" s="2213" t="s">
        <v>642</v>
      </c>
      <c r="E149" s="2208" t="s">
        <v>2009</v>
      </c>
      <c r="F149" s="2204" t="s">
        <v>1972</v>
      </c>
      <c r="G149" s="2212" t="s">
        <v>2009</v>
      </c>
      <c r="H149" s="2205">
        <v>12</v>
      </c>
      <c r="I149" s="2204" t="s">
        <v>1972</v>
      </c>
      <c r="J149" s="2211">
        <v>12</v>
      </c>
      <c r="K149" s="2205">
        <v>38</v>
      </c>
      <c r="L149" s="2204" t="s">
        <v>1972</v>
      </c>
      <c r="M149" s="2210">
        <v>38</v>
      </c>
      <c r="N149" s="2202"/>
      <c r="O149" s="2209" t="s">
        <v>642</v>
      </c>
      <c r="P149" s="2204" t="s">
        <v>1972</v>
      </c>
      <c r="Q149" s="2206" t="s">
        <v>642</v>
      </c>
      <c r="R149" s="2208" t="s">
        <v>2009</v>
      </c>
      <c r="S149" s="2204" t="s">
        <v>1972</v>
      </c>
      <c r="T149" s="2207" t="s">
        <v>2009</v>
      </c>
      <c r="U149" s="2205">
        <v>12</v>
      </c>
      <c r="V149" s="2204" t="s">
        <v>1972</v>
      </c>
      <c r="W149" s="2206">
        <v>12</v>
      </c>
      <c r="X149" s="2205">
        <v>38</v>
      </c>
      <c r="Y149" s="2204" t="s">
        <v>1972</v>
      </c>
      <c r="Z149" s="2203">
        <v>38</v>
      </c>
      <c r="AA149" s="2202"/>
      <c r="AB149" s="2202"/>
      <c r="AC149" s="2202"/>
    </row>
    <row r="150" spans="1:29" s="2105" customFormat="1" ht="45">
      <c r="A150" s="2202"/>
      <c r="B150" s="2209" t="s">
        <v>53</v>
      </c>
      <c r="C150" s="2204" t="s">
        <v>1972</v>
      </c>
      <c r="D150" s="2213" t="s">
        <v>53</v>
      </c>
      <c r="E150" s="2208" t="s">
        <v>2008</v>
      </c>
      <c r="F150" s="2204" t="s">
        <v>1972</v>
      </c>
      <c r="G150" s="2212" t="s">
        <v>2008</v>
      </c>
      <c r="H150" s="2205">
        <v>13</v>
      </c>
      <c r="I150" s="2204" t="s">
        <v>1972</v>
      </c>
      <c r="J150" s="2211">
        <v>13</v>
      </c>
      <c r="K150" s="2205">
        <v>39</v>
      </c>
      <c r="L150" s="2204" t="s">
        <v>1972</v>
      </c>
      <c r="M150" s="2210">
        <v>39</v>
      </c>
      <c r="N150" s="2202"/>
      <c r="O150" s="2209" t="s">
        <v>53</v>
      </c>
      <c r="P150" s="2204" t="s">
        <v>1972</v>
      </c>
      <c r="Q150" s="2206" t="s">
        <v>53</v>
      </c>
      <c r="R150" s="2208" t="s">
        <v>2008</v>
      </c>
      <c r="S150" s="2204" t="s">
        <v>1972</v>
      </c>
      <c r="T150" s="2207" t="s">
        <v>2008</v>
      </c>
      <c r="U150" s="2205">
        <v>13</v>
      </c>
      <c r="V150" s="2204" t="s">
        <v>1972</v>
      </c>
      <c r="W150" s="2206">
        <v>13</v>
      </c>
      <c r="X150" s="2205">
        <v>39</v>
      </c>
      <c r="Y150" s="2204" t="s">
        <v>1972</v>
      </c>
      <c r="Z150" s="2203">
        <v>39</v>
      </c>
      <c r="AA150" s="2202"/>
      <c r="AB150" s="2202"/>
      <c r="AC150" s="2202"/>
    </row>
    <row r="151" spans="1:29" s="2105" customFormat="1" ht="45">
      <c r="A151" s="2202"/>
      <c r="B151" s="2209" t="s">
        <v>1233</v>
      </c>
      <c r="C151" s="2204" t="s">
        <v>1972</v>
      </c>
      <c r="D151" s="2213" t="s">
        <v>1233</v>
      </c>
      <c r="E151" s="2208" t="s">
        <v>2007</v>
      </c>
      <c r="F151" s="2204" t="s">
        <v>1972</v>
      </c>
      <c r="G151" s="2212" t="s">
        <v>2007</v>
      </c>
      <c r="H151" s="2205">
        <v>14</v>
      </c>
      <c r="I151" s="2204" t="s">
        <v>1972</v>
      </c>
      <c r="J151" s="2211">
        <v>14</v>
      </c>
      <c r="K151" s="2205">
        <v>40</v>
      </c>
      <c r="L151" s="2204" t="s">
        <v>1972</v>
      </c>
      <c r="M151" s="2210">
        <v>40</v>
      </c>
      <c r="N151" s="2202"/>
      <c r="O151" s="2209" t="s">
        <v>1233</v>
      </c>
      <c r="P151" s="2204" t="s">
        <v>1972</v>
      </c>
      <c r="Q151" s="2206" t="s">
        <v>1233</v>
      </c>
      <c r="R151" s="2208" t="s">
        <v>2007</v>
      </c>
      <c r="S151" s="2204" t="s">
        <v>1972</v>
      </c>
      <c r="T151" s="2207" t="s">
        <v>2007</v>
      </c>
      <c r="U151" s="2205">
        <v>14</v>
      </c>
      <c r="V151" s="2204" t="s">
        <v>1972</v>
      </c>
      <c r="W151" s="2206">
        <v>14</v>
      </c>
      <c r="X151" s="2205">
        <v>40</v>
      </c>
      <c r="Y151" s="2204" t="s">
        <v>1972</v>
      </c>
      <c r="Z151" s="2203">
        <v>40</v>
      </c>
      <c r="AA151" s="2202"/>
      <c r="AB151" s="2202"/>
      <c r="AC151" s="2202"/>
    </row>
    <row r="152" spans="1:29" s="2105" customFormat="1" ht="45">
      <c r="A152" s="2202"/>
      <c r="B152" s="2209" t="s">
        <v>1225</v>
      </c>
      <c r="C152" s="2204" t="s">
        <v>1972</v>
      </c>
      <c r="D152" s="2213" t="s">
        <v>1225</v>
      </c>
      <c r="E152" s="2208" t="s">
        <v>2006</v>
      </c>
      <c r="F152" s="2204" t="s">
        <v>1972</v>
      </c>
      <c r="G152" s="2212" t="s">
        <v>2006</v>
      </c>
      <c r="H152" s="2205">
        <v>15</v>
      </c>
      <c r="I152" s="2204" t="s">
        <v>1972</v>
      </c>
      <c r="J152" s="2211">
        <v>15</v>
      </c>
      <c r="K152" s="2205">
        <v>41</v>
      </c>
      <c r="L152" s="2204" t="s">
        <v>1972</v>
      </c>
      <c r="M152" s="2210">
        <v>41</v>
      </c>
      <c r="N152" s="2202"/>
      <c r="O152" s="2209" t="s">
        <v>1225</v>
      </c>
      <c r="P152" s="2204" t="s">
        <v>1972</v>
      </c>
      <c r="Q152" s="2206" t="s">
        <v>1225</v>
      </c>
      <c r="R152" s="2208" t="s">
        <v>2006</v>
      </c>
      <c r="S152" s="2204" t="s">
        <v>1972</v>
      </c>
      <c r="T152" s="2207" t="s">
        <v>2006</v>
      </c>
      <c r="U152" s="2205">
        <v>15</v>
      </c>
      <c r="V152" s="2204" t="s">
        <v>1972</v>
      </c>
      <c r="W152" s="2206">
        <v>15</v>
      </c>
      <c r="X152" s="2205">
        <v>41</v>
      </c>
      <c r="Y152" s="2204" t="s">
        <v>1972</v>
      </c>
      <c r="Z152" s="2203">
        <v>41</v>
      </c>
      <c r="AA152" s="2202"/>
      <c r="AB152" s="2202"/>
      <c r="AC152" s="2202"/>
    </row>
    <row r="153" spans="1:29" s="2105" customFormat="1" ht="45">
      <c r="A153" s="2202"/>
      <c r="B153" s="2209" t="s">
        <v>54</v>
      </c>
      <c r="C153" s="2204" t="s">
        <v>1972</v>
      </c>
      <c r="D153" s="2213" t="s">
        <v>54</v>
      </c>
      <c r="E153" s="2208" t="s">
        <v>342</v>
      </c>
      <c r="F153" s="2204" t="s">
        <v>1972</v>
      </c>
      <c r="G153" s="2212" t="s">
        <v>342</v>
      </c>
      <c r="H153" s="2205">
        <v>16</v>
      </c>
      <c r="I153" s="2204" t="s">
        <v>1972</v>
      </c>
      <c r="J153" s="2211">
        <v>16</v>
      </c>
      <c r="K153" s="2205">
        <v>42</v>
      </c>
      <c r="L153" s="2204" t="s">
        <v>1972</v>
      </c>
      <c r="M153" s="2210">
        <v>42</v>
      </c>
      <c r="N153" s="2202"/>
      <c r="O153" s="2209" t="s">
        <v>54</v>
      </c>
      <c r="P153" s="2204" t="s">
        <v>1972</v>
      </c>
      <c r="Q153" s="2206" t="s">
        <v>54</v>
      </c>
      <c r="R153" s="2208" t="s">
        <v>342</v>
      </c>
      <c r="S153" s="2204" t="s">
        <v>1972</v>
      </c>
      <c r="T153" s="2207" t="s">
        <v>342</v>
      </c>
      <c r="U153" s="2205">
        <v>16</v>
      </c>
      <c r="V153" s="2204" t="s">
        <v>1972</v>
      </c>
      <c r="W153" s="2206">
        <v>16</v>
      </c>
      <c r="X153" s="2205">
        <v>42</v>
      </c>
      <c r="Y153" s="2204" t="s">
        <v>1972</v>
      </c>
      <c r="Z153" s="2203">
        <v>42</v>
      </c>
      <c r="AA153" s="2202"/>
      <c r="AB153" s="2202"/>
      <c r="AC153" s="2202"/>
    </row>
    <row r="154" spans="1:29" s="2105" customFormat="1" ht="45">
      <c r="A154" s="2202"/>
      <c r="B154" s="2209" t="s">
        <v>1443</v>
      </c>
      <c r="C154" s="2204" t="s">
        <v>1972</v>
      </c>
      <c r="D154" s="2213" t="s">
        <v>1443</v>
      </c>
      <c r="E154" s="2208" t="s">
        <v>343</v>
      </c>
      <c r="F154" s="2204" t="s">
        <v>1972</v>
      </c>
      <c r="G154" s="2212" t="s">
        <v>343</v>
      </c>
      <c r="H154" s="2205">
        <v>17</v>
      </c>
      <c r="I154" s="2204" t="s">
        <v>1972</v>
      </c>
      <c r="J154" s="2211">
        <v>17</v>
      </c>
      <c r="K154" s="2205">
        <v>43</v>
      </c>
      <c r="L154" s="2204" t="s">
        <v>1972</v>
      </c>
      <c r="M154" s="2210">
        <v>43</v>
      </c>
      <c r="N154" s="2202"/>
      <c r="O154" s="2209" t="s">
        <v>1443</v>
      </c>
      <c r="P154" s="2204" t="s">
        <v>1972</v>
      </c>
      <c r="Q154" s="2206" t="s">
        <v>1443</v>
      </c>
      <c r="R154" s="2208" t="s">
        <v>343</v>
      </c>
      <c r="S154" s="2204" t="s">
        <v>1972</v>
      </c>
      <c r="T154" s="2207" t="s">
        <v>343</v>
      </c>
      <c r="U154" s="2205">
        <v>17</v>
      </c>
      <c r="V154" s="2204" t="s">
        <v>1972</v>
      </c>
      <c r="W154" s="2206">
        <v>17</v>
      </c>
      <c r="X154" s="2205">
        <v>43</v>
      </c>
      <c r="Y154" s="2204" t="s">
        <v>1972</v>
      </c>
      <c r="Z154" s="2203">
        <v>43</v>
      </c>
      <c r="AA154" s="2202"/>
      <c r="AB154" s="2202"/>
      <c r="AC154" s="2202"/>
    </row>
    <row r="155" spans="1:29" s="2105" customFormat="1" ht="45">
      <c r="A155" s="2202"/>
      <c r="B155" s="2209" t="s">
        <v>1291</v>
      </c>
      <c r="C155" s="2204" t="s">
        <v>1972</v>
      </c>
      <c r="D155" s="2213" t="s">
        <v>1291</v>
      </c>
      <c r="E155" s="2208" t="s">
        <v>2005</v>
      </c>
      <c r="F155" s="2204" t="s">
        <v>1972</v>
      </c>
      <c r="G155" s="2212" t="s">
        <v>2005</v>
      </c>
      <c r="H155" s="2205">
        <v>18</v>
      </c>
      <c r="I155" s="2204" t="s">
        <v>1972</v>
      </c>
      <c r="J155" s="2211">
        <v>18</v>
      </c>
      <c r="K155" s="2205">
        <v>44</v>
      </c>
      <c r="L155" s="2204" t="s">
        <v>1972</v>
      </c>
      <c r="M155" s="2210">
        <v>44</v>
      </c>
      <c r="N155" s="2202"/>
      <c r="O155" s="2209" t="s">
        <v>1291</v>
      </c>
      <c r="P155" s="2204" t="s">
        <v>1972</v>
      </c>
      <c r="Q155" s="2206" t="s">
        <v>1291</v>
      </c>
      <c r="R155" s="2208" t="s">
        <v>2005</v>
      </c>
      <c r="S155" s="2204" t="s">
        <v>1972</v>
      </c>
      <c r="T155" s="2207" t="s">
        <v>2005</v>
      </c>
      <c r="U155" s="2205">
        <v>18</v>
      </c>
      <c r="V155" s="2204" t="s">
        <v>1972</v>
      </c>
      <c r="W155" s="2206">
        <v>18</v>
      </c>
      <c r="X155" s="2205">
        <v>44</v>
      </c>
      <c r="Y155" s="2204" t="s">
        <v>1972</v>
      </c>
      <c r="Z155" s="2203">
        <v>44</v>
      </c>
      <c r="AA155" s="2202"/>
      <c r="AB155" s="2202"/>
      <c r="AC155" s="2202"/>
    </row>
    <row r="156" spans="1:29" s="2105" customFormat="1" ht="45">
      <c r="A156" s="2202"/>
      <c r="B156" s="2209" t="s">
        <v>31</v>
      </c>
      <c r="C156" s="2204" t="s">
        <v>1972</v>
      </c>
      <c r="D156" s="2213" t="s">
        <v>31</v>
      </c>
      <c r="E156" s="2208" t="s">
        <v>2004</v>
      </c>
      <c r="F156" s="2204" t="s">
        <v>1972</v>
      </c>
      <c r="G156" s="2212" t="s">
        <v>2004</v>
      </c>
      <c r="H156" s="2205">
        <v>19</v>
      </c>
      <c r="I156" s="2204" t="s">
        <v>1972</v>
      </c>
      <c r="J156" s="2211">
        <v>19</v>
      </c>
      <c r="K156" s="2205">
        <v>45</v>
      </c>
      <c r="L156" s="2204" t="s">
        <v>1972</v>
      </c>
      <c r="M156" s="2210">
        <v>45</v>
      </c>
      <c r="N156" s="2202"/>
      <c r="O156" s="2209" t="s">
        <v>31</v>
      </c>
      <c r="P156" s="2204" t="s">
        <v>1972</v>
      </c>
      <c r="Q156" s="2206" t="s">
        <v>31</v>
      </c>
      <c r="R156" s="2208" t="s">
        <v>2004</v>
      </c>
      <c r="S156" s="2204" t="s">
        <v>1972</v>
      </c>
      <c r="T156" s="2207" t="s">
        <v>2004</v>
      </c>
      <c r="U156" s="2205">
        <v>19</v>
      </c>
      <c r="V156" s="2204" t="s">
        <v>1972</v>
      </c>
      <c r="W156" s="2206">
        <v>19</v>
      </c>
      <c r="X156" s="2205">
        <v>45</v>
      </c>
      <c r="Y156" s="2204" t="s">
        <v>1972</v>
      </c>
      <c r="Z156" s="2203">
        <v>45</v>
      </c>
      <c r="AA156" s="2202"/>
      <c r="AB156" s="2202"/>
      <c r="AC156" s="2202"/>
    </row>
    <row r="157" spans="1:29" s="2105" customFormat="1" ht="45">
      <c r="A157" s="2202"/>
      <c r="B157" s="2209" t="s">
        <v>1213</v>
      </c>
      <c r="C157" s="2204" t="s">
        <v>1972</v>
      </c>
      <c r="D157" s="2213" t="s">
        <v>1213</v>
      </c>
      <c r="E157" s="2208" t="s">
        <v>357</v>
      </c>
      <c r="F157" s="2204" t="s">
        <v>1972</v>
      </c>
      <c r="G157" s="2212" t="s">
        <v>357</v>
      </c>
      <c r="H157" s="2205">
        <v>20</v>
      </c>
      <c r="I157" s="2204" t="s">
        <v>1972</v>
      </c>
      <c r="J157" s="2211">
        <v>20</v>
      </c>
      <c r="K157" s="2205">
        <v>46</v>
      </c>
      <c r="L157" s="2204" t="s">
        <v>1972</v>
      </c>
      <c r="M157" s="2210">
        <v>46</v>
      </c>
      <c r="N157" s="2202"/>
      <c r="O157" s="2209" t="s">
        <v>1213</v>
      </c>
      <c r="P157" s="2204" t="s">
        <v>1972</v>
      </c>
      <c r="Q157" s="2206" t="s">
        <v>1213</v>
      </c>
      <c r="R157" s="2208" t="s">
        <v>357</v>
      </c>
      <c r="S157" s="2204" t="s">
        <v>1972</v>
      </c>
      <c r="T157" s="2207" t="s">
        <v>357</v>
      </c>
      <c r="U157" s="2205">
        <v>20</v>
      </c>
      <c r="V157" s="2204" t="s">
        <v>1972</v>
      </c>
      <c r="W157" s="2206">
        <v>20</v>
      </c>
      <c r="X157" s="2205">
        <v>46</v>
      </c>
      <c r="Y157" s="2204" t="s">
        <v>1972</v>
      </c>
      <c r="Z157" s="2203">
        <v>46</v>
      </c>
      <c r="AA157" s="2202"/>
      <c r="AB157" s="2202"/>
      <c r="AC157" s="2202"/>
    </row>
    <row r="158" spans="1:29" s="2105" customFormat="1" ht="45">
      <c r="A158" s="2202"/>
      <c r="B158" s="2209" t="s">
        <v>792</v>
      </c>
      <c r="C158" s="2204" t="s">
        <v>1972</v>
      </c>
      <c r="D158" s="2213" t="s">
        <v>792</v>
      </c>
      <c r="E158" s="2208" t="s">
        <v>356</v>
      </c>
      <c r="F158" s="2204" t="s">
        <v>1972</v>
      </c>
      <c r="G158" s="2212" t="s">
        <v>356</v>
      </c>
      <c r="H158" s="2205">
        <v>21</v>
      </c>
      <c r="I158" s="2204" t="s">
        <v>1972</v>
      </c>
      <c r="J158" s="2211">
        <v>21</v>
      </c>
      <c r="K158" s="2205">
        <v>47</v>
      </c>
      <c r="L158" s="2204" t="s">
        <v>1972</v>
      </c>
      <c r="M158" s="2210">
        <v>47</v>
      </c>
      <c r="N158" s="2202"/>
      <c r="O158" s="2209" t="s">
        <v>792</v>
      </c>
      <c r="P158" s="2204" t="s">
        <v>1972</v>
      </c>
      <c r="Q158" s="2206" t="s">
        <v>792</v>
      </c>
      <c r="R158" s="2208" t="s">
        <v>356</v>
      </c>
      <c r="S158" s="2204" t="s">
        <v>1972</v>
      </c>
      <c r="T158" s="2207" t="s">
        <v>356</v>
      </c>
      <c r="U158" s="2205">
        <v>21</v>
      </c>
      <c r="V158" s="2204" t="s">
        <v>1972</v>
      </c>
      <c r="W158" s="2206">
        <v>21</v>
      </c>
      <c r="X158" s="2205">
        <v>47</v>
      </c>
      <c r="Y158" s="2204" t="s">
        <v>1972</v>
      </c>
      <c r="Z158" s="2203">
        <v>47</v>
      </c>
      <c r="AA158" s="2202"/>
      <c r="AB158" s="2202"/>
      <c r="AC158" s="2202"/>
    </row>
    <row r="159" spans="1:29" s="2105" customFormat="1" ht="45">
      <c r="A159" s="2202"/>
      <c r="B159" s="2209" t="s">
        <v>1175</v>
      </c>
      <c r="C159" s="2204" t="s">
        <v>1972</v>
      </c>
      <c r="D159" s="2213" t="s">
        <v>1175</v>
      </c>
      <c r="E159" s="2208" t="s">
        <v>2003</v>
      </c>
      <c r="F159" s="2204" t="s">
        <v>1972</v>
      </c>
      <c r="G159" s="2212" t="s">
        <v>2003</v>
      </c>
      <c r="H159" s="2205">
        <v>22</v>
      </c>
      <c r="I159" s="2204" t="s">
        <v>1972</v>
      </c>
      <c r="J159" s="2211">
        <v>22</v>
      </c>
      <c r="K159" s="2205">
        <v>48</v>
      </c>
      <c r="L159" s="2204" t="s">
        <v>1972</v>
      </c>
      <c r="M159" s="2210">
        <v>48</v>
      </c>
      <c r="N159" s="2202"/>
      <c r="O159" s="2209" t="s">
        <v>1175</v>
      </c>
      <c r="P159" s="2204" t="s">
        <v>1972</v>
      </c>
      <c r="Q159" s="2206" t="s">
        <v>1175</v>
      </c>
      <c r="R159" s="2208" t="s">
        <v>2003</v>
      </c>
      <c r="S159" s="2204" t="s">
        <v>1972</v>
      </c>
      <c r="T159" s="2207" t="s">
        <v>2003</v>
      </c>
      <c r="U159" s="2205">
        <v>22</v>
      </c>
      <c r="V159" s="2204" t="s">
        <v>1972</v>
      </c>
      <c r="W159" s="2206">
        <v>22</v>
      </c>
      <c r="X159" s="2205">
        <v>48</v>
      </c>
      <c r="Y159" s="2204" t="s">
        <v>1972</v>
      </c>
      <c r="Z159" s="2203">
        <v>48</v>
      </c>
      <c r="AA159" s="2202"/>
      <c r="AB159" s="2202"/>
      <c r="AC159" s="2202"/>
    </row>
    <row r="160" spans="1:29" s="2105" customFormat="1" ht="45">
      <c r="A160" s="2202"/>
      <c r="B160" s="2209" t="s">
        <v>2002</v>
      </c>
      <c r="C160" s="2204" t="s">
        <v>1972</v>
      </c>
      <c r="D160" s="2213" t="s">
        <v>2002</v>
      </c>
      <c r="E160" s="2208" t="s">
        <v>2001</v>
      </c>
      <c r="F160" s="2204" t="s">
        <v>1972</v>
      </c>
      <c r="G160" s="2212" t="s">
        <v>2001</v>
      </c>
      <c r="H160" s="2205">
        <v>23</v>
      </c>
      <c r="I160" s="2204" t="s">
        <v>1972</v>
      </c>
      <c r="J160" s="2211">
        <v>23</v>
      </c>
      <c r="K160" s="2205">
        <v>49</v>
      </c>
      <c r="L160" s="2204" t="s">
        <v>1972</v>
      </c>
      <c r="M160" s="2210">
        <v>49</v>
      </c>
      <c r="N160" s="2202"/>
      <c r="O160" s="2209" t="s">
        <v>2002</v>
      </c>
      <c r="P160" s="2204" t="s">
        <v>1972</v>
      </c>
      <c r="Q160" s="2206" t="s">
        <v>2002</v>
      </c>
      <c r="R160" s="2208" t="s">
        <v>2001</v>
      </c>
      <c r="S160" s="2204" t="s">
        <v>1972</v>
      </c>
      <c r="T160" s="2207" t="s">
        <v>2001</v>
      </c>
      <c r="U160" s="2205">
        <v>23</v>
      </c>
      <c r="V160" s="2204" t="s">
        <v>1972</v>
      </c>
      <c r="W160" s="2206">
        <v>23</v>
      </c>
      <c r="X160" s="2205">
        <v>49</v>
      </c>
      <c r="Y160" s="2204" t="s">
        <v>1972</v>
      </c>
      <c r="Z160" s="2203">
        <v>49</v>
      </c>
      <c r="AA160" s="2202"/>
      <c r="AB160" s="2202"/>
      <c r="AC160" s="2202"/>
    </row>
    <row r="161" spans="1:29" s="2105" customFormat="1" ht="45">
      <c r="A161" s="2202"/>
      <c r="B161" s="2209" t="s">
        <v>358</v>
      </c>
      <c r="C161" s="2204" t="s">
        <v>1972</v>
      </c>
      <c r="D161" s="2213" t="s">
        <v>358</v>
      </c>
      <c r="E161" s="2208" t="s">
        <v>2000</v>
      </c>
      <c r="F161" s="2204" t="s">
        <v>1972</v>
      </c>
      <c r="G161" s="2212" t="s">
        <v>2000</v>
      </c>
      <c r="H161" s="2205">
        <v>24</v>
      </c>
      <c r="I161" s="2204" t="s">
        <v>1972</v>
      </c>
      <c r="J161" s="2211">
        <v>24</v>
      </c>
      <c r="K161" s="2205">
        <v>50</v>
      </c>
      <c r="L161" s="2204" t="s">
        <v>1972</v>
      </c>
      <c r="M161" s="2210">
        <v>50</v>
      </c>
      <c r="N161" s="2202"/>
      <c r="O161" s="2209" t="s">
        <v>358</v>
      </c>
      <c r="P161" s="2204" t="s">
        <v>1972</v>
      </c>
      <c r="Q161" s="2206" t="s">
        <v>358</v>
      </c>
      <c r="R161" s="2208" t="s">
        <v>2000</v>
      </c>
      <c r="S161" s="2204" t="s">
        <v>1972</v>
      </c>
      <c r="T161" s="2207" t="s">
        <v>2000</v>
      </c>
      <c r="U161" s="2205">
        <v>24</v>
      </c>
      <c r="V161" s="2204" t="s">
        <v>1972</v>
      </c>
      <c r="W161" s="2206">
        <v>24</v>
      </c>
      <c r="X161" s="2205">
        <v>50</v>
      </c>
      <c r="Y161" s="2204" t="s">
        <v>1972</v>
      </c>
      <c r="Z161" s="2203">
        <v>50</v>
      </c>
      <c r="AA161" s="2202"/>
      <c r="AB161" s="2202"/>
      <c r="AC161" s="2202"/>
    </row>
    <row r="162" spans="1:29" s="2105" customFormat="1" ht="45">
      <c r="A162" s="2202"/>
      <c r="B162" s="2209" t="s">
        <v>1999</v>
      </c>
      <c r="C162" s="2204" t="s">
        <v>1972</v>
      </c>
      <c r="D162" s="2213" t="s">
        <v>1999</v>
      </c>
      <c r="E162" s="2208" t="s">
        <v>1998</v>
      </c>
      <c r="F162" s="2204" t="s">
        <v>1972</v>
      </c>
      <c r="G162" s="2212" t="s">
        <v>1998</v>
      </c>
      <c r="H162" s="2205">
        <v>25</v>
      </c>
      <c r="I162" s="2204" t="s">
        <v>1972</v>
      </c>
      <c r="J162" s="2211">
        <v>25</v>
      </c>
      <c r="K162" s="2205">
        <v>51</v>
      </c>
      <c r="L162" s="2204" t="s">
        <v>1972</v>
      </c>
      <c r="M162" s="2210">
        <v>51</v>
      </c>
      <c r="N162" s="2202"/>
      <c r="O162" s="2209" t="s">
        <v>1999</v>
      </c>
      <c r="P162" s="2204" t="s">
        <v>1972</v>
      </c>
      <c r="Q162" s="2206" t="s">
        <v>1999</v>
      </c>
      <c r="R162" s="2208" t="s">
        <v>1998</v>
      </c>
      <c r="S162" s="2204" t="s">
        <v>1972</v>
      </c>
      <c r="T162" s="2207" t="s">
        <v>1998</v>
      </c>
      <c r="U162" s="2205">
        <v>25</v>
      </c>
      <c r="V162" s="2204" t="s">
        <v>1972</v>
      </c>
      <c r="W162" s="2206">
        <v>25</v>
      </c>
      <c r="X162" s="2205">
        <v>51</v>
      </c>
      <c r="Y162" s="2204" t="s">
        <v>1972</v>
      </c>
      <c r="Z162" s="2203">
        <v>51</v>
      </c>
      <c r="AA162" s="2202"/>
      <c r="AB162" s="2202"/>
      <c r="AC162" s="2202"/>
    </row>
    <row r="163" spans="1:29" s="2105" customFormat="1" ht="45">
      <c r="A163" s="2202"/>
      <c r="B163" s="2209" t="s">
        <v>344</v>
      </c>
      <c r="C163" s="2204" t="s">
        <v>1972</v>
      </c>
      <c r="D163" s="2213" t="s">
        <v>344</v>
      </c>
      <c r="E163" s="2208" t="s">
        <v>1997</v>
      </c>
      <c r="F163" s="2204" t="s">
        <v>1972</v>
      </c>
      <c r="G163" s="2212" t="s">
        <v>1997</v>
      </c>
      <c r="H163" s="2205">
        <v>26</v>
      </c>
      <c r="I163" s="2204" t="s">
        <v>1972</v>
      </c>
      <c r="J163" s="2211">
        <v>26</v>
      </c>
      <c r="K163" s="2205">
        <v>52</v>
      </c>
      <c r="L163" s="2204" t="s">
        <v>1972</v>
      </c>
      <c r="M163" s="2210">
        <v>52</v>
      </c>
      <c r="N163" s="2202"/>
      <c r="O163" s="2209" t="s">
        <v>344</v>
      </c>
      <c r="P163" s="2204" t="s">
        <v>1972</v>
      </c>
      <c r="Q163" s="2206" t="s">
        <v>344</v>
      </c>
      <c r="R163" s="2208" t="s">
        <v>1997</v>
      </c>
      <c r="S163" s="2204" t="s">
        <v>1972</v>
      </c>
      <c r="T163" s="2207" t="s">
        <v>1997</v>
      </c>
      <c r="U163" s="2205">
        <v>26</v>
      </c>
      <c r="V163" s="2204" t="s">
        <v>1972</v>
      </c>
      <c r="W163" s="2206">
        <v>26</v>
      </c>
      <c r="X163" s="2205">
        <v>52</v>
      </c>
      <c r="Y163" s="2204" t="s">
        <v>1972</v>
      </c>
      <c r="Z163" s="2203">
        <v>52</v>
      </c>
      <c r="AA163" s="2202"/>
      <c r="AB163" s="2202"/>
      <c r="AC163" s="2202"/>
    </row>
    <row r="164" spans="1:29" s="2105" customFormat="1" ht="45">
      <c r="A164" s="2202"/>
      <c r="B164" s="2209" t="s">
        <v>376</v>
      </c>
      <c r="C164" s="2204" t="s">
        <v>1972</v>
      </c>
      <c r="D164" s="2213" t="s">
        <v>376</v>
      </c>
      <c r="E164" s="2208" t="s">
        <v>377</v>
      </c>
      <c r="F164" s="2204" t="s">
        <v>1972</v>
      </c>
      <c r="G164" s="2212" t="s">
        <v>377</v>
      </c>
      <c r="H164" s="2205" t="s">
        <v>1996</v>
      </c>
      <c r="I164" s="2204" t="s">
        <v>1972</v>
      </c>
      <c r="J164" s="2211" t="s">
        <v>1996</v>
      </c>
      <c r="K164" s="2205" t="s">
        <v>1995</v>
      </c>
      <c r="L164" s="2204" t="s">
        <v>1972</v>
      </c>
      <c r="M164" s="2210" t="s">
        <v>1995</v>
      </c>
      <c r="N164" s="2202"/>
      <c r="O164" s="2209" t="s">
        <v>376</v>
      </c>
      <c r="P164" s="2204" t="s">
        <v>1972</v>
      </c>
      <c r="Q164" s="2206" t="s">
        <v>376</v>
      </c>
      <c r="R164" s="2208" t="s">
        <v>377</v>
      </c>
      <c r="S164" s="2204" t="s">
        <v>1972</v>
      </c>
      <c r="T164" s="2207" t="s">
        <v>377</v>
      </c>
      <c r="U164" s="2205" t="s">
        <v>1996</v>
      </c>
      <c r="V164" s="2204" t="s">
        <v>1972</v>
      </c>
      <c r="W164" s="2206" t="s">
        <v>1996</v>
      </c>
      <c r="X164" s="2205" t="s">
        <v>1995</v>
      </c>
      <c r="Y164" s="2204" t="s">
        <v>1972</v>
      </c>
      <c r="Z164" s="2203" t="s">
        <v>1995</v>
      </c>
      <c r="AA164" s="2202"/>
      <c r="AB164" s="2202"/>
      <c r="AC164" s="2202"/>
    </row>
    <row r="165" spans="1:29" s="2105" customFormat="1" ht="45">
      <c r="A165" s="2202"/>
      <c r="B165" s="2209" t="s">
        <v>1994</v>
      </c>
      <c r="C165" s="2204" t="s">
        <v>1972</v>
      </c>
      <c r="D165" s="2213" t="s">
        <v>1994</v>
      </c>
      <c r="E165" s="2208" t="s">
        <v>379</v>
      </c>
      <c r="F165" s="2204" t="s">
        <v>1972</v>
      </c>
      <c r="G165" s="2212" t="s">
        <v>379</v>
      </c>
      <c r="H165" s="2205" t="s">
        <v>375</v>
      </c>
      <c r="I165" s="2204" t="s">
        <v>1972</v>
      </c>
      <c r="J165" s="2211" t="s">
        <v>375</v>
      </c>
      <c r="K165" s="2205" t="s">
        <v>1993</v>
      </c>
      <c r="L165" s="2204" t="s">
        <v>1972</v>
      </c>
      <c r="M165" s="2210" t="s">
        <v>1993</v>
      </c>
      <c r="N165" s="2202"/>
      <c r="O165" s="2209" t="s">
        <v>1994</v>
      </c>
      <c r="P165" s="2204" t="s">
        <v>1972</v>
      </c>
      <c r="Q165" s="2206" t="s">
        <v>1994</v>
      </c>
      <c r="R165" s="2208" t="s">
        <v>379</v>
      </c>
      <c r="S165" s="2204" t="s">
        <v>1972</v>
      </c>
      <c r="T165" s="2207" t="s">
        <v>379</v>
      </c>
      <c r="U165" s="2205" t="s">
        <v>375</v>
      </c>
      <c r="V165" s="2204" t="s">
        <v>1972</v>
      </c>
      <c r="W165" s="2206" t="s">
        <v>375</v>
      </c>
      <c r="X165" s="2205" t="s">
        <v>1993</v>
      </c>
      <c r="Y165" s="2204" t="s">
        <v>1972</v>
      </c>
      <c r="Z165" s="2203" t="s">
        <v>1993</v>
      </c>
      <c r="AA165" s="2202"/>
      <c r="AB165" s="2202"/>
      <c r="AC165" s="2202"/>
    </row>
    <row r="166" spans="1:29" s="2105" customFormat="1" ht="45">
      <c r="A166" s="2202"/>
      <c r="B166" s="2209" t="s">
        <v>1992</v>
      </c>
      <c r="C166" s="2204" t="s">
        <v>1972</v>
      </c>
      <c r="D166" s="2213" t="s">
        <v>1992</v>
      </c>
      <c r="E166" s="2208" t="s">
        <v>1991</v>
      </c>
      <c r="F166" s="2204" t="s">
        <v>1972</v>
      </c>
      <c r="G166" s="2212" t="s">
        <v>1991</v>
      </c>
      <c r="H166" s="2205" t="s">
        <v>381</v>
      </c>
      <c r="I166" s="2204" t="s">
        <v>1972</v>
      </c>
      <c r="J166" s="2211" t="s">
        <v>381</v>
      </c>
      <c r="K166" s="2205" t="s">
        <v>1990</v>
      </c>
      <c r="L166" s="2204" t="s">
        <v>1972</v>
      </c>
      <c r="M166" s="2210" t="s">
        <v>1990</v>
      </c>
      <c r="N166" s="2202"/>
      <c r="O166" s="2209" t="s">
        <v>1992</v>
      </c>
      <c r="P166" s="2204" t="s">
        <v>1972</v>
      </c>
      <c r="Q166" s="2206" t="s">
        <v>1992</v>
      </c>
      <c r="R166" s="2208" t="s">
        <v>1991</v>
      </c>
      <c r="S166" s="2204" t="s">
        <v>1972</v>
      </c>
      <c r="T166" s="2207" t="s">
        <v>1991</v>
      </c>
      <c r="U166" s="2205" t="s">
        <v>381</v>
      </c>
      <c r="V166" s="2204" t="s">
        <v>1972</v>
      </c>
      <c r="W166" s="2206" t="s">
        <v>381</v>
      </c>
      <c r="X166" s="2205" t="s">
        <v>1990</v>
      </c>
      <c r="Y166" s="2204" t="s">
        <v>1972</v>
      </c>
      <c r="Z166" s="2203" t="s">
        <v>1990</v>
      </c>
      <c r="AA166" s="2202"/>
      <c r="AB166" s="2202"/>
      <c r="AC166" s="2202"/>
    </row>
    <row r="167" spans="1:29" s="2105" customFormat="1" ht="45">
      <c r="A167" s="2202"/>
      <c r="B167" s="2209" t="s">
        <v>1989</v>
      </c>
      <c r="C167" s="2204" t="s">
        <v>1972</v>
      </c>
      <c r="D167" s="2213" t="s">
        <v>1989</v>
      </c>
      <c r="E167" s="2208" t="s">
        <v>1988</v>
      </c>
      <c r="F167" s="2204" t="s">
        <v>1972</v>
      </c>
      <c r="G167" s="2212" t="s">
        <v>1988</v>
      </c>
      <c r="H167" s="2205" t="s">
        <v>0</v>
      </c>
      <c r="I167" s="2204" t="s">
        <v>1972</v>
      </c>
      <c r="J167" s="2211" t="s">
        <v>0</v>
      </c>
      <c r="K167" s="2205" t="s">
        <v>1987</v>
      </c>
      <c r="L167" s="2204" t="s">
        <v>1972</v>
      </c>
      <c r="M167" s="2210" t="s">
        <v>1987</v>
      </c>
      <c r="N167" s="2202"/>
      <c r="O167" s="2209" t="s">
        <v>1989</v>
      </c>
      <c r="P167" s="2204" t="s">
        <v>1972</v>
      </c>
      <c r="Q167" s="2206" t="s">
        <v>1989</v>
      </c>
      <c r="R167" s="2208" t="s">
        <v>1988</v>
      </c>
      <c r="S167" s="2204" t="s">
        <v>1972</v>
      </c>
      <c r="T167" s="2207" t="s">
        <v>1988</v>
      </c>
      <c r="U167" s="2205" t="s">
        <v>0</v>
      </c>
      <c r="V167" s="2204" t="s">
        <v>1972</v>
      </c>
      <c r="W167" s="2206" t="s">
        <v>0</v>
      </c>
      <c r="X167" s="2205" t="s">
        <v>1987</v>
      </c>
      <c r="Y167" s="2204" t="s">
        <v>1972</v>
      </c>
      <c r="Z167" s="2203" t="s">
        <v>1987</v>
      </c>
      <c r="AA167" s="2202"/>
      <c r="AB167" s="2202"/>
      <c r="AC167" s="2202"/>
    </row>
    <row r="168" spans="1:29" s="2105" customFormat="1" ht="45">
      <c r="A168" s="2202"/>
      <c r="B168" s="2209" t="s">
        <v>1986</v>
      </c>
      <c r="C168" s="2204" t="s">
        <v>1972</v>
      </c>
      <c r="D168" s="2213" t="s">
        <v>1986</v>
      </c>
      <c r="E168" s="2208" t="s">
        <v>1985</v>
      </c>
      <c r="F168" s="2204" t="s">
        <v>1972</v>
      </c>
      <c r="G168" s="2212" t="s">
        <v>1985</v>
      </c>
      <c r="H168" s="2205" t="s">
        <v>29</v>
      </c>
      <c r="I168" s="2204" t="s">
        <v>1972</v>
      </c>
      <c r="J168" s="2211" t="s">
        <v>29</v>
      </c>
      <c r="K168" s="2205" t="s">
        <v>1984</v>
      </c>
      <c r="L168" s="2204" t="s">
        <v>1972</v>
      </c>
      <c r="M168" s="2210" t="s">
        <v>1984</v>
      </c>
      <c r="N168" s="2202"/>
      <c r="O168" s="2209" t="s">
        <v>1986</v>
      </c>
      <c r="P168" s="2204" t="s">
        <v>1972</v>
      </c>
      <c r="Q168" s="2206" t="s">
        <v>1986</v>
      </c>
      <c r="R168" s="2208" t="s">
        <v>1985</v>
      </c>
      <c r="S168" s="2204" t="s">
        <v>1972</v>
      </c>
      <c r="T168" s="2207" t="s">
        <v>1985</v>
      </c>
      <c r="U168" s="2205" t="s">
        <v>29</v>
      </c>
      <c r="V168" s="2204" t="s">
        <v>1972</v>
      </c>
      <c r="W168" s="2206" t="s">
        <v>29</v>
      </c>
      <c r="X168" s="2205" t="s">
        <v>1984</v>
      </c>
      <c r="Y168" s="2204" t="s">
        <v>1972</v>
      </c>
      <c r="Z168" s="2203" t="s">
        <v>1984</v>
      </c>
      <c r="AA168" s="2202"/>
      <c r="AB168" s="2202"/>
      <c r="AC168" s="2202"/>
    </row>
    <row r="169" spans="1:29" s="2105" customFormat="1" ht="45">
      <c r="A169" s="2202"/>
      <c r="B169" s="2209" t="s">
        <v>33</v>
      </c>
      <c r="C169" s="2204" t="s">
        <v>1972</v>
      </c>
      <c r="D169" s="2213" t="s">
        <v>33</v>
      </c>
      <c r="E169" s="2208" t="s">
        <v>1983</v>
      </c>
      <c r="F169" s="2204" t="s">
        <v>1972</v>
      </c>
      <c r="G169" s="2212" t="s">
        <v>1983</v>
      </c>
      <c r="H169" s="2205" t="s">
        <v>1982</v>
      </c>
      <c r="I169" s="2204" t="s">
        <v>1972</v>
      </c>
      <c r="J169" s="2211" t="s">
        <v>1982</v>
      </c>
      <c r="K169" s="2205" t="s">
        <v>380</v>
      </c>
      <c r="L169" s="2204" t="s">
        <v>1972</v>
      </c>
      <c r="M169" s="2210" t="s">
        <v>380</v>
      </c>
      <c r="N169" s="2202"/>
      <c r="O169" s="2209" t="s">
        <v>33</v>
      </c>
      <c r="P169" s="2204" t="s">
        <v>1972</v>
      </c>
      <c r="Q169" s="2206" t="s">
        <v>33</v>
      </c>
      <c r="R169" s="2208" t="s">
        <v>1983</v>
      </c>
      <c r="S169" s="2204" t="s">
        <v>1972</v>
      </c>
      <c r="T169" s="2207" t="s">
        <v>1983</v>
      </c>
      <c r="U169" s="2205" t="s">
        <v>1982</v>
      </c>
      <c r="V169" s="2204" t="s">
        <v>1972</v>
      </c>
      <c r="W169" s="2206" t="s">
        <v>1982</v>
      </c>
      <c r="X169" s="2205" t="s">
        <v>380</v>
      </c>
      <c r="Y169" s="2204" t="s">
        <v>1972</v>
      </c>
      <c r="Z169" s="2203" t="s">
        <v>380</v>
      </c>
      <c r="AA169" s="2202"/>
      <c r="AB169" s="2202"/>
      <c r="AC169" s="2202"/>
    </row>
    <row r="170" spans="1:29" s="2105" customFormat="1" ht="45">
      <c r="A170" s="2202"/>
      <c r="B170" s="2209" t="s">
        <v>1981</v>
      </c>
      <c r="C170" s="2204" t="s">
        <v>1972</v>
      </c>
      <c r="D170" s="2213" t="s">
        <v>1981</v>
      </c>
      <c r="E170" s="2208" t="s">
        <v>1980</v>
      </c>
      <c r="F170" s="2204" t="s">
        <v>1972</v>
      </c>
      <c r="G170" s="2212" t="s">
        <v>1980</v>
      </c>
      <c r="H170" s="2205" t="s">
        <v>1979</v>
      </c>
      <c r="I170" s="2204" t="s">
        <v>1972</v>
      </c>
      <c r="J170" s="2211" t="s">
        <v>1979</v>
      </c>
      <c r="K170" s="2205" t="s">
        <v>1978</v>
      </c>
      <c r="L170" s="2204" t="s">
        <v>1972</v>
      </c>
      <c r="M170" s="2210" t="s">
        <v>1978</v>
      </c>
      <c r="N170" s="2202"/>
      <c r="O170" s="2209" t="s">
        <v>1981</v>
      </c>
      <c r="P170" s="2204" t="s">
        <v>1972</v>
      </c>
      <c r="Q170" s="2206" t="s">
        <v>1981</v>
      </c>
      <c r="R170" s="2208" t="s">
        <v>1980</v>
      </c>
      <c r="S170" s="2204" t="s">
        <v>1972</v>
      </c>
      <c r="T170" s="2207" t="s">
        <v>1980</v>
      </c>
      <c r="U170" s="2205" t="s">
        <v>1979</v>
      </c>
      <c r="V170" s="2204" t="s">
        <v>1972</v>
      </c>
      <c r="W170" s="2206" t="s">
        <v>1979</v>
      </c>
      <c r="X170" s="2205" t="s">
        <v>1978</v>
      </c>
      <c r="Y170" s="2204" t="s">
        <v>1972</v>
      </c>
      <c r="Z170" s="2203" t="s">
        <v>1978</v>
      </c>
      <c r="AA170" s="2202"/>
      <c r="AB170" s="2202"/>
      <c r="AC170" s="2202"/>
    </row>
    <row r="171" spans="1:29" s="2105" customFormat="1" ht="45">
      <c r="A171" s="2202"/>
      <c r="B171" s="2209" t="s">
        <v>1977</v>
      </c>
      <c r="C171" s="2204" t="s">
        <v>1972</v>
      </c>
      <c r="D171" s="2213" t="s">
        <v>1977</v>
      </c>
      <c r="E171" s="2208" t="s">
        <v>1976</v>
      </c>
      <c r="F171" s="2204" t="s">
        <v>1972</v>
      </c>
      <c r="G171" s="2212" t="s">
        <v>1976</v>
      </c>
      <c r="H171" s="2205" t="s">
        <v>1975</v>
      </c>
      <c r="I171" s="2204" t="s">
        <v>1972</v>
      </c>
      <c r="J171" s="2211" t="s">
        <v>1975</v>
      </c>
      <c r="K171" s="2205" t="s">
        <v>1074</v>
      </c>
      <c r="L171" s="2204" t="s">
        <v>1972</v>
      </c>
      <c r="M171" s="2210" t="s">
        <v>1074</v>
      </c>
      <c r="N171" s="2202"/>
      <c r="O171" s="2209" t="s">
        <v>1977</v>
      </c>
      <c r="P171" s="2204" t="s">
        <v>1972</v>
      </c>
      <c r="Q171" s="2206" t="s">
        <v>1977</v>
      </c>
      <c r="R171" s="2208" t="s">
        <v>1976</v>
      </c>
      <c r="S171" s="2204" t="s">
        <v>1972</v>
      </c>
      <c r="T171" s="2207" t="s">
        <v>1976</v>
      </c>
      <c r="U171" s="2205" t="s">
        <v>1975</v>
      </c>
      <c r="V171" s="2204" t="s">
        <v>1972</v>
      </c>
      <c r="W171" s="2206" t="s">
        <v>1975</v>
      </c>
      <c r="X171" s="2205" t="s">
        <v>1074</v>
      </c>
      <c r="Y171" s="2204" t="s">
        <v>1972</v>
      </c>
      <c r="Z171" s="2203" t="s">
        <v>1074</v>
      </c>
      <c r="AA171" s="2202"/>
      <c r="AB171" s="2202"/>
      <c r="AC171" s="2202"/>
    </row>
    <row r="172" spans="1:29" s="2105" customFormat="1" ht="45">
      <c r="A172" s="2202"/>
      <c r="B172" s="2209"/>
      <c r="C172" s="2204" t="s">
        <v>1972</v>
      </c>
      <c r="D172" s="2213"/>
      <c r="E172" s="2208" t="s">
        <v>1974</v>
      </c>
      <c r="F172" s="2204" t="s">
        <v>1972</v>
      </c>
      <c r="G172" s="2212" t="s">
        <v>1974</v>
      </c>
      <c r="H172" s="2205" t="s">
        <v>1973</v>
      </c>
      <c r="I172" s="2204" t="s">
        <v>1972</v>
      </c>
      <c r="J172" s="2211" t="s">
        <v>1973</v>
      </c>
      <c r="K172" s="2205"/>
      <c r="L172" s="2204" t="s">
        <v>1972</v>
      </c>
      <c r="M172" s="2210"/>
      <c r="N172" s="2202"/>
      <c r="O172" s="2209"/>
      <c r="P172" s="2204" t="s">
        <v>1972</v>
      </c>
      <c r="Q172" s="2206"/>
      <c r="R172" s="2208" t="s">
        <v>1974</v>
      </c>
      <c r="S172" s="2204" t="s">
        <v>1972</v>
      </c>
      <c r="T172" s="2207" t="s">
        <v>1974</v>
      </c>
      <c r="U172" s="2205" t="s">
        <v>1973</v>
      </c>
      <c r="V172" s="2204" t="s">
        <v>1972</v>
      </c>
      <c r="W172" s="2206" t="s">
        <v>1973</v>
      </c>
      <c r="X172" s="2205"/>
      <c r="Y172" s="2204" t="s">
        <v>1972</v>
      </c>
      <c r="Z172" s="2203"/>
      <c r="AA172" s="2202"/>
      <c r="AB172" s="2202"/>
      <c r="AC172" s="2202"/>
    </row>
    <row r="173" spans="1:29" s="2105" customFormat="1" ht="15">
      <c r="A173" s="2195"/>
      <c r="B173" s="2201"/>
      <c r="C173" s="2200"/>
      <c r="D173" s="2200"/>
      <c r="E173" s="2200"/>
      <c r="F173" s="2200"/>
      <c r="G173" s="2200"/>
      <c r="H173" s="2200"/>
      <c r="I173" s="2200"/>
      <c r="J173" s="2200"/>
      <c r="K173" s="2200"/>
      <c r="L173" s="2200"/>
      <c r="M173" s="2199"/>
      <c r="N173" s="2195"/>
      <c r="O173" s="2198"/>
      <c r="P173" s="2197"/>
      <c r="Q173" s="2197"/>
      <c r="R173" s="2197"/>
      <c r="S173" s="2197"/>
      <c r="T173" s="2197"/>
      <c r="U173" s="2197"/>
      <c r="V173" s="2197"/>
      <c r="W173" s="2197"/>
      <c r="X173" s="2197"/>
      <c r="Y173" s="2197"/>
      <c r="Z173" s="2196"/>
      <c r="AA173" s="2195"/>
      <c r="AB173" s="2195"/>
      <c r="AC173" s="2195"/>
    </row>
    <row r="174" spans="1:29" s="2105" customFormat="1" ht="15">
      <c r="A174" s="987"/>
      <c r="B174" s="987"/>
      <c r="C174" s="987"/>
      <c r="D174" s="987"/>
      <c r="E174" s="987"/>
      <c r="F174" s="987"/>
      <c r="G174" s="987"/>
      <c r="H174" s="987"/>
      <c r="I174" s="987"/>
      <c r="J174" s="987"/>
      <c r="K174" s="987"/>
      <c r="L174" s="987"/>
      <c r="M174" s="987"/>
      <c r="N174" s="2195"/>
      <c r="O174" s="987"/>
      <c r="P174" s="987"/>
      <c r="Q174" s="987"/>
      <c r="R174" s="987"/>
      <c r="S174" s="987"/>
      <c r="T174" s="987"/>
      <c r="U174" s="987"/>
      <c r="V174" s="987"/>
      <c r="W174" s="987"/>
      <c r="X174" s="987"/>
      <c r="Y174" s="987"/>
      <c r="Z174" s="987"/>
      <c r="AA174" s="2194"/>
      <c r="AB174" s="987"/>
      <c r="AC174" s="987"/>
    </row>
  </sheetData>
  <mergeCells count="55">
    <mergeCell ref="BD44:BD45"/>
    <mergeCell ref="BD47:BD48"/>
    <mergeCell ref="BD50:BD51"/>
    <mergeCell ref="C11:D11"/>
    <mergeCell ref="F11:G11"/>
    <mergeCell ref="I11:J11"/>
    <mergeCell ref="L11:M11"/>
    <mergeCell ref="P11:Q11"/>
    <mergeCell ref="BD28:BD29"/>
    <mergeCell ref="BD31:BD32"/>
    <mergeCell ref="BD34:BD35"/>
    <mergeCell ref="BD37:BD38"/>
    <mergeCell ref="S11:T11"/>
    <mergeCell ref="BD40:BD41"/>
    <mergeCell ref="V11:W11"/>
    <mergeCell ref="Y11:Z11"/>
    <mergeCell ref="BD12:BD13"/>
    <mergeCell ref="BD15:BD16"/>
    <mergeCell ref="BD18:BD19"/>
    <mergeCell ref="BD21:BD22"/>
    <mergeCell ref="BD24:BD25"/>
    <mergeCell ref="C53:D53"/>
    <mergeCell ref="F53:G53"/>
    <mergeCell ref="I53:J53"/>
    <mergeCell ref="L53:M53"/>
    <mergeCell ref="P53:Q53"/>
    <mergeCell ref="S53:T53"/>
    <mergeCell ref="V53:W53"/>
    <mergeCell ref="BD56:BD57"/>
    <mergeCell ref="BD60:BD61"/>
    <mergeCell ref="AE63:AU64"/>
    <mergeCell ref="BD63:BD64"/>
    <mergeCell ref="Y53:Z53"/>
    <mergeCell ref="BD53:BD54"/>
    <mergeCell ref="AE66:AQ68"/>
    <mergeCell ref="BD66:BD67"/>
    <mergeCell ref="BD69:BD70"/>
    <mergeCell ref="AG70:AU70"/>
    <mergeCell ref="BD72:BD73"/>
    <mergeCell ref="Y137:Z137"/>
    <mergeCell ref="S95:T95"/>
    <mergeCell ref="V95:W95"/>
    <mergeCell ref="Y95:Z95"/>
    <mergeCell ref="S137:T137"/>
    <mergeCell ref="V137:W137"/>
    <mergeCell ref="C95:D95"/>
    <mergeCell ref="F95:G95"/>
    <mergeCell ref="I95:J95"/>
    <mergeCell ref="L95:M95"/>
    <mergeCell ref="P95:Q95"/>
    <mergeCell ref="C137:D137"/>
    <mergeCell ref="F137:G137"/>
    <mergeCell ref="I137:J137"/>
    <mergeCell ref="L137:M137"/>
    <mergeCell ref="P137:Q137"/>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3D70A1-AD34-4AD0-984C-B0B347DEFA4C}">
  <dimension ref="A1:AI339"/>
  <sheetViews>
    <sheetView zoomScaleNormal="100" workbookViewId="0">
      <selection activeCell="T18" sqref="T18"/>
    </sheetView>
  </sheetViews>
  <sheetFormatPr baseColWidth="10" defaultRowHeight="46.5"/>
  <cols>
    <col min="1" max="1" width="4.85546875" style="384" customWidth="1"/>
    <col min="2" max="2" width="6" style="2400" customWidth="1"/>
    <col min="3" max="3" width="16.140625" style="2401" customWidth="1"/>
    <col min="4" max="4" width="18.140625" style="2399" customWidth="1"/>
    <col min="5" max="5" width="6.140625" style="384" customWidth="1"/>
    <col min="6" max="6" width="4.85546875" style="384" customWidth="1"/>
    <col min="7" max="7" width="6" style="2400" customWidth="1"/>
    <col min="8" max="8" width="11.42578125" style="384"/>
    <col min="9" max="9" width="18.140625" style="2399" customWidth="1"/>
    <col min="10" max="10" width="6.140625" style="384" customWidth="1"/>
    <col min="11" max="11" width="4.85546875" style="384" customWidth="1"/>
    <col min="12" max="12" width="7.42578125" style="2400" customWidth="1"/>
    <col min="13" max="13" width="11.42578125" style="384"/>
    <col min="14" max="14" width="18.140625" style="2399" customWidth="1"/>
    <col min="15" max="15" width="6.140625" style="384" customWidth="1"/>
    <col min="16" max="16" width="8.5703125" style="384" customWidth="1"/>
    <col min="17" max="17" width="6" style="2400" customWidth="1"/>
    <col min="18" max="18" width="11.42578125" style="384"/>
    <col min="19" max="19" width="18.140625" style="2399" customWidth="1"/>
    <col min="20" max="20" width="11.42578125" style="384"/>
    <col min="21" max="21" width="8.42578125" style="384" customWidth="1"/>
    <col min="22" max="16384" width="11.42578125" style="384"/>
  </cols>
  <sheetData>
    <row r="1" spans="1:30" ht="44.25" customHeight="1">
      <c r="A1" s="4934" t="s">
        <v>5954</v>
      </c>
      <c r="B1" s="4934"/>
      <c r="C1" s="4934"/>
      <c r="D1" s="4934"/>
      <c r="E1" s="4934"/>
      <c r="F1" s="4934"/>
      <c r="G1" s="4934"/>
      <c r="H1" s="4934"/>
      <c r="I1" s="4934"/>
      <c r="J1" s="4934"/>
      <c r="K1" s="4934"/>
      <c r="L1" s="4934"/>
      <c r="M1" s="4934"/>
      <c r="N1" s="4934"/>
      <c r="O1" s="4934"/>
      <c r="P1" s="4934"/>
      <c r="Q1" s="4934"/>
      <c r="R1" s="4934"/>
      <c r="S1" s="4934"/>
      <c r="T1" s="4934"/>
      <c r="U1" s="4934"/>
      <c r="V1" s="2439" t="s">
        <v>1971</v>
      </c>
      <c r="W1" s="2438"/>
      <c r="X1" s="2438"/>
      <c r="Y1" s="2438"/>
      <c r="Z1" s="2438"/>
      <c r="AA1" s="2438"/>
      <c r="AB1" s="2437" t="str">
        <f ca="1">"Page "&amp;_xlfn.SHEET()&amp;" sur "&amp;_xlfn.SHEETS()</f>
        <v>Page 19 sur 22</v>
      </c>
      <c r="AC1" s="2436"/>
      <c r="AD1" s="2436"/>
    </row>
    <row r="2" spans="1:30" ht="15.75" customHeight="1">
      <c r="A2" s="8"/>
      <c r="B2" s="2414"/>
      <c r="C2" s="2415"/>
      <c r="D2" s="2413"/>
      <c r="E2" s="8"/>
      <c r="F2" s="8"/>
      <c r="G2" s="2414"/>
      <c r="H2" s="8"/>
      <c r="I2" s="2413"/>
      <c r="J2" s="8"/>
      <c r="K2" s="8"/>
      <c r="L2" s="2414"/>
      <c r="M2" s="8"/>
      <c r="N2" s="2413"/>
      <c r="O2" s="8"/>
      <c r="P2" s="8"/>
      <c r="Q2" s="2414"/>
      <c r="R2" s="8"/>
      <c r="S2" s="2413"/>
      <c r="T2" s="8"/>
      <c r="U2" s="8"/>
      <c r="V2" s="8"/>
      <c r="W2" s="8"/>
      <c r="X2" s="8"/>
      <c r="Y2" s="8"/>
      <c r="Z2" s="8"/>
      <c r="AA2" s="8"/>
      <c r="AB2" s="8"/>
      <c r="AC2" s="8"/>
      <c r="AD2" s="8"/>
    </row>
    <row r="3" spans="1:30" ht="33.75">
      <c r="A3" s="8"/>
      <c r="B3" s="2414"/>
      <c r="C3" s="2435" t="s">
        <v>5899</v>
      </c>
      <c r="D3" s="2413"/>
      <c r="E3" s="8"/>
      <c r="F3" s="8"/>
      <c r="G3" s="2414"/>
      <c r="H3" s="8"/>
      <c r="I3" s="2413"/>
      <c r="J3" s="8"/>
      <c r="K3" s="8"/>
      <c r="L3" s="2414"/>
      <c r="M3" s="8"/>
      <c r="N3" s="2413"/>
      <c r="O3" s="2434"/>
      <c r="P3" s="8"/>
      <c r="Q3" s="2414"/>
      <c r="R3" s="8"/>
      <c r="S3" s="2413"/>
      <c r="T3" s="8"/>
      <c r="U3" s="8"/>
      <c r="V3" s="8"/>
      <c r="W3" s="8"/>
      <c r="X3" s="8"/>
      <c r="Y3" s="8"/>
      <c r="Z3" s="8"/>
      <c r="AA3" s="8"/>
      <c r="AB3" s="8"/>
      <c r="AC3" s="8"/>
      <c r="AD3" s="8"/>
    </row>
    <row r="4" spans="1:30" ht="21">
      <c r="A4" s="8"/>
      <c r="B4" s="2414"/>
      <c r="C4" s="2412" t="s">
        <v>5886</v>
      </c>
      <c r="D4" s="2430" t="s">
        <v>5885</v>
      </c>
      <c r="E4" s="8"/>
      <c r="F4" s="8"/>
      <c r="G4" s="2414"/>
      <c r="H4" s="8"/>
      <c r="I4" s="2413"/>
      <c r="J4" s="8"/>
      <c r="K4" s="8"/>
      <c r="L4" s="2414"/>
      <c r="M4" s="8"/>
      <c r="N4" s="2412" t="s">
        <v>5886</v>
      </c>
      <c r="O4" s="2427" t="s">
        <v>5953</v>
      </c>
      <c r="P4" s="2426"/>
      <c r="Q4" s="2414"/>
      <c r="R4" s="8"/>
      <c r="S4" s="2428"/>
      <c r="T4" s="2412" t="s">
        <v>5886</v>
      </c>
      <c r="U4" s="2427" t="s">
        <v>5952</v>
      </c>
      <c r="V4" s="2426"/>
      <c r="W4" s="8"/>
      <c r="X4" s="8"/>
      <c r="Y4" s="8"/>
      <c r="Z4" s="2412" t="s">
        <v>5886</v>
      </c>
      <c r="AA4" s="2427" t="s">
        <v>5951</v>
      </c>
      <c r="AB4" s="2426"/>
      <c r="AC4" s="8"/>
      <c r="AD4" s="8"/>
    </row>
    <row r="5" spans="1:30" ht="23.25">
      <c r="A5" s="8"/>
      <c r="B5" s="2414"/>
      <c r="C5" s="2431"/>
      <c r="D5" s="2430"/>
      <c r="E5" s="8"/>
      <c r="F5" s="8"/>
      <c r="G5" s="2414"/>
      <c r="H5" s="8"/>
      <c r="I5" s="2413"/>
      <c r="J5" s="8"/>
      <c r="K5" s="8"/>
      <c r="L5" s="2414"/>
      <c r="M5" s="8"/>
      <c r="N5" s="2429"/>
      <c r="O5" s="2434"/>
      <c r="P5" s="8"/>
      <c r="Q5" s="2414"/>
      <c r="R5" s="8"/>
      <c r="S5" s="2428"/>
      <c r="T5" s="2433"/>
      <c r="U5" s="8"/>
      <c r="V5" s="8"/>
      <c r="W5" s="8"/>
      <c r="X5" s="8"/>
      <c r="Y5" s="8"/>
      <c r="Z5" s="8"/>
      <c r="AA5" s="8"/>
      <c r="AB5" s="8"/>
      <c r="AC5" s="8"/>
      <c r="AD5" s="8"/>
    </row>
    <row r="6" spans="1:30" ht="21">
      <c r="A6" s="8"/>
      <c r="B6" s="2414"/>
      <c r="C6" s="2412" t="s">
        <v>5886</v>
      </c>
      <c r="D6" s="2432" t="s">
        <v>5950</v>
      </c>
      <c r="E6" s="8"/>
      <c r="F6" s="8"/>
      <c r="G6" s="2414"/>
      <c r="H6" s="8"/>
      <c r="I6" s="2413"/>
      <c r="J6" s="8"/>
      <c r="K6" s="8"/>
      <c r="L6" s="2414"/>
      <c r="M6" s="8"/>
      <c r="N6" s="2412" t="s">
        <v>5886</v>
      </c>
      <c r="O6" s="2427" t="s">
        <v>5949</v>
      </c>
      <c r="P6" s="2426"/>
      <c r="Q6" s="2414"/>
      <c r="R6" s="8"/>
      <c r="S6" s="2428"/>
      <c r="T6" s="2412" t="s">
        <v>5886</v>
      </c>
      <c r="U6" s="2427" t="s">
        <v>5948</v>
      </c>
      <c r="V6" s="2426"/>
      <c r="W6" s="8"/>
      <c r="X6" s="8"/>
      <c r="Y6" s="8"/>
      <c r="Z6" s="2412" t="s">
        <v>5886</v>
      </c>
      <c r="AA6" s="2427" t="s">
        <v>5947</v>
      </c>
      <c r="AB6" s="2426"/>
      <c r="AC6" s="8"/>
      <c r="AD6" s="8"/>
    </row>
    <row r="7" spans="1:30" ht="23.25">
      <c r="A7" s="8"/>
      <c r="B7" s="2414"/>
      <c r="C7" s="2431"/>
      <c r="D7" s="2430"/>
      <c r="E7" s="8"/>
      <c r="F7" s="8"/>
      <c r="G7" s="2414"/>
      <c r="H7" s="8"/>
      <c r="I7" s="2413"/>
      <c r="J7" s="8"/>
      <c r="K7" s="8"/>
      <c r="L7" s="2414"/>
      <c r="M7" s="8"/>
      <c r="N7" s="2429"/>
      <c r="O7" s="8"/>
      <c r="P7" s="8"/>
      <c r="Q7" s="2414"/>
      <c r="R7" s="8"/>
      <c r="S7" s="2428"/>
      <c r="T7" s="8"/>
      <c r="U7" s="8"/>
      <c r="V7" s="8"/>
      <c r="W7" s="8"/>
      <c r="X7" s="8"/>
      <c r="Y7" s="8"/>
      <c r="Z7" s="8"/>
      <c r="AA7" s="8"/>
      <c r="AB7" s="8"/>
      <c r="AC7" s="8"/>
      <c r="AD7" s="8"/>
    </row>
    <row r="8" spans="1:30" ht="21">
      <c r="A8" s="8"/>
      <c r="B8" s="2414"/>
      <c r="C8" s="2412" t="s">
        <v>5886</v>
      </c>
      <c r="D8" s="2427" t="s">
        <v>5946</v>
      </c>
      <c r="E8" s="8"/>
      <c r="F8" s="8"/>
      <c r="G8" s="2414"/>
      <c r="H8" s="8"/>
      <c r="I8" s="2413"/>
      <c r="J8" s="8"/>
      <c r="K8" s="8"/>
      <c r="L8" s="2414"/>
      <c r="M8" s="8"/>
      <c r="N8" s="2412" t="s">
        <v>5886</v>
      </c>
      <c r="O8" s="2427" t="s">
        <v>5945</v>
      </c>
      <c r="P8" s="2426"/>
      <c r="Q8" s="2414"/>
      <c r="R8" s="8"/>
      <c r="S8" s="2428"/>
      <c r="T8" s="2412" t="s">
        <v>5886</v>
      </c>
      <c r="U8" s="2427" t="s">
        <v>5944</v>
      </c>
      <c r="V8" s="2426"/>
      <c r="W8" s="8"/>
      <c r="X8" s="8"/>
      <c r="Y8" s="8"/>
      <c r="Z8" s="2412" t="s">
        <v>5886</v>
      </c>
      <c r="AA8" s="2427" t="s">
        <v>5943</v>
      </c>
      <c r="AB8" s="2426"/>
      <c r="AC8" s="8"/>
      <c r="AD8" s="8"/>
    </row>
    <row r="9" spans="1:30" ht="19.5" customHeight="1">
      <c r="A9" s="8"/>
      <c r="B9" s="2414"/>
      <c r="C9" s="2415"/>
      <c r="D9" s="2413"/>
      <c r="E9" s="8"/>
      <c r="F9" s="8"/>
      <c r="G9" s="2414"/>
      <c r="H9" s="8"/>
      <c r="I9" s="2413"/>
      <c r="J9" s="8"/>
      <c r="K9" s="8"/>
      <c r="L9" s="2414"/>
      <c r="M9" s="8"/>
      <c r="N9" s="2413"/>
      <c r="O9" s="8"/>
      <c r="P9" s="8"/>
      <c r="Q9" s="2414"/>
      <c r="R9" s="8"/>
      <c r="S9" s="2413"/>
      <c r="T9" s="8"/>
      <c r="U9" s="8"/>
      <c r="V9" s="8"/>
      <c r="W9" s="8"/>
      <c r="X9" s="8"/>
      <c r="Y9" s="8"/>
      <c r="Z9" s="8"/>
      <c r="AA9" s="8"/>
      <c r="AB9" s="8"/>
      <c r="AC9" s="8"/>
      <c r="AD9" s="8"/>
    </row>
    <row r="10" spans="1:30" ht="39" customHeight="1">
      <c r="A10" s="8"/>
      <c r="B10" s="2414"/>
      <c r="C10" s="2425" t="s">
        <v>5941</v>
      </c>
      <c r="D10" s="2424" t="s">
        <v>5942</v>
      </c>
      <c r="E10" s="2421"/>
      <c r="F10" s="2421"/>
      <c r="G10" s="2423"/>
      <c r="H10" s="2421"/>
      <c r="I10" s="2422"/>
      <c r="J10" s="2421"/>
      <c r="K10" s="2421"/>
      <c r="L10" s="2423"/>
      <c r="M10" s="2421"/>
      <c r="N10" s="2422"/>
      <c r="O10" s="2421"/>
      <c r="P10" s="2421"/>
      <c r="Q10" s="2423"/>
      <c r="R10" s="2421"/>
      <c r="S10" s="2422"/>
      <c r="T10" s="2421"/>
      <c r="U10" s="2421"/>
      <c r="V10" s="2421"/>
      <c r="W10" s="2421"/>
      <c r="X10" s="2421"/>
      <c r="Y10" s="2421"/>
      <c r="Z10" s="2421"/>
      <c r="AA10" s="8"/>
      <c r="AB10" s="8"/>
      <c r="AC10" s="8"/>
      <c r="AD10" s="8"/>
    </row>
    <row r="11" spans="1:30" ht="19.5" customHeight="1">
      <c r="A11" s="8"/>
      <c r="B11" s="2414"/>
      <c r="C11" s="2415"/>
      <c r="D11" s="2413"/>
      <c r="E11" s="8"/>
      <c r="F11" s="8"/>
      <c r="G11" s="2414"/>
      <c r="H11" s="8"/>
      <c r="I11" s="2413"/>
      <c r="J11" s="8"/>
      <c r="K11" s="8"/>
      <c r="L11" s="2414"/>
      <c r="M11" s="8"/>
      <c r="N11" s="2413"/>
      <c r="O11" s="8"/>
      <c r="P11" s="8"/>
      <c r="Q11" s="2414"/>
      <c r="R11" s="8"/>
      <c r="S11" s="2413"/>
      <c r="T11" s="8"/>
      <c r="U11" s="8"/>
      <c r="V11" s="8"/>
      <c r="W11" s="8"/>
      <c r="X11" s="8"/>
      <c r="Y11" s="8"/>
      <c r="Z11" s="8"/>
      <c r="AA11" s="8"/>
      <c r="AB11" s="8"/>
      <c r="AC11" s="8"/>
      <c r="AD11" s="8"/>
    </row>
    <row r="12" spans="1:30" ht="38.25" customHeight="1">
      <c r="A12" s="8"/>
      <c r="B12" s="2414"/>
      <c r="C12" s="2425" t="s">
        <v>5941</v>
      </c>
      <c r="D12" s="2424" t="s">
        <v>5940</v>
      </c>
      <c r="E12" s="2421"/>
      <c r="F12" s="2421"/>
      <c r="G12" s="2423"/>
      <c r="H12" s="2421"/>
      <c r="I12" s="2422"/>
      <c r="J12" s="2421"/>
      <c r="K12" s="2421"/>
      <c r="L12" s="2423"/>
      <c r="M12" s="2421"/>
      <c r="N12" s="2422"/>
      <c r="O12" s="2421"/>
      <c r="P12" s="2421"/>
      <c r="Q12" s="2423"/>
      <c r="R12" s="2421"/>
      <c r="S12" s="2422"/>
      <c r="T12" s="2421"/>
      <c r="U12" s="2421"/>
      <c r="V12" s="2421"/>
      <c r="W12" s="2421"/>
      <c r="X12" s="2421"/>
      <c r="Y12" s="2421"/>
      <c r="Z12" s="2421"/>
      <c r="AA12" s="2421"/>
      <c r="AB12" s="2421"/>
      <c r="AC12" s="2421"/>
      <c r="AD12" s="2421"/>
    </row>
    <row r="13" spans="1:30" ht="19.5" customHeight="1">
      <c r="A13" s="8"/>
      <c r="B13" s="2414"/>
      <c r="C13" s="2415"/>
      <c r="D13" s="2413"/>
      <c r="E13" s="8"/>
      <c r="F13" s="8"/>
      <c r="G13" s="2414"/>
      <c r="H13" s="8"/>
      <c r="I13" s="2413"/>
      <c r="J13" s="8"/>
      <c r="K13" s="8"/>
      <c r="L13" s="2414"/>
      <c r="M13" s="8"/>
      <c r="N13" s="2413"/>
      <c r="O13" s="8"/>
      <c r="P13" s="8"/>
      <c r="Q13" s="2414"/>
      <c r="R13" s="8"/>
      <c r="S13" s="2413"/>
      <c r="T13" s="8"/>
      <c r="U13" s="8"/>
      <c r="V13" s="8"/>
      <c r="W13" s="8"/>
      <c r="X13" s="8"/>
      <c r="Y13" s="8"/>
      <c r="Z13" s="8"/>
      <c r="AA13" s="8"/>
      <c r="AB13" s="8"/>
      <c r="AC13" s="8"/>
      <c r="AD13" s="8"/>
    </row>
    <row r="14" spans="1:30" ht="47.25">
      <c r="A14" s="8"/>
      <c r="B14" s="8"/>
      <c r="C14" s="384"/>
      <c r="D14" s="2420" t="s">
        <v>5008</v>
      </c>
      <c r="E14" s="2419" t="s">
        <v>4094</v>
      </c>
      <c r="F14" s="1226"/>
      <c r="G14" s="384"/>
      <c r="H14" s="2419" t="s">
        <v>4130</v>
      </c>
      <c r="I14" s="2419" t="s">
        <v>3804</v>
      </c>
      <c r="J14" s="2419" t="s">
        <v>3771</v>
      </c>
      <c r="M14" s="2418" t="s">
        <v>3792</v>
      </c>
      <c r="N14" s="2418" t="s">
        <v>5176</v>
      </c>
      <c r="O14" s="1226"/>
      <c r="P14" s="2418" t="s">
        <v>3188</v>
      </c>
      <c r="Q14" s="1226"/>
      <c r="S14" s="1226"/>
      <c r="T14" s="1226"/>
      <c r="U14" s="1226"/>
      <c r="V14" s="1226"/>
      <c r="W14" s="1226"/>
      <c r="X14" s="2417" t="s">
        <v>5939</v>
      </c>
      <c r="Y14" s="1226"/>
      <c r="AB14" s="2416" t="s">
        <v>5938</v>
      </c>
    </row>
    <row r="15" spans="1:30" ht="19.5" customHeight="1">
      <c r="A15" s="8"/>
      <c r="B15" s="2414"/>
      <c r="C15" s="2415"/>
      <c r="D15" s="2413"/>
      <c r="E15" s="8"/>
      <c r="F15" s="8"/>
      <c r="G15" s="2414"/>
      <c r="H15" s="8"/>
      <c r="I15" s="2413"/>
      <c r="J15" s="8"/>
      <c r="K15" s="8"/>
      <c r="L15" s="2414"/>
      <c r="M15" s="8"/>
      <c r="N15" s="2413"/>
      <c r="O15" s="8"/>
      <c r="P15" s="8"/>
      <c r="Q15" s="2414"/>
      <c r="R15" s="8"/>
      <c r="S15" s="2413"/>
      <c r="T15" s="8"/>
      <c r="U15" s="8"/>
      <c r="V15" s="8"/>
      <c r="W15" s="8"/>
      <c r="X15" s="8"/>
      <c r="Y15" s="8"/>
      <c r="Z15" s="8"/>
      <c r="AA15" s="8"/>
      <c r="AB15" s="8"/>
      <c r="AC15" s="8"/>
      <c r="AD15" s="8"/>
    </row>
    <row r="16" spans="1:30">
      <c r="A16" s="2402">
        <v>1</v>
      </c>
      <c r="B16" s="2400" t="s">
        <v>5937</v>
      </c>
      <c r="C16" s="2401" t="s">
        <v>5936</v>
      </c>
      <c r="D16" s="2399" t="s">
        <v>5935</v>
      </c>
      <c r="E16" s="2403"/>
      <c r="F16" s="2402">
        <v>325</v>
      </c>
      <c r="G16" s="2400" t="s">
        <v>5934</v>
      </c>
      <c r="H16" s="2401" t="s">
        <v>5933</v>
      </c>
      <c r="I16" s="2399" t="s">
        <v>5932</v>
      </c>
      <c r="J16" s="2403"/>
      <c r="K16" s="2402">
        <v>649</v>
      </c>
      <c r="L16" s="2400" t="s">
        <v>5931</v>
      </c>
      <c r="M16" s="2401" t="s">
        <v>5930</v>
      </c>
      <c r="N16" s="2399" t="s">
        <v>5929</v>
      </c>
      <c r="O16" s="2403"/>
      <c r="P16" s="2402">
        <v>973</v>
      </c>
      <c r="Q16" s="2400" t="s">
        <v>5928</v>
      </c>
      <c r="R16" s="2401" t="s">
        <v>5927</v>
      </c>
      <c r="S16" s="2399" t="s">
        <v>5926</v>
      </c>
      <c r="T16" s="8"/>
      <c r="U16" s="2409" t="s">
        <v>5925</v>
      </c>
      <c r="W16" s="2403"/>
      <c r="X16" s="2407"/>
      <c r="Y16" s="2407"/>
      <c r="Z16" s="2407"/>
      <c r="AA16" s="2407"/>
      <c r="AB16" s="2407"/>
      <c r="AC16" s="2407"/>
      <c r="AD16" s="2407"/>
    </row>
    <row r="17" spans="1:35">
      <c r="A17" s="2402">
        <v>2</v>
      </c>
      <c r="B17" s="2400" t="s">
        <v>5924</v>
      </c>
      <c r="C17" s="2401" t="s">
        <v>5923</v>
      </c>
      <c r="D17" s="2399" t="s">
        <v>5922</v>
      </c>
      <c r="E17" s="2403"/>
      <c r="F17" s="2402">
        <v>326</v>
      </c>
      <c r="G17" s="2400" t="s">
        <v>5921</v>
      </c>
      <c r="H17" s="2401" t="s">
        <v>5920</v>
      </c>
      <c r="I17" s="2399" t="s">
        <v>5919</v>
      </c>
      <c r="J17" s="2403"/>
      <c r="K17" s="2402">
        <v>650</v>
      </c>
      <c r="L17" s="2400" t="s">
        <v>5918</v>
      </c>
      <c r="M17" s="2401" t="s">
        <v>5917</v>
      </c>
      <c r="N17" s="2399" t="s">
        <v>5916</v>
      </c>
      <c r="O17" s="2403"/>
      <c r="P17" s="2402">
        <v>974</v>
      </c>
      <c r="Q17" s="2400" t="s">
        <v>5915</v>
      </c>
      <c r="R17" s="2401" t="s">
        <v>5914</v>
      </c>
      <c r="S17" s="2399" t="s">
        <v>5913</v>
      </c>
      <c r="T17" s="8"/>
      <c r="U17" s="2412" t="s">
        <v>5886</v>
      </c>
      <c r="V17" s="2411" t="s">
        <v>5912</v>
      </c>
      <c r="W17" s="2406"/>
      <c r="X17" s="2408"/>
      <c r="Y17" s="2407"/>
      <c r="Z17" s="2407"/>
      <c r="AA17" s="2407"/>
      <c r="AB17" s="2407"/>
      <c r="AC17" s="2407"/>
      <c r="AD17" s="2407"/>
      <c r="AH17" s="2410"/>
    </row>
    <row r="18" spans="1:35">
      <c r="A18" s="2402">
        <v>3</v>
      </c>
      <c r="B18" s="2400" t="s">
        <v>5911</v>
      </c>
      <c r="C18" s="2401" t="s">
        <v>5910</v>
      </c>
      <c r="D18" s="2399" t="s">
        <v>5909</v>
      </c>
      <c r="E18" s="2403"/>
      <c r="F18" s="2402">
        <v>327</v>
      </c>
      <c r="G18" s="2400" t="s">
        <v>5908</v>
      </c>
      <c r="H18" s="2401" t="s">
        <v>5907</v>
      </c>
      <c r="I18" s="2399" t="s">
        <v>5906</v>
      </c>
      <c r="J18" s="2403"/>
      <c r="K18" s="2402">
        <v>651</v>
      </c>
      <c r="L18" s="2400" t="s">
        <v>5905</v>
      </c>
      <c r="M18" s="2401" t="s">
        <v>5904</v>
      </c>
      <c r="N18" s="2399" t="s">
        <v>5903</v>
      </c>
      <c r="O18" s="2403"/>
      <c r="P18" s="2402">
        <v>975</v>
      </c>
      <c r="Q18" s="2400" t="s">
        <v>5902</v>
      </c>
      <c r="R18" s="2401" t="s">
        <v>5901</v>
      </c>
      <c r="S18" s="2399" t="s">
        <v>5900</v>
      </c>
      <c r="T18" s="8"/>
      <c r="U18" s="2409" t="s">
        <v>5899</v>
      </c>
      <c r="V18" s="2409"/>
      <c r="W18" s="2403"/>
      <c r="X18" s="2408"/>
      <c r="Y18" s="2407"/>
      <c r="Z18" s="2407"/>
      <c r="AA18" s="2407"/>
      <c r="AB18" s="2407"/>
      <c r="AC18" s="2407"/>
      <c r="AD18" s="2407"/>
      <c r="AH18" s="2410"/>
    </row>
    <row r="19" spans="1:35">
      <c r="A19" s="2402">
        <v>4</v>
      </c>
      <c r="B19" s="2400" t="s">
        <v>5898</v>
      </c>
      <c r="C19" s="2401" t="s">
        <v>5897</v>
      </c>
      <c r="D19" s="2399" t="s">
        <v>5896</v>
      </c>
      <c r="E19" s="2403"/>
      <c r="F19" s="2402">
        <v>328</v>
      </c>
      <c r="G19" s="2400" t="s">
        <v>5895</v>
      </c>
      <c r="H19" s="2401" t="s">
        <v>5894</v>
      </c>
      <c r="I19" s="2399" t="s">
        <v>5893</v>
      </c>
      <c r="J19" s="2403"/>
      <c r="K19" s="2402">
        <v>652</v>
      </c>
      <c r="L19" s="2400" t="s">
        <v>5892</v>
      </c>
      <c r="M19" s="2401" t="s">
        <v>5891</v>
      </c>
      <c r="N19" s="2399" t="s">
        <v>5890</v>
      </c>
      <c r="O19" s="2403"/>
      <c r="P19" s="2402">
        <v>976</v>
      </c>
      <c r="Q19" s="2400" t="s">
        <v>5889</v>
      </c>
      <c r="R19" s="2401" t="s">
        <v>5888</v>
      </c>
      <c r="S19" s="2399" t="s">
        <v>5887</v>
      </c>
      <c r="T19" s="8"/>
      <c r="U19" s="2412" t="s">
        <v>5886</v>
      </c>
      <c r="V19" s="2411" t="s">
        <v>5885</v>
      </c>
      <c r="W19" s="2406"/>
      <c r="X19" s="2408"/>
      <c r="Y19" s="2407"/>
      <c r="Z19" s="2407"/>
      <c r="AA19" s="2407"/>
      <c r="AB19" s="2407"/>
      <c r="AC19" s="2407"/>
      <c r="AD19" s="2407"/>
      <c r="AH19" s="2410"/>
      <c r="AI19" s="2410"/>
    </row>
    <row r="20" spans="1:35">
      <c r="A20" s="2402">
        <v>5</v>
      </c>
      <c r="B20" s="2400" t="s">
        <v>5884</v>
      </c>
      <c r="C20" s="2401" t="s">
        <v>5883</v>
      </c>
      <c r="D20" s="2399" t="s">
        <v>5882</v>
      </c>
      <c r="E20" s="2403"/>
      <c r="F20" s="2402">
        <v>329</v>
      </c>
      <c r="G20" s="2400" t="s">
        <v>5881</v>
      </c>
      <c r="H20" s="2401" t="s">
        <v>5880</v>
      </c>
      <c r="I20" s="2399" t="s">
        <v>5879</v>
      </c>
      <c r="J20" s="2403"/>
      <c r="K20" s="2402">
        <v>653</v>
      </c>
      <c r="L20" s="2400" t="s">
        <v>5878</v>
      </c>
      <c r="M20" s="2401" t="s">
        <v>5877</v>
      </c>
      <c r="N20" s="2399" t="s">
        <v>5876</v>
      </c>
      <c r="O20" s="2403"/>
      <c r="P20" s="2402">
        <v>977</v>
      </c>
      <c r="Q20" s="2400" t="s">
        <v>5875</v>
      </c>
      <c r="R20" s="2401" t="s">
        <v>5874</v>
      </c>
      <c r="S20" s="2399" t="s">
        <v>5873</v>
      </c>
      <c r="T20" s="8"/>
      <c r="U20" s="2405"/>
      <c r="V20" s="2409" t="s">
        <v>5872</v>
      </c>
      <c r="W20" s="2403"/>
      <c r="X20" s="2408"/>
      <c r="Y20" s="2407"/>
      <c r="Z20" s="2407"/>
      <c r="AA20" s="2407"/>
      <c r="AB20" s="2407"/>
      <c r="AC20" s="2407"/>
      <c r="AD20" s="2407"/>
    </row>
    <row r="21" spans="1:35">
      <c r="A21" s="2402">
        <v>6</v>
      </c>
      <c r="B21" s="2400">
        <v>2795</v>
      </c>
      <c r="C21" s="2401" t="s">
        <v>5871</v>
      </c>
      <c r="D21" s="2399" t="s">
        <v>140</v>
      </c>
      <c r="E21" s="2403"/>
      <c r="F21" s="2402">
        <v>330</v>
      </c>
      <c r="G21" s="2400" t="s">
        <v>5870</v>
      </c>
      <c r="H21" s="2401" t="s">
        <v>5869</v>
      </c>
      <c r="I21" s="2399" t="s">
        <v>5868</v>
      </c>
      <c r="J21" s="2403"/>
      <c r="K21" s="2402">
        <v>654</v>
      </c>
      <c r="L21" s="2400" t="s">
        <v>5867</v>
      </c>
      <c r="M21" s="2401" t="s">
        <v>5866</v>
      </c>
      <c r="N21" s="2399" t="s">
        <v>5865</v>
      </c>
      <c r="O21" s="2403"/>
      <c r="P21" s="2402">
        <v>978</v>
      </c>
      <c r="Q21" s="2400" t="s">
        <v>5864</v>
      </c>
      <c r="R21" s="2401" t="s">
        <v>5863</v>
      </c>
      <c r="S21" s="2399" t="s">
        <v>5862</v>
      </c>
      <c r="T21" s="8"/>
      <c r="U21" s="2403"/>
      <c r="V21" s="2403"/>
      <c r="W21" s="2403"/>
      <c r="X21" s="2403"/>
      <c r="Y21" s="2403"/>
      <c r="Z21" s="2403"/>
      <c r="AA21" s="2403"/>
      <c r="AB21" s="2403"/>
      <c r="AC21" s="2403"/>
      <c r="AD21" s="2403"/>
    </row>
    <row r="22" spans="1:35">
      <c r="A22" s="2402">
        <v>7</v>
      </c>
      <c r="B22" s="2400">
        <v>2796</v>
      </c>
      <c r="C22" s="2401" t="s">
        <v>5861</v>
      </c>
      <c r="D22" s="2399" t="s">
        <v>5860</v>
      </c>
      <c r="E22" s="2403"/>
      <c r="F22" s="2402">
        <v>331</v>
      </c>
      <c r="G22" s="2400" t="s">
        <v>5859</v>
      </c>
      <c r="H22" s="2401" t="s">
        <v>5858</v>
      </c>
      <c r="I22" s="2399" t="s">
        <v>5857</v>
      </c>
      <c r="J22" s="2403"/>
      <c r="K22" s="2402">
        <v>655</v>
      </c>
      <c r="L22" s="2400" t="s">
        <v>5856</v>
      </c>
      <c r="M22" s="2401" t="s">
        <v>5855</v>
      </c>
      <c r="N22" s="2399" t="s">
        <v>5854</v>
      </c>
      <c r="O22" s="2403"/>
      <c r="P22" s="2402">
        <v>979</v>
      </c>
      <c r="Q22" s="2400" t="s">
        <v>5853</v>
      </c>
      <c r="R22" s="2401" t="s">
        <v>5852</v>
      </c>
      <c r="S22" s="2399" t="s">
        <v>5851</v>
      </c>
      <c r="T22" s="8"/>
      <c r="U22" s="2403"/>
      <c r="V22" s="2403"/>
      <c r="W22" s="2403"/>
      <c r="X22" s="2406"/>
      <c r="Y22" s="2406"/>
      <c r="Z22" s="2406"/>
      <c r="AA22" s="2406"/>
      <c r="AB22" s="2406"/>
      <c r="AC22" s="2406"/>
      <c r="AD22" s="2403"/>
    </row>
    <row r="23" spans="1:35">
      <c r="A23" s="2402">
        <v>8</v>
      </c>
      <c r="B23" s="2400">
        <v>2797</v>
      </c>
      <c r="C23" s="2401" t="s">
        <v>5850</v>
      </c>
      <c r="D23" s="2399" t="s">
        <v>5849</v>
      </c>
      <c r="E23" s="2403"/>
      <c r="F23" s="2402">
        <v>332</v>
      </c>
      <c r="G23" s="2400" t="s">
        <v>5848</v>
      </c>
      <c r="H23" s="2401" t="s">
        <v>5847</v>
      </c>
      <c r="I23" s="2399" t="s">
        <v>5846</v>
      </c>
      <c r="J23" s="2403"/>
      <c r="K23" s="2402">
        <v>656</v>
      </c>
      <c r="L23" s="2400" t="s">
        <v>5845</v>
      </c>
      <c r="M23" s="2401" t="s">
        <v>5844</v>
      </c>
      <c r="N23" s="2399" t="s">
        <v>5843</v>
      </c>
      <c r="O23" s="2403"/>
      <c r="P23" s="2402">
        <v>980</v>
      </c>
      <c r="Q23" s="2400" t="s">
        <v>5842</v>
      </c>
      <c r="R23" s="2401" t="s">
        <v>5841</v>
      </c>
      <c r="S23" s="2399" t="s">
        <v>5840</v>
      </c>
      <c r="T23" s="8"/>
      <c r="U23" s="2406" t="s">
        <v>5839</v>
      </c>
      <c r="V23" s="2406"/>
      <c r="W23" s="2406"/>
      <c r="X23" s="2406"/>
      <c r="Y23" s="2403"/>
      <c r="Z23" s="2403"/>
      <c r="AA23" s="2403"/>
      <c r="AB23" s="2403"/>
      <c r="AC23" s="2403"/>
      <c r="AD23" s="2403"/>
      <c r="AE23" s="8"/>
    </row>
    <row r="24" spans="1:35">
      <c r="A24" s="2402">
        <v>9</v>
      </c>
      <c r="B24" s="2400" t="s">
        <v>5838</v>
      </c>
      <c r="C24" s="2401" t="s">
        <v>5837</v>
      </c>
      <c r="D24" s="2399" t="s">
        <v>5836</v>
      </c>
      <c r="E24" s="2403"/>
      <c r="F24" s="2402">
        <v>333</v>
      </c>
      <c r="G24" s="2400" t="s">
        <v>5835</v>
      </c>
      <c r="H24" s="2401" t="s">
        <v>5834</v>
      </c>
      <c r="I24" s="2399" t="s">
        <v>5833</v>
      </c>
      <c r="J24" s="2403"/>
      <c r="K24" s="2402">
        <v>657</v>
      </c>
      <c r="L24" s="2400" t="s">
        <v>5832</v>
      </c>
      <c r="M24" s="2401" t="s">
        <v>5831</v>
      </c>
      <c r="N24" s="2399" t="s">
        <v>5830</v>
      </c>
      <c r="O24" s="2403"/>
      <c r="P24" s="2402">
        <v>981</v>
      </c>
      <c r="Q24" s="2400" t="s">
        <v>5829</v>
      </c>
      <c r="R24" s="2401" t="s">
        <v>5828</v>
      </c>
      <c r="S24" s="2399" t="s">
        <v>5827</v>
      </c>
      <c r="T24" s="8"/>
      <c r="U24" s="2406" t="s">
        <v>5826</v>
      </c>
      <c r="V24" s="2406"/>
      <c r="W24" s="2406"/>
      <c r="X24" s="2406"/>
      <c r="Y24" s="2403"/>
      <c r="Z24" s="2403"/>
      <c r="AA24" s="2403"/>
      <c r="AB24" s="2403"/>
      <c r="AC24" s="2403"/>
      <c r="AD24" s="2403"/>
    </row>
    <row r="25" spans="1:35">
      <c r="A25" s="2402">
        <v>10</v>
      </c>
      <c r="B25" s="2400" t="s">
        <v>5825</v>
      </c>
      <c r="C25" s="2401" t="s">
        <v>5824</v>
      </c>
      <c r="E25" s="2403"/>
      <c r="F25" s="2402">
        <v>334</v>
      </c>
      <c r="G25" s="2400" t="s">
        <v>5823</v>
      </c>
      <c r="H25" s="2401" t="s">
        <v>5822</v>
      </c>
      <c r="I25" s="2399" t="s">
        <v>5821</v>
      </c>
      <c r="J25" s="2403"/>
      <c r="K25" s="2402">
        <v>658</v>
      </c>
      <c r="L25" s="2400" t="s">
        <v>5820</v>
      </c>
      <c r="M25" s="2401" t="s">
        <v>5819</v>
      </c>
      <c r="N25" s="2399" t="s">
        <v>5818</v>
      </c>
      <c r="O25" s="2403"/>
      <c r="P25" s="2402">
        <v>982</v>
      </c>
      <c r="Q25" s="2400" t="s">
        <v>5817</v>
      </c>
      <c r="R25" s="2401" t="s">
        <v>5816</v>
      </c>
      <c r="S25" s="2399" t="s">
        <v>5815</v>
      </c>
      <c r="T25" s="8"/>
      <c r="U25" s="2406"/>
      <c r="V25" s="2406" t="s">
        <v>5814</v>
      </c>
      <c r="W25" s="2406"/>
      <c r="X25" s="2406"/>
      <c r="Y25" s="2403"/>
      <c r="Z25" s="2403"/>
      <c r="AA25" s="2403"/>
      <c r="AB25" s="2403"/>
      <c r="AC25" s="2403"/>
      <c r="AD25" s="2403"/>
    </row>
    <row r="26" spans="1:35">
      <c r="A26" s="2402">
        <v>11</v>
      </c>
      <c r="B26" s="2400" t="s">
        <v>5813</v>
      </c>
      <c r="C26" s="2401" t="s">
        <v>5812</v>
      </c>
      <c r="E26" s="2403"/>
      <c r="F26" s="2402">
        <v>335</v>
      </c>
      <c r="G26" s="2400" t="s">
        <v>5811</v>
      </c>
      <c r="H26" s="2401" t="s">
        <v>5810</v>
      </c>
      <c r="I26" s="2399" t="s">
        <v>5809</v>
      </c>
      <c r="J26" s="2403"/>
      <c r="K26" s="2402">
        <v>659</v>
      </c>
      <c r="L26" s="2400" t="s">
        <v>5808</v>
      </c>
      <c r="M26" s="2401" t="s">
        <v>5807</v>
      </c>
      <c r="N26" s="2399" t="s">
        <v>5806</v>
      </c>
      <c r="O26" s="2403"/>
      <c r="P26" s="2402">
        <v>983</v>
      </c>
      <c r="Q26" s="2400" t="s">
        <v>5805</v>
      </c>
      <c r="R26" s="2401" t="s">
        <v>5804</v>
      </c>
      <c r="S26" s="2399" t="s">
        <v>5803</v>
      </c>
      <c r="T26" s="8"/>
      <c r="U26" s="2406"/>
      <c r="V26" s="2406" t="s">
        <v>5802</v>
      </c>
      <c r="W26" s="2406"/>
      <c r="X26" s="2406"/>
      <c r="Y26" s="2403"/>
      <c r="Z26" s="2403"/>
      <c r="AA26" s="2403"/>
      <c r="AB26" s="2403"/>
      <c r="AC26" s="2403"/>
      <c r="AD26" s="2403"/>
    </row>
    <row r="27" spans="1:35">
      <c r="A27" s="2402">
        <v>12</v>
      </c>
      <c r="B27" s="2400">
        <v>3030</v>
      </c>
      <c r="C27" s="2401" t="s">
        <v>5801</v>
      </c>
      <c r="E27" s="2403"/>
      <c r="F27" s="2402">
        <v>336</v>
      </c>
      <c r="G27" s="2400" t="s">
        <v>5800</v>
      </c>
      <c r="H27" s="2401" t="s">
        <v>5799</v>
      </c>
      <c r="I27" s="2399" t="s">
        <v>5798</v>
      </c>
      <c r="J27" s="2403"/>
      <c r="K27" s="2402">
        <v>660</v>
      </c>
      <c r="L27" s="2400" t="s">
        <v>5797</v>
      </c>
      <c r="M27" s="2401" t="s">
        <v>5796</v>
      </c>
      <c r="N27" s="2399" t="s">
        <v>5795</v>
      </c>
      <c r="O27" s="2403"/>
      <c r="P27" s="2402">
        <v>984</v>
      </c>
      <c r="Q27" s="2400" t="s">
        <v>5794</v>
      </c>
      <c r="R27" s="2401" t="s">
        <v>5793</v>
      </c>
      <c r="S27" s="2399" t="s">
        <v>5792</v>
      </c>
      <c r="T27" s="8"/>
      <c r="U27" s="2405"/>
      <c r="V27" s="2403"/>
      <c r="W27" s="2403"/>
      <c r="X27" s="2403"/>
      <c r="Y27" s="2403"/>
      <c r="Z27" s="2403"/>
      <c r="AA27" s="2403"/>
      <c r="AB27" s="2403"/>
      <c r="AC27" s="2403"/>
      <c r="AD27" s="2403"/>
    </row>
    <row r="28" spans="1:35">
      <c r="A28" s="2402">
        <v>13</v>
      </c>
      <c r="B28" s="2400" t="s">
        <v>5791</v>
      </c>
      <c r="C28" s="2401" t="s">
        <v>5790</v>
      </c>
      <c r="E28" s="2403"/>
      <c r="F28" s="2402">
        <v>337</v>
      </c>
      <c r="G28" s="2400" t="s">
        <v>5789</v>
      </c>
      <c r="H28" s="2401" t="s">
        <v>5788</v>
      </c>
      <c r="I28" s="2399" t="s">
        <v>5787</v>
      </c>
      <c r="J28" s="2403"/>
      <c r="K28" s="2402">
        <v>661</v>
      </c>
      <c r="L28" s="2400" t="s">
        <v>5786</v>
      </c>
      <c r="M28" s="2401" t="s">
        <v>5785</v>
      </c>
      <c r="N28" s="2399" t="s">
        <v>5784</v>
      </c>
      <c r="O28" s="2403"/>
      <c r="P28" s="2402">
        <v>985</v>
      </c>
      <c r="Q28" s="2400" t="s">
        <v>5783</v>
      </c>
      <c r="R28" s="2401" t="s">
        <v>5782</v>
      </c>
      <c r="S28" s="2399" t="s">
        <v>5781</v>
      </c>
      <c r="T28" s="8"/>
      <c r="U28" s="8"/>
      <c r="V28" s="8"/>
      <c r="W28" s="8"/>
      <c r="X28" s="8"/>
      <c r="Y28" s="8"/>
      <c r="Z28" s="8"/>
      <c r="AA28" s="8"/>
      <c r="AB28" s="8"/>
      <c r="AC28" s="8"/>
      <c r="AD28" s="8"/>
      <c r="AE28" s="8"/>
      <c r="AF28" s="8"/>
      <c r="AG28" s="8"/>
    </row>
    <row r="29" spans="1:35">
      <c r="A29" s="2402">
        <v>14</v>
      </c>
      <c r="B29" s="2400" t="s">
        <v>5780</v>
      </c>
      <c r="C29" s="2401" t="s">
        <v>5779</v>
      </c>
      <c r="E29" s="2403"/>
      <c r="F29" s="2402">
        <v>338</v>
      </c>
      <c r="G29" s="2400" t="s">
        <v>5778</v>
      </c>
      <c r="H29" s="2401" t="s">
        <v>5777</v>
      </c>
      <c r="I29" s="2399" t="s">
        <v>5776</v>
      </c>
      <c r="J29" s="2403"/>
      <c r="K29" s="2402">
        <v>662</v>
      </c>
      <c r="L29" s="2400" t="s">
        <v>5775</v>
      </c>
      <c r="M29" s="2401" t="s">
        <v>5774</v>
      </c>
      <c r="N29" s="2399" t="s">
        <v>5773</v>
      </c>
      <c r="O29" s="2403"/>
      <c r="P29" s="2402">
        <v>986</v>
      </c>
      <c r="Q29" s="2400" t="s">
        <v>5772</v>
      </c>
      <c r="R29" s="2401" t="s">
        <v>5771</v>
      </c>
      <c r="S29" s="2399" t="s">
        <v>5770</v>
      </c>
      <c r="T29" s="8"/>
      <c r="U29" s="8"/>
      <c r="V29" s="8"/>
      <c r="W29" s="8"/>
      <c r="X29" s="8"/>
      <c r="Y29" s="8"/>
      <c r="Z29" s="8"/>
      <c r="AA29" s="8"/>
      <c r="AB29" s="8"/>
      <c r="AC29" s="8"/>
      <c r="AD29" s="8"/>
    </row>
    <row r="30" spans="1:35">
      <c r="A30" s="2402">
        <v>15</v>
      </c>
      <c r="B30" s="2400">
        <v>2049</v>
      </c>
      <c r="C30" s="2401" t="s">
        <v>5769</v>
      </c>
      <c r="E30" s="2403"/>
      <c r="F30" s="2402">
        <v>339</v>
      </c>
      <c r="G30" s="2400" t="s">
        <v>5768</v>
      </c>
      <c r="H30" s="2401" t="s">
        <v>5767</v>
      </c>
      <c r="I30" s="2399" t="s">
        <v>5766</v>
      </c>
      <c r="J30" s="2403"/>
      <c r="K30" s="2402">
        <v>663</v>
      </c>
      <c r="L30" s="2400" t="s">
        <v>5765</v>
      </c>
      <c r="M30" s="2401" t="s">
        <v>5764</v>
      </c>
      <c r="N30" s="2399" t="s">
        <v>5763</v>
      </c>
      <c r="O30" s="2403"/>
      <c r="P30" s="2402">
        <v>987</v>
      </c>
      <c r="Q30" s="2400" t="s">
        <v>5762</v>
      </c>
      <c r="R30" s="2401" t="s">
        <v>5761</v>
      </c>
      <c r="S30" s="2399" t="s">
        <v>5760</v>
      </c>
      <c r="T30" s="8"/>
      <c r="U30" s="8"/>
      <c r="V30" s="8"/>
      <c r="W30" s="8"/>
      <c r="X30" s="8"/>
      <c r="Y30" s="8"/>
      <c r="Z30" s="8"/>
      <c r="AA30" s="8"/>
      <c r="AB30" s="8"/>
      <c r="AC30" s="8"/>
      <c r="AD30" s="8"/>
    </row>
    <row r="31" spans="1:35">
      <c r="A31" s="2402">
        <v>16</v>
      </c>
      <c r="B31" s="2400" t="s">
        <v>5759</v>
      </c>
      <c r="C31" s="2401" t="s">
        <v>5758</v>
      </c>
      <c r="E31" s="2403"/>
      <c r="F31" s="2402">
        <v>340</v>
      </c>
      <c r="G31" s="2400" t="s">
        <v>5757</v>
      </c>
      <c r="H31" s="2401" t="s">
        <v>5756</v>
      </c>
      <c r="I31" s="2399" t="s">
        <v>5755</v>
      </c>
      <c r="J31" s="2403"/>
      <c r="K31" s="2402">
        <v>664</v>
      </c>
      <c r="L31" s="2400" t="s">
        <v>5754</v>
      </c>
      <c r="M31" s="2401" t="s">
        <v>5753</v>
      </c>
      <c r="N31" s="2399" t="s">
        <v>5752</v>
      </c>
      <c r="O31" s="2403"/>
      <c r="P31" s="2402">
        <v>988</v>
      </c>
      <c r="Q31" s="2400" t="s">
        <v>5751</v>
      </c>
      <c r="R31" s="2401" t="s">
        <v>5750</v>
      </c>
      <c r="S31" s="2399" t="s">
        <v>5157</v>
      </c>
      <c r="T31" s="8"/>
      <c r="U31" s="8"/>
      <c r="V31" s="8"/>
      <c r="W31" s="8"/>
      <c r="X31" s="8"/>
      <c r="Y31" s="8"/>
      <c r="Z31" s="8"/>
      <c r="AA31" s="8"/>
      <c r="AB31" s="8"/>
      <c r="AC31" s="8"/>
      <c r="AD31" s="8"/>
    </row>
    <row r="32" spans="1:35">
      <c r="A32" s="2402">
        <v>17</v>
      </c>
      <c r="B32" s="2400" t="s">
        <v>5749</v>
      </c>
      <c r="C32" s="2401" t="s">
        <v>5748</v>
      </c>
      <c r="E32" s="2403"/>
      <c r="F32" s="2402">
        <v>341</v>
      </c>
      <c r="G32" s="2400" t="s">
        <v>5747</v>
      </c>
      <c r="H32" s="2401" t="s">
        <v>5746</v>
      </c>
      <c r="I32" s="2399" t="s">
        <v>5745</v>
      </c>
      <c r="J32" s="2403"/>
      <c r="K32" s="2402">
        <v>665</v>
      </c>
      <c r="L32" s="2400" t="s">
        <v>5744</v>
      </c>
      <c r="M32" s="2401" t="s">
        <v>5743</v>
      </c>
      <c r="N32" s="2399" t="s">
        <v>5742</v>
      </c>
      <c r="O32" s="2403"/>
      <c r="P32" s="2402">
        <v>989</v>
      </c>
      <c r="Q32" s="2400" t="s">
        <v>5741</v>
      </c>
      <c r="R32" s="2401" t="s">
        <v>5740</v>
      </c>
      <c r="S32" s="2399" t="s">
        <v>5739</v>
      </c>
      <c r="T32" s="8"/>
      <c r="U32" s="8"/>
      <c r="V32" s="8"/>
      <c r="W32" s="8"/>
      <c r="X32" s="8"/>
      <c r="Y32" s="8"/>
      <c r="Z32" s="8"/>
      <c r="AA32" s="8"/>
      <c r="AB32" s="8"/>
      <c r="AC32" s="8"/>
      <c r="AD32" s="8"/>
    </row>
    <row r="33" spans="1:30">
      <c r="A33" s="2402">
        <v>18</v>
      </c>
      <c r="B33" s="2400" t="s">
        <v>5738</v>
      </c>
      <c r="C33" s="2401" t="s">
        <v>5737</v>
      </c>
      <c r="E33" s="2403"/>
      <c r="F33" s="2402">
        <v>342</v>
      </c>
      <c r="G33" s="2400" t="s">
        <v>5736</v>
      </c>
      <c r="H33" s="2401" t="s">
        <v>5735</v>
      </c>
      <c r="I33" s="2399" t="s">
        <v>5734</v>
      </c>
      <c r="J33" s="2403"/>
      <c r="K33" s="2402">
        <v>666</v>
      </c>
      <c r="L33" s="2400" t="s">
        <v>5733</v>
      </c>
      <c r="M33" s="2401" t="s">
        <v>5732</v>
      </c>
      <c r="N33" s="2399" t="s">
        <v>5731</v>
      </c>
      <c r="O33" s="2403"/>
      <c r="P33" s="2402">
        <v>990</v>
      </c>
      <c r="Q33" s="2400" t="s">
        <v>5730</v>
      </c>
      <c r="R33" s="2401" t="s">
        <v>5729</v>
      </c>
      <c r="S33" s="2399" t="s">
        <v>5728</v>
      </c>
      <c r="T33" s="8"/>
      <c r="U33" s="8"/>
      <c r="V33" s="8"/>
      <c r="W33" s="8"/>
      <c r="X33" s="8"/>
      <c r="Y33" s="8"/>
      <c r="Z33" s="8"/>
      <c r="AA33" s="8"/>
      <c r="AB33" s="8"/>
      <c r="AC33" s="8"/>
      <c r="AD33" s="8"/>
    </row>
    <row r="34" spans="1:30">
      <c r="A34" s="2402">
        <v>19</v>
      </c>
      <c r="B34" s="2400" t="s">
        <v>5727</v>
      </c>
      <c r="C34" s="2401" t="s">
        <v>5726</v>
      </c>
      <c r="E34" s="2403"/>
      <c r="F34" s="2402">
        <v>343</v>
      </c>
      <c r="G34" s="2400" t="s">
        <v>5725</v>
      </c>
      <c r="H34" s="2401" t="s">
        <v>5724</v>
      </c>
      <c r="I34" s="2399" t="s">
        <v>5723</v>
      </c>
      <c r="J34" s="2403"/>
      <c r="K34" s="2402">
        <v>667</v>
      </c>
      <c r="L34" s="2400" t="s">
        <v>5722</v>
      </c>
      <c r="M34" s="2401" t="s">
        <v>5721</v>
      </c>
      <c r="N34" s="2399" t="s">
        <v>5720</v>
      </c>
      <c r="O34" s="2403"/>
      <c r="P34" s="2402">
        <v>991</v>
      </c>
      <c r="Q34" s="2400" t="s">
        <v>5719</v>
      </c>
      <c r="R34" s="2401" t="s">
        <v>5718</v>
      </c>
      <c r="S34" s="2399" t="s">
        <v>5717</v>
      </c>
      <c r="T34" s="8"/>
      <c r="U34" s="8"/>
      <c r="V34" s="8"/>
      <c r="W34" s="8"/>
      <c r="X34" s="8"/>
      <c r="Y34" s="8"/>
      <c r="Z34" s="8"/>
      <c r="AA34" s="8"/>
      <c r="AB34" s="8"/>
      <c r="AC34" s="8"/>
      <c r="AD34" s="8"/>
    </row>
    <row r="35" spans="1:30">
      <c r="A35" s="2402">
        <v>20</v>
      </c>
      <c r="B35" s="2400" t="s">
        <v>5716</v>
      </c>
      <c r="C35" s="2401" t="s">
        <v>5715</v>
      </c>
      <c r="E35" s="2403"/>
      <c r="F35" s="2402">
        <v>344</v>
      </c>
      <c r="G35" s="2400" t="s">
        <v>5714</v>
      </c>
      <c r="H35" s="2401" t="s">
        <v>5713</v>
      </c>
      <c r="I35" s="2399" t="s">
        <v>5712</v>
      </c>
      <c r="J35" s="2403"/>
      <c r="K35" s="2402">
        <v>668</v>
      </c>
      <c r="L35" s="2400" t="s">
        <v>5711</v>
      </c>
      <c r="M35" s="2401" t="s">
        <v>5710</v>
      </c>
      <c r="N35" s="2399" t="s">
        <v>5709</v>
      </c>
      <c r="O35" s="2403"/>
      <c r="P35" s="2402">
        <v>992</v>
      </c>
      <c r="Q35" s="2400" t="s">
        <v>5708</v>
      </c>
      <c r="R35" s="2401" t="s">
        <v>5707</v>
      </c>
      <c r="S35" s="2399" t="s">
        <v>5706</v>
      </c>
      <c r="T35" s="8"/>
      <c r="U35" s="8"/>
      <c r="V35" s="8"/>
      <c r="W35" s="8"/>
      <c r="X35" s="8"/>
      <c r="Y35" s="8"/>
      <c r="Z35" s="8"/>
      <c r="AA35" s="8"/>
      <c r="AB35" s="8"/>
      <c r="AC35" s="8"/>
      <c r="AD35" s="8"/>
    </row>
    <row r="36" spans="1:30">
      <c r="A36" s="2402">
        <v>21</v>
      </c>
      <c r="B36" s="2400" t="s">
        <v>5705</v>
      </c>
      <c r="C36" s="2401" t="s">
        <v>5704</v>
      </c>
      <c r="E36" s="2403"/>
      <c r="F36" s="2402">
        <v>345</v>
      </c>
      <c r="G36" s="2400" t="s">
        <v>5703</v>
      </c>
      <c r="H36" s="2401" t="s">
        <v>5702</v>
      </c>
      <c r="I36" s="2399" t="s">
        <v>5701</v>
      </c>
      <c r="J36" s="2403"/>
      <c r="K36" s="2402">
        <v>669</v>
      </c>
      <c r="L36" s="2400" t="s">
        <v>5700</v>
      </c>
      <c r="M36" s="2401" t="s">
        <v>5699</v>
      </c>
      <c r="N36" s="2399" t="s">
        <v>5698</v>
      </c>
      <c r="O36" s="2403"/>
      <c r="P36" s="2402">
        <v>993</v>
      </c>
      <c r="Q36" s="2400" t="s">
        <v>5697</v>
      </c>
      <c r="R36" s="2401" t="s">
        <v>5696</v>
      </c>
      <c r="S36" s="2399" t="s">
        <v>5695</v>
      </c>
      <c r="T36" s="8"/>
      <c r="U36" s="8"/>
      <c r="V36" s="8"/>
      <c r="W36" s="8"/>
      <c r="X36" s="8"/>
      <c r="Y36" s="8"/>
      <c r="Z36" s="8"/>
      <c r="AA36" s="8"/>
      <c r="AB36" s="8"/>
      <c r="AC36" s="8"/>
      <c r="AD36" s="8"/>
    </row>
    <row r="37" spans="1:30">
      <c r="A37" s="2402">
        <v>22</v>
      </c>
      <c r="B37" s="2400" t="s">
        <v>5694</v>
      </c>
      <c r="C37" s="2401" t="s">
        <v>5693</v>
      </c>
      <c r="E37" s="2403"/>
      <c r="F37" s="2402">
        <v>346</v>
      </c>
      <c r="G37" s="2400" t="s">
        <v>5692</v>
      </c>
      <c r="H37" s="2401" t="s">
        <v>5691</v>
      </c>
      <c r="I37" s="2399" t="s">
        <v>5690</v>
      </c>
      <c r="J37" s="2403"/>
      <c r="K37" s="2402">
        <v>670</v>
      </c>
      <c r="L37" s="2400" t="s">
        <v>5689</v>
      </c>
      <c r="M37" s="2401" t="s">
        <v>5688</v>
      </c>
      <c r="N37" s="2399" t="s">
        <v>5687</v>
      </c>
      <c r="O37" s="2403"/>
      <c r="P37" s="2402">
        <v>994</v>
      </c>
      <c r="Q37" s="2400" t="s">
        <v>5686</v>
      </c>
      <c r="R37" s="2401" t="s">
        <v>5685</v>
      </c>
      <c r="S37" s="2399" t="s">
        <v>5684</v>
      </c>
      <c r="T37" s="8"/>
      <c r="U37" s="8"/>
      <c r="V37" s="8"/>
      <c r="W37" s="8"/>
      <c r="X37" s="8"/>
      <c r="Y37" s="8"/>
      <c r="Z37" s="8"/>
      <c r="AA37" s="8"/>
      <c r="AB37" s="8"/>
      <c r="AC37" s="8"/>
      <c r="AD37" s="8"/>
    </row>
    <row r="38" spans="1:30">
      <c r="A38" s="2402">
        <v>23</v>
      </c>
      <c r="B38" s="2400" t="s">
        <v>5683</v>
      </c>
      <c r="C38" s="2401" t="s">
        <v>5682</v>
      </c>
      <c r="E38" s="2403"/>
      <c r="F38" s="2402">
        <v>347</v>
      </c>
      <c r="G38" s="2400" t="s">
        <v>5681</v>
      </c>
      <c r="H38" s="2401" t="s">
        <v>5680</v>
      </c>
      <c r="I38" s="2399" t="s">
        <v>5679</v>
      </c>
      <c r="J38" s="2403"/>
      <c r="K38" s="2402">
        <v>671</v>
      </c>
      <c r="L38" s="2400" t="s">
        <v>5678</v>
      </c>
      <c r="M38" s="2401" t="s">
        <v>5677</v>
      </c>
      <c r="N38" s="2399" t="s">
        <v>5676</v>
      </c>
      <c r="O38" s="2403"/>
      <c r="P38" s="2402">
        <v>995</v>
      </c>
      <c r="Q38" s="2400" t="s">
        <v>5675</v>
      </c>
      <c r="R38" s="2401" t="s">
        <v>5674</v>
      </c>
      <c r="S38" s="2399" t="s">
        <v>5673</v>
      </c>
      <c r="T38" s="8"/>
      <c r="U38" s="8"/>
      <c r="V38" s="8"/>
      <c r="W38" s="8"/>
      <c r="X38" s="8"/>
      <c r="Y38" s="8"/>
      <c r="Z38" s="8"/>
      <c r="AA38" s="8"/>
      <c r="AB38" s="8"/>
      <c r="AC38" s="8"/>
      <c r="AD38" s="8"/>
    </row>
    <row r="39" spans="1:30">
      <c r="A39" s="2402">
        <v>24</v>
      </c>
      <c r="B39" s="2400" t="s">
        <v>5672</v>
      </c>
      <c r="C39" s="2401" t="s">
        <v>5671</v>
      </c>
      <c r="D39" s="2399" t="s">
        <v>5670</v>
      </c>
      <c r="E39" s="2403"/>
      <c r="F39" s="2402">
        <v>348</v>
      </c>
      <c r="G39" s="2400" t="s">
        <v>5669</v>
      </c>
      <c r="H39" s="2401" t="s">
        <v>5668</v>
      </c>
      <c r="I39" s="2399" t="s">
        <v>5667</v>
      </c>
      <c r="J39" s="2403"/>
      <c r="K39" s="2402">
        <v>672</v>
      </c>
      <c r="L39" s="2400" t="s">
        <v>5666</v>
      </c>
      <c r="M39" s="2401" t="s">
        <v>5665</v>
      </c>
      <c r="N39" s="2399" t="s">
        <v>5664</v>
      </c>
      <c r="O39" s="2403"/>
      <c r="P39" s="2402">
        <v>996</v>
      </c>
      <c r="Q39" s="2400" t="s">
        <v>5663</v>
      </c>
      <c r="R39" s="2401" t="s">
        <v>5662</v>
      </c>
      <c r="T39" s="8"/>
      <c r="U39" s="8"/>
      <c r="V39" s="8"/>
      <c r="W39" s="8"/>
      <c r="X39" s="8"/>
      <c r="Y39" s="8"/>
      <c r="Z39" s="8"/>
      <c r="AA39" s="8"/>
      <c r="AB39" s="8"/>
      <c r="AC39" s="8"/>
      <c r="AD39" s="8"/>
    </row>
    <row r="40" spans="1:30">
      <c r="A40" s="2402">
        <v>25</v>
      </c>
      <c r="B40" s="2400" t="s">
        <v>5661</v>
      </c>
      <c r="C40" s="2401" t="s">
        <v>5660</v>
      </c>
      <c r="D40" s="2399" t="s">
        <v>5649</v>
      </c>
      <c r="E40" s="2403"/>
      <c r="F40" s="2402">
        <v>349</v>
      </c>
      <c r="G40" s="2400" t="s">
        <v>5659</v>
      </c>
      <c r="H40" s="2401" t="s">
        <v>5658</v>
      </c>
      <c r="I40" s="2399" t="s">
        <v>5657</v>
      </c>
      <c r="J40" s="2403"/>
      <c r="K40" s="2402">
        <v>673</v>
      </c>
      <c r="L40" s="2400" t="s">
        <v>5656</v>
      </c>
      <c r="M40" s="2401" t="s">
        <v>5655</v>
      </c>
      <c r="N40" s="2399" t="s">
        <v>5654</v>
      </c>
      <c r="O40" s="2403"/>
      <c r="P40" s="2402">
        <v>997</v>
      </c>
      <c r="Q40" s="2400" t="s">
        <v>5653</v>
      </c>
      <c r="R40" s="2401" t="s">
        <v>5652</v>
      </c>
      <c r="T40" s="8"/>
      <c r="U40" s="8"/>
      <c r="V40" s="8"/>
      <c r="W40" s="8"/>
      <c r="X40" s="8"/>
      <c r="Y40" s="8"/>
      <c r="Z40" s="8"/>
      <c r="AA40" s="8"/>
      <c r="AB40" s="8"/>
      <c r="AC40" s="8"/>
      <c r="AD40" s="8"/>
    </row>
    <row r="41" spans="1:30">
      <c r="A41" s="2402">
        <v>26</v>
      </c>
      <c r="B41" s="2400" t="s">
        <v>5651</v>
      </c>
      <c r="C41" s="2401" t="s">
        <v>5650</v>
      </c>
      <c r="D41" s="2399" t="s">
        <v>5649</v>
      </c>
      <c r="E41" s="2403"/>
      <c r="F41" s="2402">
        <v>350</v>
      </c>
      <c r="G41" s="2400" t="s">
        <v>5648</v>
      </c>
      <c r="H41" s="2401" t="s">
        <v>5647</v>
      </c>
      <c r="I41" s="2399" t="s">
        <v>5646</v>
      </c>
      <c r="J41" s="2403"/>
      <c r="K41" s="2402">
        <v>674</v>
      </c>
      <c r="L41" s="2400" t="s">
        <v>5645</v>
      </c>
      <c r="M41" s="2401" t="s">
        <v>5644</v>
      </c>
      <c r="N41" s="2399" t="s">
        <v>5643</v>
      </c>
      <c r="O41" s="2403"/>
      <c r="P41" s="2402">
        <v>998</v>
      </c>
      <c r="Q41" s="2400" t="s">
        <v>5642</v>
      </c>
      <c r="R41" s="2401" t="s">
        <v>5641</v>
      </c>
      <c r="T41" s="8"/>
      <c r="U41" s="8"/>
      <c r="V41" s="8"/>
      <c r="W41" s="8"/>
      <c r="X41" s="8"/>
      <c r="Y41" s="8"/>
      <c r="Z41" s="8"/>
      <c r="AA41" s="8"/>
      <c r="AB41" s="8"/>
      <c r="AC41" s="8"/>
      <c r="AD41" s="8"/>
    </row>
    <row r="42" spans="1:30">
      <c r="A42" s="2402">
        <v>27</v>
      </c>
      <c r="B42" s="2400" t="s">
        <v>5640</v>
      </c>
      <c r="C42" s="2401" t="s">
        <v>5639</v>
      </c>
      <c r="D42" s="2399" t="s">
        <v>5638</v>
      </c>
      <c r="E42" s="2403"/>
      <c r="F42" s="2402">
        <v>351</v>
      </c>
      <c r="G42" s="2400" t="s">
        <v>5637</v>
      </c>
      <c r="H42" s="2401" t="s">
        <v>5636</v>
      </c>
      <c r="I42" s="2399" t="s">
        <v>5635</v>
      </c>
      <c r="J42" s="2403"/>
      <c r="K42" s="2402">
        <v>675</v>
      </c>
      <c r="L42" s="2400" t="s">
        <v>5634</v>
      </c>
      <c r="M42" s="2401" t="s">
        <v>5633</v>
      </c>
      <c r="N42" s="2399" t="s">
        <v>5632</v>
      </c>
      <c r="O42" s="2403"/>
      <c r="P42" s="2402">
        <v>999</v>
      </c>
      <c r="Q42" s="2400" t="s">
        <v>5631</v>
      </c>
      <c r="R42" s="2401" t="s">
        <v>5630</v>
      </c>
      <c r="S42" s="2399" t="s">
        <v>5629</v>
      </c>
      <c r="T42" s="8"/>
      <c r="U42" s="8"/>
      <c r="V42" s="8"/>
      <c r="W42" s="8"/>
      <c r="X42" s="8"/>
      <c r="Y42" s="8"/>
      <c r="Z42" s="8"/>
      <c r="AA42" s="8"/>
      <c r="AB42" s="8"/>
      <c r="AC42" s="8"/>
      <c r="AD42" s="8"/>
    </row>
    <row r="43" spans="1:30">
      <c r="A43" s="2402">
        <v>28</v>
      </c>
      <c r="B43" s="2400" t="s">
        <v>5628</v>
      </c>
      <c r="C43" s="2401" t="s">
        <v>5627</v>
      </c>
      <c r="D43" s="2399" t="s">
        <v>5626</v>
      </c>
      <c r="E43" s="2403"/>
      <c r="F43" s="2402">
        <v>352</v>
      </c>
      <c r="G43" s="2400" t="s">
        <v>5625</v>
      </c>
      <c r="H43" s="2401" t="s">
        <v>5624</v>
      </c>
      <c r="I43" s="2399" t="s">
        <v>5623</v>
      </c>
      <c r="J43" s="2403"/>
      <c r="K43" s="2402">
        <v>676</v>
      </c>
      <c r="L43" s="2400" t="s">
        <v>5622</v>
      </c>
      <c r="M43" s="2401" t="s">
        <v>5621</v>
      </c>
      <c r="N43" s="2399" t="s">
        <v>5620</v>
      </c>
      <c r="O43" s="2403"/>
      <c r="P43" s="2402">
        <v>1000</v>
      </c>
      <c r="Q43" s="2400" t="s">
        <v>5619</v>
      </c>
      <c r="R43" s="2401" t="s">
        <v>5618</v>
      </c>
      <c r="S43" s="2399" t="s">
        <v>5617</v>
      </c>
      <c r="T43" s="8"/>
      <c r="U43" s="8"/>
      <c r="V43" s="8"/>
      <c r="W43" s="8"/>
      <c r="X43" s="8"/>
      <c r="Y43" s="8"/>
      <c r="Z43" s="8"/>
      <c r="AA43" s="8"/>
      <c r="AB43" s="8"/>
      <c r="AC43" s="8"/>
      <c r="AD43" s="8"/>
    </row>
    <row r="44" spans="1:30">
      <c r="A44" s="2402">
        <v>29</v>
      </c>
      <c r="B44" s="2400" t="s">
        <v>5616</v>
      </c>
      <c r="C44" s="2401" t="s">
        <v>5615</v>
      </c>
      <c r="D44" s="2399" t="s">
        <v>5614</v>
      </c>
      <c r="E44" s="2403"/>
      <c r="F44" s="2402">
        <v>353</v>
      </c>
      <c r="G44" s="2400" t="s">
        <v>5613</v>
      </c>
      <c r="H44" s="2401" t="s">
        <v>5612</v>
      </c>
      <c r="I44" s="2399" t="s">
        <v>5611</v>
      </c>
      <c r="J44" s="2403"/>
      <c r="K44" s="2402">
        <v>677</v>
      </c>
      <c r="L44" s="2400" t="s">
        <v>5610</v>
      </c>
      <c r="M44" s="2401" t="s">
        <v>5609</v>
      </c>
      <c r="N44" s="2399" t="s">
        <v>5608</v>
      </c>
      <c r="O44" s="2403"/>
      <c r="P44" s="2402">
        <v>1001</v>
      </c>
      <c r="Q44" s="2400" t="s">
        <v>5607</v>
      </c>
      <c r="R44" s="2401" t="s">
        <v>5606</v>
      </c>
      <c r="S44" s="2399" t="s">
        <v>5605</v>
      </c>
      <c r="T44" s="8"/>
      <c r="U44" s="8"/>
      <c r="V44" s="8"/>
      <c r="W44" s="8"/>
      <c r="X44" s="8"/>
      <c r="Y44" s="8"/>
      <c r="Z44" s="8"/>
      <c r="AA44" s="8"/>
      <c r="AB44" s="8"/>
      <c r="AC44" s="8"/>
      <c r="AD44" s="8"/>
    </row>
    <row r="45" spans="1:30">
      <c r="A45" s="2402">
        <v>30</v>
      </c>
      <c r="B45" s="2400">
        <v>2328</v>
      </c>
      <c r="C45" s="2401" t="s">
        <v>5604</v>
      </c>
      <c r="D45" s="2399" t="s">
        <v>5603</v>
      </c>
      <c r="E45" s="2403"/>
      <c r="F45" s="2402">
        <v>354</v>
      </c>
      <c r="G45" s="2400" t="s">
        <v>5602</v>
      </c>
      <c r="H45" s="2401" t="s">
        <v>5601</v>
      </c>
      <c r="I45" s="2399" t="s">
        <v>5600</v>
      </c>
      <c r="J45" s="2403"/>
      <c r="K45" s="2402">
        <v>678</v>
      </c>
      <c r="L45" s="2400" t="s">
        <v>5599</v>
      </c>
      <c r="M45" s="2401" t="s">
        <v>5598</v>
      </c>
      <c r="N45" s="2399" t="s">
        <v>5597</v>
      </c>
      <c r="O45" s="2403"/>
      <c r="P45" s="2402">
        <v>1002</v>
      </c>
      <c r="Q45" s="2400" t="s">
        <v>5596</v>
      </c>
      <c r="R45" s="2401" t="s">
        <v>5595</v>
      </c>
      <c r="S45" s="2399" t="s">
        <v>5594</v>
      </c>
      <c r="T45" s="8"/>
      <c r="U45" s="8"/>
      <c r="V45" s="8"/>
      <c r="W45" s="8"/>
      <c r="X45" s="8"/>
      <c r="Y45" s="8"/>
      <c r="Z45" s="8"/>
      <c r="AA45" s="8"/>
      <c r="AB45" s="8"/>
      <c r="AC45" s="8"/>
      <c r="AD45" s="8"/>
    </row>
    <row r="46" spans="1:30">
      <c r="A46" s="2402">
        <v>31</v>
      </c>
      <c r="B46" s="2400">
        <v>2935</v>
      </c>
      <c r="C46" s="2401" t="s">
        <v>5593</v>
      </c>
      <c r="D46" s="2399" t="s">
        <v>5592</v>
      </c>
      <c r="E46" s="2403"/>
      <c r="F46" s="2402">
        <v>355</v>
      </c>
      <c r="G46" s="2400" t="s">
        <v>5591</v>
      </c>
      <c r="H46" s="2401" t="s">
        <v>5590</v>
      </c>
      <c r="I46" s="2399" t="s">
        <v>5589</v>
      </c>
      <c r="J46" s="2403"/>
      <c r="K46" s="2402">
        <v>679</v>
      </c>
      <c r="L46" s="2400" t="s">
        <v>5588</v>
      </c>
      <c r="M46" s="2401" t="s">
        <v>5587</v>
      </c>
      <c r="N46" s="2399" t="s">
        <v>5586</v>
      </c>
      <c r="O46" s="2403"/>
      <c r="P46" s="2402">
        <v>1003</v>
      </c>
      <c r="Q46" s="2400" t="s">
        <v>5585</v>
      </c>
      <c r="R46" s="2401" t="s">
        <v>5584</v>
      </c>
      <c r="S46" s="2399" t="s">
        <v>5583</v>
      </c>
      <c r="T46" s="8"/>
      <c r="U46" s="8"/>
      <c r="V46" s="8"/>
      <c r="W46" s="8"/>
      <c r="X46" s="8"/>
      <c r="Y46" s="8"/>
      <c r="Z46" s="8"/>
      <c r="AA46" s="8"/>
      <c r="AB46" s="8"/>
      <c r="AC46" s="8"/>
      <c r="AD46" s="8"/>
    </row>
    <row r="47" spans="1:30">
      <c r="A47" s="2402">
        <v>32</v>
      </c>
      <c r="B47" s="2400">
        <v>2934</v>
      </c>
      <c r="C47" s="2401" t="s">
        <v>5582</v>
      </c>
      <c r="D47" s="2399" t="s">
        <v>5581</v>
      </c>
      <c r="E47" s="2403"/>
      <c r="F47" s="2402">
        <v>356</v>
      </c>
      <c r="G47" s="2400" t="s">
        <v>5580</v>
      </c>
      <c r="H47" s="2401" t="s">
        <v>5579</v>
      </c>
      <c r="I47" s="2399" t="s">
        <v>5578</v>
      </c>
      <c r="J47" s="2403"/>
      <c r="K47" s="2402">
        <v>680</v>
      </c>
      <c r="L47" s="2400" t="s">
        <v>5577</v>
      </c>
      <c r="M47" s="2401" t="s">
        <v>5576</v>
      </c>
      <c r="N47" s="2399" t="s">
        <v>5575</v>
      </c>
      <c r="O47" s="2403"/>
      <c r="P47" s="2402">
        <v>1004</v>
      </c>
      <c r="Q47" s="2400" t="s">
        <v>5574</v>
      </c>
      <c r="R47" s="2401" t="s">
        <v>5573</v>
      </c>
      <c r="S47" s="2399" t="s">
        <v>5572</v>
      </c>
      <c r="T47" s="8"/>
      <c r="U47" s="8"/>
      <c r="V47" s="8"/>
      <c r="W47" s="8"/>
      <c r="X47" s="8"/>
      <c r="Y47" s="8"/>
      <c r="Z47" s="8"/>
      <c r="AA47" s="8"/>
      <c r="AB47" s="8"/>
      <c r="AC47" s="8"/>
      <c r="AD47" s="8"/>
    </row>
    <row r="48" spans="1:30">
      <c r="A48" s="2402">
        <v>33</v>
      </c>
      <c r="B48" s="2400" t="s">
        <v>5571</v>
      </c>
      <c r="C48" s="2401" t="s">
        <v>5570</v>
      </c>
      <c r="D48" s="2399" t="s">
        <v>5569</v>
      </c>
      <c r="E48" s="2403"/>
      <c r="F48" s="2402">
        <v>357</v>
      </c>
      <c r="G48" s="2400" t="s">
        <v>5568</v>
      </c>
      <c r="H48" s="2401" t="s">
        <v>5567</v>
      </c>
      <c r="I48" s="2399" t="s">
        <v>5566</v>
      </c>
      <c r="J48" s="2403"/>
      <c r="K48" s="2402">
        <v>681</v>
      </c>
      <c r="L48" s="2400" t="s">
        <v>5565</v>
      </c>
      <c r="M48" s="2401" t="s">
        <v>5564</v>
      </c>
      <c r="N48" s="2399" t="s">
        <v>5563</v>
      </c>
      <c r="O48" s="2403"/>
      <c r="P48" s="2402">
        <v>1005</v>
      </c>
      <c r="Q48" s="2400" t="s">
        <v>5562</v>
      </c>
      <c r="R48" s="2401" t="s">
        <v>5561</v>
      </c>
      <c r="S48" s="2399" t="s">
        <v>5560</v>
      </c>
      <c r="T48" s="8"/>
      <c r="U48" s="8"/>
      <c r="V48" s="8"/>
      <c r="W48" s="8"/>
      <c r="X48" s="8"/>
      <c r="Y48" s="8"/>
      <c r="Z48" s="8"/>
      <c r="AA48" s="8"/>
      <c r="AB48" s="8"/>
      <c r="AC48" s="8"/>
      <c r="AD48" s="8"/>
    </row>
    <row r="49" spans="1:30">
      <c r="A49" s="2402">
        <v>34</v>
      </c>
      <c r="B49" s="2400" t="s">
        <v>5559</v>
      </c>
      <c r="C49" s="2401" t="s">
        <v>5558</v>
      </c>
      <c r="D49" s="2399" t="s">
        <v>5557</v>
      </c>
      <c r="E49" s="2403"/>
      <c r="F49" s="2402">
        <v>358</v>
      </c>
      <c r="G49" s="2400" t="s">
        <v>5556</v>
      </c>
      <c r="H49" s="2401" t="s">
        <v>5555</v>
      </c>
      <c r="I49" s="2399" t="s">
        <v>5554</v>
      </c>
      <c r="J49" s="2403"/>
      <c r="K49" s="2402">
        <v>682</v>
      </c>
      <c r="L49" s="2400" t="s">
        <v>5553</v>
      </c>
      <c r="M49" s="2401" t="s">
        <v>5552</v>
      </c>
      <c r="N49" s="2399" t="s">
        <v>5551</v>
      </c>
      <c r="O49" s="2403"/>
      <c r="P49" s="2402">
        <v>1006</v>
      </c>
      <c r="Q49" s="2400" t="s">
        <v>5550</v>
      </c>
      <c r="R49" s="2401" t="s">
        <v>5549</v>
      </c>
      <c r="S49" s="2399" t="s">
        <v>5548</v>
      </c>
      <c r="T49" s="8"/>
      <c r="U49" s="8"/>
      <c r="V49" s="8"/>
      <c r="W49" s="8"/>
      <c r="X49" s="8"/>
      <c r="Y49" s="8"/>
      <c r="Z49" s="8"/>
      <c r="AA49" s="8"/>
      <c r="AB49" s="8"/>
      <c r="AC49" s="8"/>
      <c r="AD49" s="8"/>
    </row>
    <row r="50" spans="1:30">
      <c r="A50" s="2402">
        <v>35</v>
      </c>
      <c r="B50" s="2400" t="s">
        <v>5547</v>
      </c>
      <c r="C50" s="2401" t="s">
        <v>5546</v>
      </c>
      <c r="D50" s="2399" t="s">
        <v>5545</v>
      </c>
      <c r="E50" s="2403"/>
      <c r="F50" s="2402">
        <v>359</v>
      </c>
      <c r="G50" s="2400" t="s">
        <v>5544</v>
      </c>
      <c r="H50" s="2401" t="s">
        <v>5543</v>
      </c>
      <c r="I50" s="2399" t="s">
        <v>5469</v>
      </c>
      <c r="J50" s="2403"/>
      <c r="K50" s="2402">
        <v>683</v>
      </c>
      <c r="L50" s="2400" t="s">
        <v>5542</v>
      </c>
      <c r="M50" s="2401" t="s">
        <v>5541</v>
      </c>
      <c r="N50" s="2399" t="s">
        <v>5540</v>
      </c>
      <c r="O50" s="2403"/>
      <c r="P50" s="2402">
        <v>1007</v>
      </c>
      <c r="Q50" s="2400" t="s">
        <v>5539</v>
      </c>
      <c r="R50" s="2401" t="s">
        <v>5538</v>
      </c>
      <c r="S50" s="2399" t="s">
        <v>5537</v>
      </c>
      <c r="T50" s="8"/>
      <c r="U50" s="8"/>
      <c r="V50" s="8"/>
      <c r="W50" s="8"/>
      <c r="X50" s="8"/>
      <c r="Y50" s="8"/>
      <c r="Z50" s="8"/>
      <c r="AA50" s="8"/>
      <c r="AB50" s="8"/>
      <c r="AC50" s="8"/>
      <c r="AD50" s="8"/>
    </row>
    <row r="51" spans="1:30">
      <c r="A51" s="2402">
        <v>36</v>
      </c>
      <c r="B51" s="2400" t="s">
        <v>5536</v>
      </c>
      <c r="C51" s="2401" t="s">
        <v>5535</v>
      </c>
      <c r="D51" s="2399" t="s">
        <v>5534</v>
      </c>
      <c r="E51" s="2403"/>
      <c r="F51" s="2402">
        <v>360</v>
      </c>
      <c r="G51" s="2400" t="s">
        <v>5533</v>
      </c>
      <c r="H51" s="2401" t="s">
        <v>5532</v>
      </c>
      <c r="I51" s="2399" t="s">
        <v>5531</v>
      </c>
      <c r="J51" s="2403"/>
      <c r="K51" s="2402">
        <v>684</v>
      </c>
      <c r="L51" s="2400" t="s">
        <v>5530</v>
      </c>
      <c r="M51" s="2401" t="s">
        <v>5529</v>
      </c>
      <c r="N51" s="2399" t="s">
        <v>5528</v>
      </c>
      <c r="O51" s="2403"/>
      <c r="P51" s="2402">
        <v>1008</v>
      </c>
      <c r="Q51" s="2400" t="s">
        <v>5527</v>
      </c>
      <c r="R51" s="2401" t="s">
        <v>5526</v>
      </c>
      <c r="S51" s="2399" t="s">
        <v>5525</v>
      </c>
      <c r="T51" s="8"/>
      <c r="U51" s="8"/>
      <c r="V51" s="8"/>
      <c r="W51" s="8"/>
      <c r="X51" s="8"/>
      <c r="Y51" s="8"/>
      <c r="Z51" s="8"/>
      <c r="AA51" s="8"/>
      <c r="AB51" s="8"/>
      <c r="AC51" s="8"/>
      <c r="AD51" s="8"/>
    </row>
    <row r="52" spans="1:30">
      <c r="A52" s="2402">
        <v>37</v>
      </c>
      <c r="B52" s="2400" t="s">
        <v>5524</v>
      </c>
      <c r="C52" s="2401" t="s">
        <v>5523</v>
      </c>
      <c r="D52" s="2399" t="s">
        <v>5522</v>
      </c>
      <c r="E52" s="2403"/>
      <c r="F52" s="2402">
        <v>361</v>
      </c>
      <c r="G52" s="2400" t="s">
        <v>5521</v>
      </c>
      <c r="H52" s="2401" t="s">
        <v>5520</v>
      </c>
      <c r="I52" s="2399" t="s">
        <v>5519</v>
      </c>
      <c r="J52" s="2403"/>
      <c r="K52" s="2402">
        <v>685</v>
      </c>
      <c r="L52" s="2400" t="s">
        <v>5518</v>
      </c>
      <c r="M52" s="2401" t="s">
        <v>5517</v>
      </c>
      <c r="N52" s="2399" t="s">
        <v>5516</v>
      </c>
      <c r="O52" s="2403"/>
      <c r="P52" s="2402">
        <v>1009</v>
      </c>
      <c r="Q52" s="2400" t="s">
        <v>5515</v>
      </c>
      <c r="R52" s="2401" t="s">
        <v>5514</v>
      </c>
      <c r="S52" s="2399" t="s">
        <v>5513</v>
      </c>
      <c r="T52" s="8"/>
      <c r="U52" s="8"/>
      <c r="V52" s="8"/>
      <c r="W52" s="8"/>
      <c r="X52" s="8"/>
      <c r="Y52" s="8"/>
      <c r="Z52" s="8"/>
      <c r="AA52" s="8"/>
      <c r="AB52" s="8"/>
      <c r="AC52" s="8"/>
      <c r="AD52" s="8"/>
    </row>
    <row r="53" spans="1:30">
      <c r="A53" s="2402">
        <v>38</v>
      </c>
      <c r="B53" s="2400" t="s">
        <v>5512</v>
      </c>
      <c r="C53" s="2401" t="s">
        <v>5511</v>
      </c>
      <c r="D53" s="2399" t="s">
        <v>5510</v>
      </c>
      <c r="E53" s="2403"/>
      <c r="F53" s="2402">
        <v>362</v>
      </c>
      <c r="G53" s="2400" t="s">
        <v>5509</v>
      </c>
      <c r="H53" s="2401" t="s">
        <v>5508</v>
      </c>
      <c r="I53" s="2399" t="s">
        <v>5507</v>
      </c>
      <c r="J53" s="2403"/>
      <c r="K53" s="2402">
        <v>686</v>
      </c>
      <c r="L53" s="2400" t="s">
        <v>5506</v>
      </c>
      <c r="M53" s="2401" t="s">
        <v>5505</v>
      </c>
      <c r="N53" s="2399" t="s">
        <v>5504</v>
      </c>
      <c r="O53" s="2403"/>
      <c r="P53" s="2402">
        <v>1010</v>
      </c>
      <c r="Q53" s="2400" t="s">
        <v>5503</v>
      </c>
      <c r="R53" s="2401" t="s">
        <v>5502</v>
      </c>
      <c r="S53" s="2399" t="s">
        <v>5501</v>
      </c>
      <c r="T53" s="8"/>
      <c r="U53" s="8"/>
      <c r="V53" s="8"/>
      <c r="W53" s="8"/>
      <c r="X53" s="8"/>
      <c r="Y53" s="8"/>
      <c r="Z53" s="8"/>
      <c r="AA53" s="8"/>
      <c r="AB53" s="8"/>
      <c r="AC53" s="8"/>
      <c r="AD53" s="8"/>
    </row>
    <row r="54" spans="1:30">
      <c r="A54" s="2402">
        <v>39</v>
      </c>
      <c r="B54" s="2400" t="s">
        <v>5500</v>
      </c>
      <c r="C54" s="2401" t="s">
        <v>5499</v>
      </c>
      <c r="D54" s="2399" t="s">
        <v>5498</v>
      </c>
      <c r="E54" s="2403"/>
      <c r="F54" s="2402">
        <v>363</v>
      </c>
      <c r="G54" s="2400" t="s">
        <v>5497</v>
      </c>
      <c r="H54" s="2401" t="s">
        <v>5496</v>
      </c>
      <c r="I54" s="2399" t="s">
        <v>5495</v>
      </c>
      <c r="J54" s="2403"/>
      <c r="K54" s="2402">
        <v>687</v>
      </c>
      <c r="L54" s="2400" t="s">
        <v>5494</v>
      </c>
      <c r="M54" s="2401" t="s">
        <v>5493</v>
      </c>
      <c r="N54" s="2399" t="s">
        <v>5492</v>
      </c>
      <c r="O54" s="2403"/>
      <c r="P54" s="2402">
        <v>1011</v>
      </c>
      <c r="Q54" s="2400" t="s">
        <v>5491</v>
      </c>
      <c r="R54" s="2401" t="s">
        <v>5490</v>
      </c>
      <c r="S54" s="2399" t="s">
        <v>5489</v>
      </c>
      <c r="T54" s="8"/>
      <c r="U54" s="8"/>
      <c r="V54" s="8"/>
      <c r="W54" s="8"/>
      <c r="X54" s="8"/>
      <c r="Y54" s="8"/>
      <c r="Z54" s="8"/>
      <c r="AA54" s="8"/>
      <c r="AB54" s="8"/>
      <c r="AC54" s="8"/>
      <c r="AD54" s="8"/>
    </row>
    <row r="55" spans="1:30">
      <c r="A55" s="2402">
        <v>40</v>
      </c>
      <c r="B55" s="2400" t="s">
        <v>5488</v>
      </c>
      <c r="C55" s="2401" t="s">
        <v>5487</v>
      </c>
      <c r="D55" s="2399" t="s">
        <v>5486</v>
      </c>
      <c r="E55" s="2403"/>
      <c r="F55" s="2402">
        <v>364</v>
      </c>
      <c r="G55" s="2400" t="s">
        <v>5485</v>
      </c>
      <c r="H55" s="2401" t="s">
        <v>5484</v>
      </c>
      <c r="I55" s="2399" t="s">
        <v>5483</v>
      </c>
      <c r="J55" s="2403"/>
      <c r="K55" s="2402">
        <v>688</v>
      </c>
      <c r="L55" s="2400" t="s">
        <v>5482</v>
      </c>
      <c r="M55" s="2401" t="s">
        <v>5481</v>
      </c>
      <c r="N55" s="2399" t="s">
        <v>5480</v>
      </c>
      <c r="O55" s="2403"/>
      <c r="P55" s="2402">
        <v>1012</v>
      </c>
      <c r="Q55" s="2400" t="s">
        <v>5479</v>
      </c>
      <c r="R55" s="2401" t="s">
        <v>5478</v>
      </c>
      <c r="S55" s="2399" t="s">
        <v>5477</v>
      </c>
      <c r="T55" s="8"/>
      <c r="U55" s="8"/>
      <c r="V55" s="8"/>
      <c r="W55" s="8"/>
      <c r="X55" s="8"/>
      <c r="Y55" s="8"/>
      <c r="Z55" s="8"/>
      <c r="AA55" s="8"/>
      <c r="AB55" s="8"/>
      <c r="AC55" s="8"/>
      <c r="AD55" s="8"/>
    </row>
    <row r="56" spans="1:30">
      <c r="A56" s="2402">
        <v>41</v>
      </c>
      <c r="B56" s="2400">
        <v>2197</v>
      </c>
      <c r="C56" s="2401" t="s">
        <v>5476</v>
      </c>
      <c r="D56" s="2399" t="s">
        <v>5475</v>
      </c>
      <c r="E56" s="2403"/>
      <c r="F56" s="2402">
        <v>365</v>
      </c>
      <c r="G56" s="2400" t="s">
        <v>5474</v>
      </c>
      <c r="H56" s="2401" t="s">
        <v>5473</v>
      </c>
      <c r="I56" s="2399" t="s">
        <v>5472</v>
      </c>
      <c r="J56" s="2403"/>
      <c r="K56" s="2402">
        <v>689</v>
      </c>
      <c r="L56" s="2400" t="s">
        <v>5471</v>
      </c>
      <c r="M56" s="2401" t="s">
        <v>5470</v>
      </c>
      <c r="N56" s="2399" t="s">
        <v>5469</v>
      </c>
      <c r="O56" s="2403"/>
      <c r="P56" s="2402">
        <v>1013</v>
      </c>
      <c r="Q56" s="2400" t="s">
        <v>5468</v>
      </c>
      <c r="R56" s="2401" t="s">
        <v>5467</v>
      </c>
      <c r="S56" s="2399" t="s">
        <v>5466</v>
      </c>
      <c r="T56" s="8"/>
      <c r="U56" s="8"/>
      <c r="V56" s="8"/>
      <c r="W56" s="8"/>
      <c r="X56" s="8"/>
      <c r="Y56" s="8"/>
      <c r="Z56" s="8"/>
      <c r="AA56" s="8"/>
      <c r="AB56" s="8"/>
      <c r="AC56" s="8"/>
      <c r="AD56" s="8"/>
    </row>
    <row r="57" spans="1:30">
      <c r="A57" s="2402">
        <v>42</v>
      </c>
      <c r="B57" s="2400" t="s">
        <v>5465</v>
      </c>
      <c r="C57" s="2401" t="s">
        <v>5464</v>
      </c>
      <c r="D57" s="2399" t="s">
        <v>5463</v>
      </c>
      <c r="E57" s="2403"/>
      <c r="F57" s="2402">
        <v>366</v>
      </c>
      <c r="G57" s="2400" t="s">
        <v>5462</v>
      </c>
      <c r="H57" s="2401" t="s">
        <v>5461</v>
      </c>
      <c r="I57" s="2399" t="s">
        <v>5460</v>
      </c>
      <c r="J57" s="2403"/>
      <c r="K57" s="2402">
        <v>690</v>
      </c>
      <c r="L57" s="2400" t="s">
        <v>5459</v>
      </c>
      <c r="M57" s="2401" t="s">
        <v>5458</v>
      </c>
      <c r="N57" s="2399" t="s">
        <v>5457</v>
      </c>
      <c r="O57" s="2403"/>
      <c r="P57" s="2402">
        <v>1014</v>
      </c>
      <c r="Q57" s="2400" t="s">
        <v>5456</v>
      </c>
      <c r="R57" s="2401" t="s">
        <v>5455</v>
      </c>
      <c r="S57" s="2399" t="s">
        <v>5454</v>
      </c>
      <c r="T57" s="8"/>
      <c r="U57" s="8"/>
      <c r="V57" s="8"/>
      <c r="W57" s="8"/>
      <c r="X57" s="8"/>
      <c r="Y57" s="8"/>
      <c r="Z57" s="8"/>
      <c r="AA57" s="8"/>
      <c r="AB57" s="8"/>
      <c r="AC57" s="8"/>
      <c r="AD57" s="8"/>
    </row>
    <row r="58" spans="1:30">
      <c r="A58" s="2402">
        <v>43</v>
      </c>
      <c r="B58" s="2400" t="s">
        <v>5453</v>
      </c>
      <c r="C58" s="2401" t="s">
        <v>5452</v>
      </c>
      <c r="D58" s="2399" t="s">
        <v>5451</v>
      </c>
      <c r="E58" s="2403"/>
      <c r="F58" s="2402">
        <v>367</v>
      </c>
      <c r="G58" s="2400" t="s">
        <v>5450</v>
      </c>
      <c r="H58" s="2401" t="s">
        <v>5449</v>
      </c>
      <c r="I58" s="2399" t="s">
        <v>5448</v>
      </c>
      <c r="J58" s="2403"/>
      <c r="K58" s="2402">
        <v>691</v>
      </c>
      <c r="L58" s="2400" t="s">
        <v>5447</v>
      </c>
      <c r="M58" s="2401" t="s">
        <v>5446</v>
      </c>
      <c r="N58" s="2399" t="s">
        <v>5445</v>
      </c>
      <c r="O58" s="2403"/>
      <c r="P58" s="2402">
        <v>1015</v>
      </c>
      <c r="Q58" s="2400" t="s">
        <v>5444</v>
      </c>
      <c r="R58" s="2401" t="s">
        <v>5443</v>
      </c>
      <c r="S58" s="2399" t="s">
        <v>5442</v>
      </c>
      <c r="T58" s="8"/>
      <c r="U58" s="8"/>
      <c r="V58" s="8"/>
      <c r="W58" s="8"/>
      <c r="X58" s="8"/>
      <c r="Y58" s="8"/>
      <c r="Z58" s="8"/>
      <c r="AA58" s="8"/>
      <c r="AB58" s="8"/>
      <c r="AC58" s="8"/>
      <c r="AD58" s="8"/>
    </row>
    <row r="59" spans="1:30">
      <c r="A59" s="2402">
        <v>44</v>
      </c>
      <c r="B59" s="2400">
        <v>2198</v>
      </c>
      <c r="C59" s="2401" t="s">
        <v>5441</v>
      </c>
      <c r="D59" s="2399" t="s">
        <v>5440</v>
      </c>
      <c r="E59" s="2403"/>
      <c r="F59" s="2402">
        <v>368</v>
      </c>
      <c r="G59" s="2400" t="s">
        <v>5439</v>
      </c>
      <c r="H59" s="2401" t="s">
        <v>5438</v>
      </c>
      <c r="I59" s="2399" t="s">
        <v>5437</v>
      </c>
      <c r="J59" s="2403"/>
      <c r="K59" s="2402">
        <v>692</v>
      </c>
      <c r="L59" s="2400" t="s">
        <v>5436</v>
      </c>
      <c r="M59" s="2401" t="s">
        <v>5435</v>
      </c>
      <c r="N59" s="2399" t="s">
        <v>5434</v>
      </c>
      <c r="O59" s="2403"/>
      <c r="P59" s="2402">
        <v>1016</v>
      </c>
      <c r="Q59" s="2400" t="s">
        <v>5433</v>
      </c>
      <c r="R59" s="2401" t="s">
        <v>5432</v>
      </c>
      <c r="S59" s="2399" t="s">
        <v>5431</v>
      </c>
      <c r="T59" s="8"/>
      <c r="U59" s="8"/>
      <c r="V59" s="8"/>
      <c r="W59" s="8"/>
      <c r="X59" s="8"/>
      <c r="Y59" s="8"/>
      <c r="Z59" s="8"/>
      <c r="AA59" s="8"/>
      <c r="AB59" s="8"/>
      <c r="AC59" s="8"/>
      <c r="AD59" s="8"/>
    </row>
    <row r="60" spans="1:30">
      <c r="A60" s="2402">
        <v>45</v>
      </c>
      <c r="B60" s="2400">
        <v>2199</v>
      </c>
      <c r="C60" s="2401" t="s">
        <v>5430</v>
      </c>
      <c r="D60" s="2399" t="s">
        <v>5429</v>
      </c>
      <c r="E60" s="2403"/>
      <c r="F60" s="2402">
        <v>369</v>
      </c>
      <c r="G60" s="2400" t="s">
        <v>5428</v>
      </c>
      <c r="H60" s="2401" t="s">
        <v>5427</v>
      </c>
      <c r="I60" s="2399" t="s">
        <v>5426</v>
      </c>
      <c r="J60" s="2403"/>
      <c r="K60" s="2402">
        <v>693</v>
      </c>
      <c r="L60" s="2400" t="s">
        <v>5425</v>
      </c>
      <c r="M60" s="2401" t="s">
        <v>5424</v>
      </c>
      <c r="N60" s="2399" t="s">
        <v>5423</v>
      </c>
      <c r="O60" s="2403"/>
      <c r="P60" s="2402">
        <v>1017</v>
      </c>
      <c r="Q60" s="2400" t="s">
        <v>5422</v>
      </c>
      <c r="R60" s="2401" t="s">
        <v>5421</v>
      </c>
      <c r="S60" s="2399" t="s">
        <v>5420</v>
      </c>
      <c r="T60" s="8"/>
      <c r="U60" s="8"/>
      <c r="V60" s="8"/>
      <c r="W60" s="8"/>
      <c r="X60" s="8"/>
      <c r="Y60" s="8"/>
      <c r="Z60" s="8"/>
      <c r="AA60" s="8"/>
      <c r="AB60" s="8"/>
      <c r="AC60" s="8"/>
      <c r="AD60" s="8"/>
    </row>
    <row r="61" spans="1:30">
      <c r="A61" s="2402">
        <v>46</v>
      </c>
      <c r="B61" s="2400" t="s">
        <v>5419</v>
      </c>
      <c r="C61" s="2401" t="s">
        <v>5418</v>
      </c>
      <c r="D61" s="2399" t="s">
        <v>5417</v>
      </c>
      <c r="E61" s="2403"/>
      <c r="F61" s="2402">
        <v>370</v>
      </c>
      <c r="G61" s="2400" t="s">
        <v>5416</v>
      </c>
      <c r="H61" s="2401" t="s">
        <v>5415</v>
      </c>
      <c r="I61" s="2399" t="s">
        <v>5414</v>
      </c>
      <c r="J61" s="2403"/>
      <c r="K61" s="2402">
        <v>694</v>
      </c>
      <c r="L61" s="2400" t="s">
        <v>5413</v>
      </c>
      <c r="M61" s="2401" t="s">
        <v>5412</v>
      </c>
      <c r="N61" s="2399" t="s">
        <v>5411</v>
      </c>
      <c r="O61" s="2403"/>
      <c r="P61" s="2402">
        <v>1018</v>
      </c>
      <c r="Q61" s="2400" t="s">
        <v>5410</v>
      </c>
      <c r="R61" s="2401" t="s">
        <v>5409</v>
      </c>
      <c r="S61" s="2399" t="s">
        <v>5408</v>
      </c>
      <c r="T61" s="8"/>
      <c r="U61" s="8"/>
      <c r="V61" s="8"/>
      <c r="W61" s="8"/>
      <c r="X61" s="8"/>
      <c r="Y61" s="8"/>
      <c r="Z61" s="8"/>
      <c r="AA61" s="8"/>
      <c r="AB61" s="8"/>
      <c r="AC61" s="8"/>
      <c r="AD61" s="8"/>
    </row>
    <row r="62" spans="1:30">
      <c r="A62" s="2402">
        <v>47</v>
      </c>
      <c r="B62" s="2400">
        <v>2196</v>
      </c>
      <c r="C62" s="2401" t="s">
        <v>5407</v>
      </c>
      <c r="D62" s="2399" t="s">
        <v>5406</v>
      </c>
      <c r="E62" s="2403"/>
      <c r="F62" s="2402">
        <v>371</v>
      </c>
      <c r="G62" s="2400" t="s">
        <v>5405</v>
      </c>
      <c r="H62" s="2401" t="s">
        <v>5404</v>
      </c>
      <c r="I62" s="2399" t="s">
        <v>5403</v>
      </c>
      <c r="J62" s="2403"/>
      <c r="K62" s="2402">
        <v>695</v>
      </c>
      <c r="L62" s="2400" t="s">
        <v>5402</v>
      </c>
      <c r="M62" s="2401" t="s">
        <v>5401</v>
      </c>
      <c r="N62" s="2399" t="s">
        <v>5400</v>
      </c>
      <c r="O62" s="2403"/>
      <c r="P62" s="2402">
        <v>1019</v>
      </c>
      <c r="Q62" s="2400" t="s">
        <v>5399</v>
      </c>
      <c r="R62" s="2401" t="s">
        <v>5398</v>
      </c>
      <c r="S62" s="2399" t="s">
        <v>5397</v>
      </c>
      <c r="T62" s="8"/>
      <c r="U62" s="8"/>
      <c r="V62" s="8"/>
      <c r="W62" s="8"/>
      <c r="X62" s="8"/>
      <c r="Y62" s="8"/>
      <c r="Z62" s="8"/>
      <c r="AA62" s="8"/>
      <c r="AB62" s="8"/>
      <c r="AC62" s="8"/>
      <c r="AD62" s="8"/>
    </row>
    <row r="63" spans="1:30">
      <c r="A63" s="2402">
        <v>48</v>
      </c>
      <c r="B63" s="2400">
        <v>2194</v>
      </c>
      <c r="C63" s="2401" t="s">
        <v>5396</v>
      </c>
      <c r="D63" s="2399" t="s">
        <v>5395</v>
      </c>
      <c r="E63" s="2403"/>
      <c r="F63" s="2402">
        <v>372</v>
      </c>
      <c r="G63" s="2400" t="s">
        <v>5394</v>
      </c>
      <c r="H63" s="2401" t="s">
        <v>5393</v>
      </c>
      <c r="I63" s="2399" t="s">
        <v>5392</v>
      </c>
      <c r="J63" s="2403"/>
      <c r="K63" s="2402">
        <v>696</v>
      </c>
      <c r="L63" s="2400" t="s">
        <v>5391</v>
      </c>
      <c r="M63" s="2401" t="s">
        <v>5390</v>
      </c>
      <c r="N63" s="2399" t="s">
        <v>5389</v>
      </c>
      <c r="O63" s="2403"/>
      <c r="P63" s="2402">
        <v>1020</v>
      </c>
      <c r="Q63" s="2400" t="s">
        <v>5388</v>
      </c>
      <c r="R63" s="2401" t="s">
        <v>5387</v>
      </c>
      <c r="S63" s="2399" t="s">
        <v>5386</v>
      </c>
      <c r="T63" s="8"/>
      <c r="U63" s="8"/>
      <c r="V63" s="8"/>
      <c r="W63" s="8"/>
      <c r="X63" s="8"/>
      <c r="Y63" s="8"/>
      <c r="Z63" s="8"/>
      <c r="AA63" s="8"/>
      <c r="AB63" s="8"/>
      <c r="AC63" s="8"/>
      <c r="AD63" s="8"/>
    </row>
    <row r="64" spans="1:30">
      <c r="A64" s="2402">
        <v>49</v>
      </c>
      <c r="B64" s="2400">
        <v>2195</v>
      </c>
      <c r="C64" s="2401" t="s">
        <v>5385</v>
      </c>
      <c r="D64" s="2399" t="s">
        <v>5384</v>
      </c>
      <c r="E64" s="2403"/>
      <c r="F64" s="2402">
        <v>373</v>
      </c>
      <c r="G64" s="2400" t="s">
        <v>5383</v>
      </c>
      <c r="H64" s="2401" t="s">
        <v>5382</v>
      </c>
      <c r="I64" s="2399" t="s">
        <v>5381</v>
      </c>
      <c r="J64" s="2403"/>
      <c r="K64" s="2402">
        <v>697</v>
      </c>
      <c r="L64" s="2400" t="s">
        <v>5380</v>
      </c>
      <c r="M64" s="2401" t="s">
        <v>5379</v>
      </c>
      <c r="N64" s="2399" t="s">
        <v>5378</v>
      </c>
      <c r="O64" s="2403"/>
      <c r="P64" s="2402">
        <v>1021</v>
      </c>
      <c r="Q64" s="2400" t="s">
        <v>5377</v>
      </c>
      <c r="R64" s="2401" t="s">
        <v>5376</v>
      </c>
      <c r="S64" s="2399" t="s">
        <v>5375</v>
      </c>
      <c r="T64" s="8"/>
      <c r="U64" s="8"/>
      <c r="V64" s="8"/>
      <c r="W64" s="8"/>
      <c r="X64" s="8"/>
      <c r="Y64" s="8"/>
      <c r="Z64" s="8"/>
      <c r="AA64" s="8"/>
      <c r="AB64" s="8"/>
      <c r="AC64" s="8"/>
      <c r="AD64" s="8"/>
    </row>
    <row r="65" spans="1:30">
      <c r="A65" s="2402">
        <v>50</v>
      </c>
      <c r="B65" s="2400" t="s">
        <v>5374</v>
      </c>
      <c r="C65" s="2401" t="s">
        <v>2154</v>
      </c>
      <c r="D65" s="2399" t="s">
        <v>5373</v>
      </c>
      <c r="E65" s="2403"/>
      <c r="F65" s="2402">
        <v>374</v>
      </c>
      <c r="G65" s="2400" t="s">
        <v>5372</v>
      </c>
      <c r="H65" s="2401" t="s">
        <v>5371</v>
      </c>
      <c r="I65" s="2399" t="s">
        <v>5370</v>
      </c>
      <c r="J65" s="2403"/>
      <c r="K65" s="2402">
        <v>698</v>
      </c>
      <c r="L65" s="2400" t="s">
        <v>5369</v>
      </c>
      <c r="M65" s="2401" t="s">
        <v>5368</v>
      </c>
      <c r="N65" s="2399" t="s">
        <v>5367</v>
      </c>
      <c r="O65" s="2403"/>
      <c r="P65" s="2402">
        <v>1022</v>
      </c>
      <c r="Q65" s="2400" t="s">
        <v>5366</v>
      </c>
      <c r="R65" s="2401" t="s">
        <v>5365</v>
      </c>
      <c r="S65" s="2399" t="s">
        <v>5364</v>
      </c>
      <c r="T65" s="8"/>
      <c r="U65" s="8"/>
      <c r="V65" s="8"/>
      <c r="W65" s="8"/>
      <c r="X65" s="8"/>
      <c r="Y65" s="8"/>
      <c r="Z65" s="8"/>
      <c r="AA65" s="8"/>
      <c r="AB65" s="8"/>
      <c r="AC65" s="8"/>
      <c r="AD65" s="8"/>
    </row>
    <row r="66" spans="1:30">
      <c r="A66" s="2402">
        <v>51</v>
      </c>
      <c r="B66" s="2400" t="s">
        <v>5363</v>
      </c>
      <c r="C66" s="2401" t="s">
        <v>2151</v>
      </c>
      <c r="D66" s="2399" t="s">
        <v>5362</v>
      </c>
      <c r="E66" s="2403"/>
      <c r="F66" s="2402">
        <v>375</v>
      </c>
      <c r="G66" s="2400" t="s">
        <v>5361</v>
      </c>
      <c r="H66" s="2401" t="s">
        <v>5360</v>
      </c>
      <c r="I66" s="2399" t="s">
        <v>5359</v>
      </c>
      <c r="J66" s="2403"/>
      <c r="K66" s="2402">
        <v>699</v>
      </c>
      <c r="L66" s="2400" t="s">
        <v>5358</v>
      </c>
      <c r="M66" s="2401" t="s">
        <v>5357</v>
      </c>
      <c r="N66" s="2399" t="s">
        <v>5356</v>
      </c>
      <c r="O66" s="2403"/>
      <c r="P66" s="2402">
        <v>1023</v>
      </c>
      <c r="Q66" s="2400" t="s">
        <v>5355</v>
      </c>
      <c r="R66" s="2401" t="s">
        <v>5354</v>
      </c>
      <c r="S66" s="2399" t="s">
        <v>5353</v>
      </c>
      <c r="T66" s="8"/>
      <c r="U66" s="8"/>
      <c r="V66" s="8"/>
      <c r="W66" s="8"/>
      <c r="X66" s="8"/>
      <c r="Y66" s="8"/>
      <c r="Z66" s="8"/>
      <c r="AA66" s="8"/>
      <c r="AB66" s="8"/>
      <c r="AC66" s="8"/>
      <c r="AD66" s="8"/>
    </row>
    <row r="67" spans="1:30" ht="51">
      <c r="A67" s="2402">
        <v>52</v>
      </c>
      <c r="B67" s="2400">
        <v>2600</v>
      </c>
      <c r="C67" s="2401" t="s">
        <v>5352</v>
      </c>
      <c r="D67" s="2399" t="s">
        <v>5351</v>
      </c>
      <c r="E67" s="2403"/>
      <c r="F67" s="2402">
        <v>376</v>
      </c>
      <c r="G67" s="2400" t="s">
        <v>5350</v>
      </c>
      <c r="H67" s="2401" t="s">
        <v>5349</v>
      </c>
      <c r="I67" s="2399" t="s">
        <v>5348</v>
      </c>
      <c r="J67" s="2403"/>
      <c r="K67" s="2402">
        <v>700</v>
      </c>
      <c r="L67" s="2400" t="s">
        <v>5347</v>
      </c>
      <c r="M67" s="2401" t="s">
        <v>5346</v>
      </c>
      <c r="N67" s="2399" t="s">
        <v>5345</v>
      </c>
      <c r="O67" s="2403"/>
      <c r="P67" s="2402">
        <v>1024</v>
      </c>
      <c r="Q67" s="2400" t="s">
        <v>5344</v>
      </c>
      <c r="R67" s="2401" t="s">
        <v>5343</v>
      </c>
      <c r="S67" s="2399" t="s">
        <v>5342</v>
      </c>
      <c r="T67" s="8"/>
      <c r="U67" s="8"/>
      <c r="V67" s="8"/>
      <c r="W67" s="8"/>
      <c r="X67" s="8"/>
      <c r="Y67" s="8"/>
      <c r="Z67" s="8"/>
      <c r="AA67" s="8"/>
      <c r="AB67" s="8"/>
      <c r="AC67" s="8"/>
      <c r="AD67" s="8"/>
    </row>
    <row r="68" spans="1:30" ht="51">
      <c r="A68" s="2402">
        <v>53</v>
      </c>
      <c r="B68" s="2400">
        <v>2601</v>
      </c>
      <c r="C68" s="2401" t="s">
        <v>5341</v>
      </c>
      <c r="D68" s="2399" t="s">
        <v>5340</v>
      </c>
      <c r="E68" s="2403"/>
      <c r="F68" s="2402">
        <v>377</v>
      </c>
      <c r="G68" s="2400" t="s">
        <v>5339</v>
      </c>
      <c r="H68" s="2401" t="s">
        <v>5338</v>
      </c>
      <c r="I68" s="2399" t="s">
        <v>5337</v>
      </c>
      <c r="J68" s="2403"/>
      <c r="K68" s="2402">
        <v>701</v>
      </c>
      <c r="L68" s="2400" t="s">
        <v>5336</v>
      </c>
      <c r="M68" s="2401" t="s">
        <v>5335</v>
      </c>
      <c r="N68" s="2399" t="s">
        <v>5334</v>
      </c>
      <c r="O68" s="2403"/>
      <c r="P68" s="2402">
        <v>1025</v>
      </c>
      <c r="Q68" s="2400" t="s">
        <v>5333</v>
      </c>
      <c r="R68" s="2401" t="s">
        <v>5332</v>
      </c>
      <c r="S68" s="2399" t="s">
        <v>5331</v>
      </c>
      <c r="T68" s="8"/>
      <c r="U68" s="8"/>
      <c r="V68" s="8"/>
      <c r="W68" s="8"/>
      <c r="X68" s="8"/>
      <c r="Y68" s="8"/>
      <c r="Z68" s="8"/>
      <c r="AA68" s="8"/>
      <c r="AB68" s="8"/>
      <c r="AC68" s="8"/>
      <c r="AD68" s="8"/>
    </row>
    <row r="69" spans="1:30">
      <c r="A69" s="2402">
        <v>54</v>
      </c>
      <c r="B69" s="2400">
        <v>2602</v>
      </c>
      <c r="C69" s="2401" t="s">
        <v>5330</v>
      </c>
      <c r="D69" s="2399" t="s">
        <v>5329</v>
      </c>
      <c r="E69" s="2403"/>
      <c r="F69" s="2402">
        <v>378</v>
      </c>
      <c r="G69" s="2400" t="s">
        <v>5328</v>
      </c>
      <c r="H69" s="2401" t="s">
        <v>5327</v>
      </c>
      <c r="I69" s="2399" t="s">
        <v>5326</v>
      </c>
      <c r="J69" s="2403"/>
      <c r="K69" s="2402">
        <v>702</v>
      </c>
      <c r="L69" s="2400" t="s">
        <v>5325</v>
      </c>
      <c r="M69" s="2401" t="s">
        <v>5324</v>
      </c>
      <c r="N69" s="2399" t="s">
        <v>5323</v>
      </c>
      <c r="O69" s="2403"/>
      <c r="P69" s="2402">
        <v>1026</v>
      </c>
      <c r="Q69" s="2400" t="s">
        <v>5322</v>
      </c>
      <c r="R69" s="2401" t="s">
        <v>5321</v>
      </c>
      <c r="S69" s="2399" t="s">
        <v>5320</v>
      </c>
      <c r="T69" s="8"/>
      <c r="U69" s="8"/>
      <c r="V69" s="8"/>
      <c r="W69" s="8"/>
      <c r="X69" s="8"/>
      <c r="Y69" s="8"/>
      <c r="Z69" s="8"/>
      <c r="AA69" s="8"/>
      <c r="AB69" s="8"/>
      <c r="AC69" s="8"/>
      <c r="AD69" s="8"/>
    </row>
    <row r="70" spans="1:30">
      <c r="A70" s="2402">
        <v>55</v>
      </c>
      <c r="B70" s="2400">
        <v>2603</v>
      </c>
      <c r="C70" s="2401" t="s">
        <v>5319</v>
      </c>
      <c r="D70" s="2399" t="s">
        <v>5318</v>
      </c>
      <c r="E70" s="2403"/>
      <c r="F70" s="2402">
        <v>379</v>
      </c>
      <c r="G70" s="2400" t="s">
        <v>5317</v>
      </c>
      <c r="H70" s="2401" t="s">
        <v>5316</v>
      </c>
      <c r="I70" s="2399" t="s">
        <v>5315</v>
      </c>
      <c r="J70" s="2403"/>
      <c r="K70" s="2402">
        <v>703</v>
      </c>
      <c r="L70" s="2400" t="s">
        <v>5314</v>
      </c>
      <c r="M70" s="2401" t="s">
        <v>5313</v>
      </c>
      <c r="N70" s="2399" t="s">
        <v>5312</v>
      </c>
      <c r="O70" s="2403"/>
      <c r="P70" s="2402">
        <v>1027</v>
      </c>
      <c r="Q70" s="2400" t="s">
        <v>5311</v>
      </c>
      <c r="R70" s="2401" t="s">
        <v>5310</v>
      </c>
      <c r="S70" s="2399" t="s">
        <v>5309</v>
      </c>
      <c r="T70" s="8"/>
      <c r="U70" s="8"/>
      <c r="V70" s="8"/>
      <c r="W70" s="8"/>
      <c r="X70" s="8"/>
      <c r="Y70" s="8"/>
      <c r="Z70" s="8"/>
      <c r="AA70" s="8"/>
      <c r="AB70" s="8"/>
      <c r="AC70" s="8"/>
      <c r="AD70" s="8"/>
    </row>
    <row r="71" spans="1:30">
      <c r="A71" s="2402">
        <v>56</v>
      </c>
      <c r="B71" s="2400">
        <v>2604</v>
      </c>
      <c r="C71" s="2401" t="s">
        <v>5308</v>
      </c>
      <c r="D71" s="2399" t="s">
        <v>5307</v>
      </c>
      <c r="E71" s="2403"/>
      <c r="F71" s="2402">
        <v>380</v>
      </c>
      <c r="G71" s="2400" t="s">
        <v>5306</v>
      </c>
      <c r="H71" s="2401" t="s">
        <v>5305</v>
      </c>
      <c r="I71" s="2399" t="s">
        <v>5304</v>
      </c>
      <c r="J71" s="2403"/>
      <c r="K71" s="2402">
        <v>704</v>
      </c>
      <c r="L71" s="2400" t="s">
        <v>5303</v>
      </c>
      <c r="M71" s="2401" t="s">
        <v>5302</v>
      </c>
      <c r="N71" s="2399" t="s">
        <v>5301</v>
      </c>
      <c r="O71" s="2403"/>
      <c r="P71" s="2402">
        <v>1028</v>
      </c>
      <c r="Q71" s="2400" t="s">
        <v>5300</v>
      </c>
      <c r="R71" s="2401" t="s">
        <v>5299</v>
      </c>
      <c r="S71" s="2399" t="s">
        <v>5298</v>
      </c>
      <c r="T71" s="8"/>
      <c r="U71" s="8"/>
      <c r="V71" s="8"/>
      <c r="W71" s="8"/>
      <c r="X71" s="8"/>
      <c r="Y71" s="8"/>
      <c r="Z71" s="8"/>
      <c r="AA71" s="8"/>
      <c r="AB71" s="8"/>
      <c r="AC71" s="8"/>
      <c r="AD71" s="8"/>
    </row>
    <row r="72" spans="1:30">
      <c r="A72" s="2402">
        <v>57</v>
      </c>
      <c r="B72" s="2400" t="s">
        <v>5297</v>
      </c>
      <c r="C72" s="2401" t="s">
        <v>5296</v>
      </c>
      <c r="D72" s="2399" t="s">
        <v>5295</v>
      </c>
      <c r="E72" s="2403"/>
      <c r="F72" s="2402">
        <v>381</v>
      </c>
      <c r="G72" s="2400" t="s">
        <v>5294</v>
      </c>
      <c r="H72" s="2401" t="s">
        <v>5293</v>
      </c>
      <c r="I72" s="2399" t="s">
        <v>5292</v>
      </c>
      <c r="J72" s="2403"/>
      <c r="K72" s="2402">
        <v>705</v>
      </c>
      <c r="L72" s="2400" t="s">
        <v>5291</v>
      </c>
      <c r="M72" s="2401" t="s">
        <v>5290</v>
      </c>
      <c r="N72" s="2399" t="s">
        <v>5289</v>
      </c>
      <c r="O72" s="2403"/>
      <c r="P72" s="2402">
        <v>1029</v>
      </c>
      <c r="Q72" s="2400" t="s">
        <v>5288</v>
      </c>
      <c r="R72" s="2401" t="s">
        <v>5287</v>
      </c>
      <c r="S72" s="2399" t="s">
        <v>5286</v>
      </c>
      <c r="T72" s="8"/>
      <c r="U72" s="8"/>
      <c r="V72" s="8"/>
      <c r="W72" s="8"/>
      <c r="X72" s="8"/>
      <c r="Y72" s="8"/>
      <c r="Z72" s="8"/>
      <c r="AA72" s="8"/>
      <c r="AB72" s="8"/>
      <c r="AC72" s="8"/>
      <c r="AD72" s="8"/>
    </row>
    <row r="73" spans="1:30">
      <c r="A73" s="2402">
        <v>58</v>
      </c>
      <c r="B73" s="2400">
        <v>2611</v>
      </c>
      <c r="C73" s="2401" t="s">
        <v>5285</v>
      </c>
      <c r="D73" s="2399" t="s">
        <v>5284</v>
      </c>
      <c r="E73" s="2403"/>
      <c r="F73" s="2402">
        <v>382</v>
      </c>
      <c r="G73" s="2400" t="s">
        <v>5283</v>
      </c>
      <c r="H73" s="2401" t="s">
        <v>5282</v>
      </c>
      <c r="I73" s="2399" t="s">
        <v>5281</v>
      </c>
      <c r="J73" s="2403"/>
      <c r="K73" s="2402">
        <v>706</v>
      </c>
      <c r="L73" s="2400" t="s">
        <v>5280</v>
      </c>
      <c r="M73" s="2401" t="s">
        <v>5279</v>
      </c>
      <c r="N73" s="2399" t="s">
        <v>5278</v>
      </c>
      <c r="O73" s="2403"/>
      <c r="P73" s="2402">
        <v>1030</v>
      </c>
      <c r="Q73" s="2400" t="s">
        <v>5277</v>
      </c>
      <c r="R73" s="2401" t="s">
        <v>5276</v>
      </c>
      <c r="S73" s="2399" t="s">
        <v>5275</v>
      </c>
      <c r="T73" s="8"/>
      <c r="U73" s="8"/>
      <c r="V73" s="8"/>
      <c r="W73" s="8"/>
      <c r="X73" s="8"/>
      <c r="Y73" s="8"/>
      <c r="Z73" s="8"/>
      <c r="AA73" s="8"/>
      <c r="AB73" s="8"/>
      <c r="AC73" s="8"/>
      <c r="AD73" s="8"/>
    </row>
    <row r="74" spans="1:30">
      <c r="A74" s="2402">
        <v>59</v>
      </c>
      <c r="B74" s="2400">
        <v>2620</v>
      </c>
      <c r="C74" s="2401" t="s">
        <v>5274</v>
      </c>
      <c r="D74" s="2399" t="s">
        <v>5273</v>
      </c>
      <c r="E74" s="2403"/>
      <c r="F74" s="2402">
        <v>383</v>
      </c>
      <c r="G74" s="2400" t="s">
        <v>5272</v>
      </c>
      <c r="H74" s="2401" t="s">
        <v>5271</v>
      </c>
      <c r="I74" s="2399" t="s">
        <v>5270</v>
      </c>
      <c r="J74" s="2403"/>
      <c r="K74" s="2402">
        <v>707</v>
      </c>
      <c r="L74" s="2400" t="s">
        <v>5269</v>
      </c>
      <c r="M74" s="2401" t="s">
        <v>5268</v>
      </c>
      <c r="N74" s="2399" t="s">
        <v>5267</v>
      </c>
      <c r="O74" s="2403"/>
      <c r="P74" s="2402">
        <v>1031</v>
      </c>
      <c r="Q74" s="2400" t="s">
        <v>5266</v>
      </c>
      <c r="R74" s="2401" t="s">
        <v>5265</v>
      </c>
      <c r="T74" s="8"/>
      <c r="U74" s="8"/>
      <c r="V74" s="8"/>
      <c r="W74" s="8"/>
      <c r="X74" s="8"/>
      <c r="Y74" s="8"/>
      <c r="Z74" s="8"/>
      <c r="AA74" s="8"/>
      <c r="AB74" s="8"/>
      <c r="AC74" s="8"/>
      <c r="AD74" s="8"/>
    </row>
    <row r="75" spans="1:30">
      <c r="A75" s="2402">
        <v>60</v>
      </c>
      <c r="B75" s="2400">
        <v>2622</v>
      </c>
      <c r="C75" s="2401" t="s">
        <v>5264</v>
      </c>
      <c r="D75" s="2399" t="s">
        <v>5263</v>
      </c>
      <c r="E75" s="2403"/>
      <c r="F75" s="2402">
        <v>384</v>
      </c>
      <c r="G75" s="2400" t="s">
        <v>5262</v>
      </c>
      <c r="H75" s="2401" t="s">
        <v>5261</v>
      </c>
      <c r="I75" s="2399" t="s">
        <v>5260</v>
      </c>
      <c r="J75" s="2403"/>
      <c r="K75" s="2402">
        <v>708</v>
      </c>
      <c r="L75" s="2400" t="s">
        <v>5259</v>
      </c>
      <c r="M75" s="2401" t="s">
        <v>5258</v>
      </c>
      <c r="N75" s="2399" t="s">
        <v>5257</v>
      </c>
      <c r="O75" s="2403"/>
      <c r="P75" s="2402">
        <v>1032</v>
      </c>
      <c r="Q75" s="2400" t="s">
        <v>5256</v>
      </c>
      <c r="R75" s="2401" t="s">
        <v>5255</v>
      </c>
      <c r="S75" s="2399" t="s">
        <v>5254</v>
      </c>
      <c r="T75" s="8"/>
      <c r="U75" s="8"/>
      <c r="V75" s="8"/>
      <c r="W75" s="8"/>
      <c r="X75" s="8"/>
      <c r="Y75" s="8"/>
      <c r="Z75" s="8"/>
      <c r="AA75" s="8"/>
      <c r="AB75" s="8"/>
      <c r="AC75" s="8"/>
      <c r="AD75" s="8"/>
    </row>
    <row r="76" spans="1:30">
      <c r="A76" s="2402">
        <v>61</v>
      </c>
      <c r="B76" s="2400">
        <v>2623</v>
      </c>
      <c r="C76" s="2401" t="s">
        <v>5253</v>
      </c>
      <c r="D76" s="2399" t="s">
        <v>5252</v>
      </c>
      <c r="E76" s="2403"/>
      <c r="F76" s="2402">
        <v>385</v>
      </c>
      <c r="G76" s="2400" t="s">
        <v>5251</v>
      </c>
      <c r="H76" s="2401" t="s">
        <v>5250</v>
      </c>
      <c r="I76" s="2399" t="s">
        <v>5249</v>
      </c>
      <c r="J76" s="2403"/>
      <c r="K76" s="2402">
        <v>709</v>
      </c>
      <c r="L76" s="2400" t="s">
        <v>5248</v>
      </c>
      <c r="M76" s="2401" t="s">
        <v>5247</v>
      </c>
      <c r="N76" s="2399" t="s">
        <v>5246</v>
      </c>
      <c r="O76" s="2403"/>
      <c r="P76" s="2402">
        <v>1033</v>
      </c>
      <c r="Q76" s="2400" t="s">
        <v>5245</v>
      </c>
      <c r="R76" s="2401" t="s">
        <v>5244</v>
      </c>
      <c r="S76" s="2399" t="s">
        <v>5243</v>
      </c>
      <c r="T76" s="8"/>
      <c r="U76" s="8"/>
      <c r="V76" s="8"/>
      <c r="W76" s="8"/>
      <c r="X76" s="8"/>
      <c r="Y76" s="8"/>
      <c r="Z76" s="8"/>
      <c r="AA76" s="8"/>
      <c r="AB76" s="8"/>
      <c r="AC76" s="8"/>
      <c r="AD76" s="8"/>
    </row>
    <row r="77" spans="1:30">
      <c r="A77" s="2402">
        <v>62</v>
      </c>
      <c r="B77" s="2400">
        <v>2626</v>
      </c>
      <c r="C77" s="2401" t="s">
        <v>5242</v>
      </c>
      <c r="D77" s="2399" t="s">
        <v>5241</v>
      </c>
      <c r="E77" s="2403"/>
      <c r="F77" s="2402">
        <v>386</v>
      </c>
      <c r="G77" s="2400" t="s">
        <v>5240</v>
      </c>
      <c r="H77" s="2401" t="s">
        <v>5239</v>
      </c>
      <c r="I77" s="2399" t="s">
        <v>5238</v>
      </c>
      <c r="J77" s="2403"/>
      <c r="K77" s="2402">
        <v>710</v>
      </c>
      <c r="L77" s="2400" t="s">
        <v>5237</v>
      </c>
      <c r="M77" s="2401" t="s">
        <v>5236</v>
      </c>
      <c r="N77" s="2399" t="s">
        <v>5235</v>
      </c>
      <c r="O77" s="2403"/>
      <c r="P77" s="2402">
        <v>1034</v>
      </c>
      <c r="Q77" s="2400" t="s">
        <v>5234</v>
      </c>
      <c r="R77" s="2401" t="s">
        <v>5233</v>
      </c>
      <c r="S77" s="2399" t="s">
        <v>5232</v>
      </c>
      <c r="T77" s="8"/>
      <c r="U77" s="8"/>
      <c r="V77" s="8"/>
      <c r="W77" s="8"/>
      <c r="X77" s="8"/>
      <c r="Y77" s="8"/>
      <c r="Z77" s="8"/>
      <c r="AA77" s="8"/>
      <c r="AB77" s="8"/>
      <c r="AC77" s="8"/>
      <c r="AD77" s="8"/>
    </row>
    <row r="78" spans="1:30">
      <c r="A78" s="2402">
        <v>63</v>
      </c>
      <c r="B78" s="2400" t="s">
        <v>5231</v>
      </c>
      <c r="C78" s="2401" t="s">
        <v>5230</v>
      </c>
      <c r="D78" s="2399" t="s">
        <v>5229</v>
      </c>
      <c r="E78" s="2403"/>
      <c r="F78" s="2402">
        <v>387</v>
      </c>
      <c r="G78" s="2400" t="s">
        <v>5228</v>
      </c>
      <c r="H78" s="2401" t="s">
        <v>5227</v>
      </c>
      <c r="I78" s="2399" t="s">
        <v>5226</v>
      </c>
      <c r="J78" s="2403"/>
      <c r="K78" s="2402">
        <v>711</v>
      </c>
      <c r="L78" s="2400" t="s">
        <v>5225</v>
      </c>
      <c r="M78" s="2401" t="s">
        <v>5224</v>
      </c>
      <c r="N78" s="2399" t="s">
        <v>5223</v>
      </c>
      <c r="O78" s="2403"/>
      <c r="P78" s="2402">
        <v>1035</v>
      </c>
      <c r="Q78" s="2400" t="s">
        <v>5222</v>
      </c>
      <c r="R78" s="2401" t="s">
        <v>5221</v>
      </c>
      <c r="S78" s="2399" t="s">
        <v>5220</v>
      </c>
      <c r="T78" s="8"/>
      <c r="U78" s="8"/>
      <c r="V78" s="8"/>
      <c r="W78" s="8"/>
      <c r="X78" s="8"/>
      <c r="Y78" s="8"/>
      <c r="Z78" s="8"/>
      <c r="AA78" s="8"/>
      <c r="AB78" s="8"/>
      <c r="AC78" s="8"/>
      <c r="AD78" s="8"/>
    </row>
    <row r="79" spans="1:30">
      <c r="A79" s="2402">
        <v>64</v>
      </c>
      <c r="B79" s="2400" t="s">
        <v>5219</v>
      </c>
      <c r="C79" s="2401" t="s">
        <v>5218</v>
      </c>
      <c r="D79" s="2399" t="s">
        <v>5217</v>
      </c>
      <c r="E79" s="2403"/>
      <c r="F79" s="2402">
        <v>388</v>
      </c>
      <c r="G79" s="2400" t="s">
        <v>5216</v>
      </c>
      <c r="H79" s="2401" t="s">
        <v>5215</v>
      </c>
      <c r="I79" s="2399" t="s">
        <v>5214</v>
      </c>
      <c r="J79" s="2403"/>
      <c r="K79" s="2402">
        <v>712</v>
      </c>
      <c r="L79" s="2400" t="s">
        <v>5213</v>
      </c>
      <c r="M79" s="2401" t="s">
        <v>5212</v>
      </c>
      <c r="N79" s="2399" t="s">
        <v>5211</v>
      </c>
      <c r="O79" s="2403"/>
      <c r="P79" s="2402">
        <v>1036</v>
      </c>
      <c r="Q79" s="2400" t="s">
        <v>5210</v>
      </c>
      <c r="R79" s="2401" t="s">
        <v>5209</v>
      </c>
      <c r="S79" s="2399" t="s">
        <v>5208</v>
      </c>
      <c r="T79" s="8"/>
      <c r="U79" s="8"/>
      <c r="V79" s="8"/>
      <c r="W79" s="8"/>
      <c r="X79" s="8"/>
      <c r="Y79" s="8"/>
      <c r="Z79" s="8"/>
      <c r="AA79" s="8"/>
      <c r="AB79" s="8"/>
      <c r="AC79" s="8"/>
      <c r="AD79" s="8"/>
    </row>
    <row r="80" spans="1:30">
      <c r="A80" s="2402">
        <v>65</v>
      </c>
      <c r="B80" s="2400" t="s">
        <v>5207</v>
      </c>
      <c r="C80" s="2401" t="s">
        <v>5206</v>
      </c>
      <c r="D80" s="2399" t="s">
        <v>5205</v>
      </c>
      <c r="E80" s="2403"/>
      <c r="F80" s="2402">
        <v>389</v>
      </c>
      <c r="G80" s="2400" t="s">
        <v>5204</v>
      </c>
      <c r="H80" s="2401" t="s">
        <v>5203</v>
      </c>
      <c r="I80" s="2399" t="s">
        <v>5202</v>
      </c>
      <c r="J80" s="2403"/>
      <c r="K80" s="2402">
        <v>713</v>
      </c>
      <c r="L80" s="2400" t="s">
        <v>5201</v>
      </c>
      <c r="M80" s="2401" t="s">
        <v>5200</v>
      </c>
      <c r="N80" s="2399" t="s">
        <v>5199</v>
      </c>
      <c r="O80" s="2403"/>
      <c r="P80" s="2402">
        <v>1037</v>
      </c>
      <c r="Q80" s="2400" t="s">
        <v>5198</v>
      </c>
      <c r="R80" s="2401" t="s">
        <v>5197</v>
      </c>
      <c r="S80" s="2399" t="s">
        <v>5196</v>
      </c>
      <c r="T80" s="8"/>
      <c r="U80" s="8"/>
      <c r="V80" s="8"/>
      <c r="W80" s="8"/>
      <c r="X80" s="8"/>
      <c r="Y80" s="8"/>
      <c r="Z80" s="8"/>
      <c r="AA80" s="8"/>
      <c r="AB80" s="8"/>
      <c r="AC80" s="8"/>
      <c r="AD80" s="8"/>
    </row>
    <row r="81" spans="1:30">
      <c r="A81" s="2402">
        <v>66</v>
      </c>
      <c r="B81" s="2400">
        <v>2638</v>
      </c>
      <c r="C81" s="2401" t="s">
        <v>5195</v>
      </c>
      <c r="D81" s="2399" t="s">
        <v>5194</v>
      </c>
      <c r="E81" s="2403"/>
      <c r="F81" s="2402">
        <v>390</v>
      </c>
      <c r="G81" s="2400" t="s">
        <v>5193</v>
      </c>
      <c r="H81" s="2401" t="s">
        <v>5192</v>
      </c>
      <c r="I81" s="2399" t="s">
        <v>5191</v>
      </c>
      <c r="J81" s="2403"/>
      <c r="K81" s="2402">
        <v>714</v>
      </c>
      <c r="L81" s="2400" t="s">
        <v>5190</v>
      </c>
      <c r="M81" s="2401" t="s">
        <v>5189</v>
      </c>
      <c r="N81" s="2399" t="s">
        <v>4944</v>
      </c>
      <c r="O81" s="2403"/>
      <c r="P81" s="2402">
        <v>1038</v>
      </c>
      <c r="Q81" s="2400" t="s">
        <v>5188</v>
      </c>
      <c r="R81" s="2401" t="s">
        <v>5187</v>
      </c>
      <c r="S81" s="2399" t="s">
        <v>5186</v>
      </c>
      <c r="T81" s="8"/>
      <c r="U81" s="8"/>
      <c r="V81" s="8"/>
      <c r="W81" s="8"/>
      <c r="X81" s="8"/>
      <c r="Y81" s="8"/>
      <c r="Z81" s="8"/>
      <c r="AA81" s="8"/>
      <c r="AB81" s="8"/>
      <c r="AC81" s="8"/>
      <c r="AD81" s="8"/>
    </row>
    <row r="82" spans="1:30">
      <c r="A82" s="2402">
        <v>67</v>
      </c>
      <c r="B82" s="2400">
        <v>2639</v>
      </c>
      <c r="C82" s="2401" t="s">
        <v>5185</v>
      </c>
      <c r="D82" s="2399" t="s">
        <v>5184</v>
      </c>
      <c r="E82" s="2403"/>
      <c r="F82" s="2402">
        <v>391</v>
      </c>
      <c r="G82" s="2400" t="s">
        <v>5183</v>
      </c>
      <c r="H82" s="2401" t="s">
        <v>5182</v>
      </c>
      <c r="I82" s="2399" t="s">
        <v>5181</v>
      </c>
      <c r="J82" s="2403"/>
      <c r="K82" s="2402">
        <v>715</v>
      </c>
      <c r="L82" s="2400" t="s">
        <v>5180</v>
      </c>
      <c r="M82" s="2401" t="s">
        <v>5179</v>
      </c>
      <c r="N82" s="2399" t="s">
        <v>5178</v>
      </c>
      <c r="O82" s="2403"/>
      <c r="P82" s="2402">
        <v>1039</v>
      </c>
      <c r="Q82" s="2400" t="s">
        <v>5177</v>
      </c>
      <c r="R82" s="2401" t="s">
        <v>5176</v>
      </c>
      <c r="S82" s="2399" t="s">
        <v>5175</v>
      </c>
      <c r="T82" s="8"/>
      <c r="U82" s="8"/>
      <c r="V82" s="8"/>
      <c r="W82" s="8"/>
      <c r="X82" s="8"/>
      <c r="Y82" s="8"/>
      <c r="Z82" s="8"/>
      <c r="AA82" s="8"/>
      <c r="AB82" s="8"/>
      <c r="AC82" s="8"/>
      <c r="AD82" s="8"/>
    </row>
    <row r="83" spans="1:30">
      <c r="A83" s="2402">
        <v>68</v>
      </c>
      <c r="B83" s="2400" t="s">
        <v>5174</v>
      </c>
      <c r="C83" s="2401" t="s">
        <v>5173</v>
      </c>
      <c r="D83" s="2399" t="s">
        <v>3626</v>
      </c>
      <c r="E83" s="2403"/>
      <c r="F83" s="2402">
        <v>392</v>
      </c>
      <c r="G83" s="2400" t="s">
        <v>5172</v>
      </c>
      <c r="H83" s="2401" t="s">
        <v>5171</v>
      </c>
      <c r="I83" s="2399" t="s">
        <v>5170</v>
      </c>
      <c r="J83" s="2403"/>
      <c r="K83" s="2402">
        <v>716</v>
      </c>
      <c r="L83" s="2400" t="s">
        <v>5169</v>
      </c>
      <c r="M83" s="2401" t="s">
        <v>5168</v>
      </c>
      <c r="N83" s="2399" t="s">
        <v>5167</v>
      </c>
      <c r="O83" s="2403"/>
      <c r="P83" s="2402">
        <v>1040</v>
      </c>
      <c r="Q83" s="2400" t="s">
        <v>5166</v>
      </c>
      <c r="R83" s="2401" t="s">
        <v>5165</v>
      </c>
      <c r="S83" s="2399" t="s">
        <v>5164</v>
      </c>
      <c r="T83" s="8"/>
      <c r="U83" s="8"/>
      <c r="V83" s="8"/>
      <c r="W83" s="8"/>
      <c r="X83" s="8"/>
      <c r="Y83" s="8"/>
      <c r="Z83" s="8"/>
      <c r="AA83" s="8"/>
      <c r="AB83" s="8"/>
      <c r="AC83" s="8"/>
      <c r="AD83" s="8"/>
    </row>
    <row r="84" spans="1:30">
      <c r="A84" s="2402">
        <v>69</v>
      </c>
      <c r="B84" s="2400">
        <v>2640</v>
      </c>
      <c r="C84" s="2401" t="s">
        <v>2063</v>
      </c>
      <c r="D84" s="2399" t="s">
        <v>5163</v>
      </c>
      <c r="E84" s="2403"/>
      <c r="F84" s="2402">
        <v>393</v>
      </c>
      <c r="G84" s="2400" t="s">
        <v>5162</v>
      </c>
      <c r="H84" s="2401" t="s">
        <v>5161</v>
      </c>
      <c r="I84" s="2399" t="s">
        <v>5160</v>
      </c>
      <c r="J84" s="2403"/>
      <c r="K84" s="2402">
        <v>717</v>
      </c>
      <c r="L84" s="2400" t="s">
        <v>5159</v>
      </c>
      <c r="M84" s="2401" t="s">
        <v>5158</v>
      </c>
      <c r="N84" s="2399" t="s">
        <v>5157</v>
      </c>
      <c r="O84" s="2403"/>
      <c r="P84" s="2402">
        <v>1041</v>
      </c>
      <c r="Q84" s="2400" t="s">
        <v>5156</v>
      </c>
      <c r="R84" s="2401" t="s">
        <v>5155</v>
      </c>
      <c r="S84" s="2399" t="s">
        <v>5154</v>
      </c>
      <c r="T84" s="8"/>
      <c r="U84" s="8"/>
      <c r="V84" s="8"/>
      <c r="W84" s="8"/>
      <c r="X84" s="8"/>
      <c r="Y84" s="8"/>
      <c r="Z84" s="8"/>
      <c r="AA84" s="8"/>
      <c r="AB84" s="8"/>
      <c r="AC84" s="8"/>
      <c r="AD84" s="8"/>
    </row>
    <row r="85" spans="1:30">
      <c r="A85" s="2402">
        <v>70</v>
      </c>
      <c r="B85" s="2400">
        <v>2642</v>
      </c>
      <c r="C85" s="2401" t="s">
        <v>2064</v>
      </c>
      <c r="D85" s="2399" t="s">
        <v>5153</v>
      </c>
      <c r="E85" s="2403"/>
      <c r="F85" s="2402">
        <v>394</v>
      </c>
      <c r="G85" s="2400" t="s">
        <v>5152</v>
      </c>
      <c r="H85" s="2401" t="s">
        <v>5151</v>
      </c>
      <c r="I85" s="2399" t="s">
        <v>5150</v>
      </c>
      <c r="J85" s="2403"/>
      <c r="K85" s="2402">
        <v>718</v>
      </c>
      <c r="L85" s="2400" t="s">
        <v>5149</v>
      </c>
      <c r="M85" s="2401" t="s">
        <v>5148</v>
      </c>
      <c r="N85" s="2399" t="s">
        <v>5147</v>
      </c>
      <c r="O85" s="2403"/>
      <c r="P85" s="2402">
        <v>1042</v>
      </c>
      <c r="Q85" s="2400" t="s">
        <v>5146</v>
      </c>
      <c r="R85" s="2401" t="s">
        <v>5145</v>
      </c>
      <c r="S85" s="2399" t="s">
        <v>5144</v>
      </c>
      <c r="T85" s="8"/>
      <c r="U85" s="8"/>
      <c r="V85" s="8"/>
      <c r="W85" s="8"/>
      <c r="X85" s="8"/>
      <c r="Y85" s="8"/>
      <c r="Z85" s="8"/>
      <c r="AA85" s="8"/>
      <c r="AB85" s="8"/>
      <c r="AC85" s="8"/>
      <c r="AD85" s="8"/>
    </row>
    <row r="86" spans="1:30">
      <c r="A86" s="2402">
        <v>71</v>
      </c>
      <c r="B86" s="2400">
        <v>2648</v>
      </c>
      <c r="C86" s="2401" t="s">
        <v>5143</v>
      </c>
      <c r="D86" s="2399" t="s">
        <v>5142</v>
      </c>
      <c r="E86" s="2403"/>
      <c r="F86" s="2402">
        <v>395</v>
      </c>
      <c r="G86" s="2400" t="s">
        <v>5141</v>
      </c>
      <c r="H86" s="2401" t="s">
        <v>5140</v>
      </c>
      <c r="I86" s="2399" t="s">
        <v>5139</v>
      </c>
      <c r="J86" s="2403"/>
      <c r="K86" s="2402">
        <v>719</v>
      </c>
      <c r="L86" s="2400" t="s">
        <v>5138</v>
      </c>
      <c r="M86" s="2401" t="s">
        <v>5137</v>
      </c>
      <c r="N86" s="2399" t="s">
        <v>5136</v>
      </c>
      <c r="O86" s="2403"/>
      <c r="P86" s="2402">
        <v>1043</v>
      </c>
      <c r="Q86" s="2400" t="s">
        <v>5135</v>
      </c>
      <c r="R86" s="2401" t="s">
        <v>5134</v>
      </c>
      <c r="S86" s="2399" t="s">
        <v>5133</v>
      </c>
      <c r="T86" s="8"/>
      <c r="U86" s="8"/>
      <c r="V86" s="8"/>
      <c r="W86" s="8"/>
      <c r="X86" s="8"/>
      <c r="Y86" s="8"/>
      <c r="Z86" s="8"/>
      <c r="AA86" s="8"/>
      <c r="AB86" s="8"/>
      <c r="AC86" s="8"/>
      <c r="AD86" s="8"/>
    </row>
    <row r="87" spans="1:30">
      <c r="A87" s="2402">
        <v>72</v>
      </c>
      <c r="B87" s="2400">
        <v>2649</v>
      </c>
      <c r="C87" s="2401" t="s">
        <v>5132</v>
      </c>
      <c r="D87" s="2399" t="s">
        <v>5131</v>
      </c>
      <c r="E87" s="2403"/>
      <c r="F87" s="2402">
        <v>396</v>
      </c>
      <c r="G87" s="2400" t="s">
        <v>5130</v>
      </c>
      <c r="H87" s="2401" t="s">
        <v>5129</v>
      </c>
      <c r="I87" s="2399" t="s">
        <v>5128</v>
      </c>
      <c r="J87" s="2403"/>
      <c r="K87" s="2402">
        <v>720</v>
      </c>
      <c r="L87" s="2400" t="s">
        <v>5127</v>
      </c>
      <c r="M87" s="2401" t="s">
        <v>5126</v>
      </c>
      <c r="N87" s="2399" t="s">
        <v>5125</v>
      </c>
      <c r="O87" s="2403"/>
      <c r="P87" s="2402">
        <v>1044</v>
      </c>
      <c r="Q87" s="2400" t="s">
        <v>5124</v>
      </c>
      <c r="R87" s="2401" t="s">
        <v>5123</v>
      </c>
      <c r="S87" s="2399" t="s">
        <v>5122</v>
      </c>
      <c r="T87" s="8"/>
      <c r="U87" s="8"/>
      <c r="V87" s="8"/>
      <c r="W87" s="8"/>
      <c r="X87" s="8"/>
      <c r="Y87" s="8"/>
      <c r="Z87" s="8"/>
      <c r="AA87" s="8"/>
      <c r="AB87" s="8"/>
      <c r="AC87" s="8"/>
      <c r="AD87" s="8"/>
    </row>
    <row r="88" spans="1:30">
      <c r="A88" s="2402">
        <v>73</v>
      </c>
      <c r="B88" s="2400" t="s">
        <v>5121</v>
      </c>
      <c r="C88" s="2401" t="s">
        <v>5120</v>
      </c>
      <c r="D88" s="2399" t="s">
        <v>5119</v>
      </c>
      <c r="E88" s="2403"/>
      <c r="F88" s="2402">
        <v>397</v>
      </c>
      <c r="G88" s="2400" t="s">
        <v>5118</v>
      </c>
      <c r="H88" s="2401" t="s">
        <v>5117</v>
      </c>
      <c r="I88" s="2399" t="s">
        <v>5116</v>
      </c>
      <c r="J88" s="2403"/>
      <c r="K88" s="2402">
        <v>721</v>
      </c>
      <c r="L88" s="2400" t="s">
        <v>5115</v>
      </c>
      <c r="M88" s="2401" t="s">
        <v>5114</v>
      </c>
      <c r="N88" s="2399" t="s">
        <v>5113</v>
      </c>
      <c r="O88" s="2403"/>
      <c r="P88" s="2402">
        <v>1045</v>
      </c>
      <c r="Q88" s="2400" t="s">
        <v>5112</v>
      </c>
      <c r="R88" s="2401" t="s">
        <v>5111</v>
      </c>
      <c r="S88" s="2399" t="s">
        <v>5110</v>
      </c>
      <c r="T88" s="8"/>
      <c r="U88" s="8"/>
      <c r="V88" s="8"/>
      <c r="W88" s="8"/>
      <c r="X88" s="8"/>
      <c r="Y88" s="8"/>
      <c r="Z88" s="8"/>
      <c r="AA88" s="8"/>
      <c r="AB88" s="8"/>
      <c r="AC88" s="8"/>
      <c r="AD88" s="8"/>
    </row>
    <row r="89" spans="1:30">
      <c r="A89" s="2402">
        <v>74</v>
      </c>
      <c r="B89" s="2400" t="s">
        <v>5109</v>
      </c>
      <c r="C89" s="2401" t="s">
        <v>5108</v>
      </c>
      <c r="D89" s="2399" t="s">
        <v>5107</v>
      </c>
      <c r="E89" s="2403"/>
      <c r="F89" s="2402">
        <v>398</v>
      </c>
      <c r="G89" s="2400" t="s">
        <v>5106</v>
      </c>
      <c r="H89" s="2401" t="s">
        <v>5105</v>
      </c>
      <c r="I89" s="2399" t="s">
        <v>5104</v>
      </c>
      <c r="J89" s="2403"/>
      <c r="K89" s="2402">
        <v>722</v>
      </c>
      <c r="L89" s="2400" t="s">
        <v>5103</v>
      </c>
      <c r="M89" s="2401" t="s">
        <v>5102</v>
      </c>
      <c r="N89" s="2399" t="s">
        <v>5101</v>
      </c>
      <c r="O89" s="2403"/>
      <c r="P89" s="2402">
        <v>1046</v>
      </c>
      <c r="Q89" s="2400" t="s">
        <v>5100</v>
      </c>
      <c r="R89" s="2401" t="s">
        <v>5099</v>
      </c>
      <c r="S89" s="2399" t="s">
        <v>5098</v>
      </c>
      <c r="T89" s="8"/>
      <c r="U89" s="8"/>
      <c r="V89" s="8"/>
      <c r="W89" s="8"/>
      <c r="X89" s="8"/>
      <c r="Y89" s="8"/>
      <c r="Z89" s="8"/>
      <c r="AA89" s="8"/>
      <c r="AB89" s="8"/>
      <c r="AC89" s="8"/>
      <c r="AD89" s="8"/>
    </row>
    <row r="90" spans="1:30">
      <c r="A90" s="2402">
        <v>75</v>
      </c>
      <c r="B90" s="2400" t="s">
        <v>5097</v>
      </c>
      <c r="C90" s="2401" t="s">
        <v>5096</v>
      </c>
      <c r="D90" s="2399" t="s">
        <v>5095</v>
      </c>
      <c r="E90" s="2403"/>
      <c r="F90" s="2402">
        <v>399</v>
      </c>
      <c r="G90" s="2400" t="s">
        <v>5094</v>
      </c>
      <c r="H90" s="2401" t="s">
        <v>5093</v>
      </c>
      <c r="I90" s="2399" t="s">
        <v>5092</v>
      </c>
      <c r="J90" s="2403"/>
      <c r="K90" s="2402">
        <v>723</v>
      </c>
      <c r="L90" s="2400" t="s">
        <v>5091</v>
      </c>
      <c r="M90" s="2401" t="s">
        <v>5090</v>
      </c>
      <c r="N90" s="2399" t="s">
        <v>5089</v>
      </c>
      <c r="O90" s="2403"/>
      <c r="P90" s="2402">
        <v>1047</v>
      </c>
      <c r="Q90" s="2400" t="s">
        <v>5088</v>
      </c>
      <c r="R90" s="2401" t="s">
        <v>5087</v>
      </c>
      <c r="S90" s="2399" t="s">
        <v>5086</v>
      </c>
      <c r="T90" s="8"/>
      <c r="U90" s="8"/>
      <c r="V90" s="8"/>
      <c r="W90" s="8"/>
      <c r="X90" s="8"/>
      <c r="Y90" s="8"/>
      <c r="Z90" s="8"/>
      <c r="AA90" s="8"/>
      <c r="AB90" s="8"/>
      <c r="AC90" s="8"/>
      <c r="AD90" s="8"/>
    </row>
    <row r="91" spans="1:30">
      <c r="A91" s="2402">
        <v>76</v>
      </c>
      <c r="B91" s="2400" t="s">
        <v>5085</v>
      </c>
      <c r="C91" s="2401" t="s">
        <v>5084</v>
      </c>
      <c r="D91" s="2399" t="s">
        <v>5083</v>
      </c>
      <c r="E91" s="2403"/>
      <c r="F91" s="2402">
        <v>400</v>
      </c>
      <c r="G91" s="2400" t="s">
        <v>5082</v>
      </c>
      <c r="H91" s="2401" t="s">
        <v>5081</v>
      </c>
      <c r="I91" s="2399" t="s">
        <v>5080</v>
      </c>
      <c r="J91" s="2403"/>
      <c r="K91" s="2402">
        <v>724</v>
      </c>
      <c r="L91" s="2400" t="s">
        <v>5079</v>
      </c>
      <c r="M91" s="2401" t="s">
        <v>5078</v>
      </c>
      <c r="N91" s="2399" t="s">
        <v>5077</v>
      </c>
      <c r="O91" s="2403"/>
      <c r="P91" s="2402">
        <v>1048</v>
      </c>
      <c r="Q91" s="2400" t="s">
        <v>5076</v>
      </c>
      <c r="R91" s="2401" t="s">
        <v>5075</v>
      </c>
      <c r="S91" s="2399" t="s">
        <v>5074</v>
      </c>
      <c r="T91" s="8"/>
      <c r="U91" s="8"/>
      <c r="V91" s="8"/>
      <c r="W91" s="8"/>
      <c r="X91" s="8"/>
      <c r="Y91" s="8"/>
      <c r="Z91" s="8"/>
      <c r="AA91" s="8"/>
      <c r="AB91" s="8"/>
      <c r="AC91" s="8"/>
      <c r="AD91" s="8"/>
    </row>
    <row r="92" spans="1:30">
      <c r="A92" s="2402">
        <v>77</v>
      </c>
      <c r="B92" s="2400" t="s">
        <v>5073</v>
      </c>
      <c r="C92" s="2401" t="s">
        <v>5072</v>
      </c>
      <c r="D92" s="2399" t="s">
        <v>1597</v>
      </c>
      <c r="E92" s="2403"/>
      <c r="F92" s="2402">
        <v>401</v>
      </c>
      <c r="G92" s="2400" t="s">
        <v>5071</v>
      </c>
      <c r="H92" s="2401" t="s">
        <v>5070</v>
      </c>
      <c r="I92" s="2399" t="s">
        <v>5069</v>
      </c>
      <c r="J92" s="2403"/>
      <c r="K92" s="2402">
        <v>725</v>
      </c>
      <c r="L92" s="2400" t="s">
        <v>5068</v>
      </c>
      <c r="M92" s="2401" t="s">
        <v>5067</v>
      </c>
      <c r="N92" s="2399" t="s">
        <v>5066</v>
      </c>
      <c r="O92" s="2403"/>
      <c r="P92" s="2402">
        <v>1049</v>
      </c>
      <c r="Q92" s="2400" t="s">
        <v>5065</v>
      </c>
      <c r="R92" s="2401" t="s">
        <v>5064</v>
      </c>
      <c r="S92" s="2399" t="s">
        <v>5063</v>
      </c>
      <c r="T92" s="8"/>
      <c r="U92" s="8"/>
      <c r="V92" s="8"/>
      <c r="W92" s="8"/>
      <c r="X92" s="8"/>
      <c r="Y92" s="8"/>
      <c r="Z92" s="8"/>
      <c r="AA92" s="8"/>
      <c r="AB92" s="8"/>
      <c r="AC92" s="8"/>
      <c r="AD92" s="8"/>
    </row>
    <row r="93" spans="1:30">
      <c r="A93" s="2402">
        <v>78</v>
      </c>
      <c r="B93" s="2400" t="s">
        <v>5062</v>
      </c>
      <c r="C93" s="2401" t="s">
        <v>5061</v>
      </c>
      <c r="D93" s="2399" t="s">
        <v>5060</v>
      </c>
      <c r="E93" s="2403"/>
      <c r="F93" s="2402">
        <v>402</v>
      </c>
      <c r="G93" s="2400" t="s">
        <v>5059</v>
      </c>
      <c r="H93" s="2401" t="s">
        <v>5058</v>
      </c>
      <c r="I93" s="2399" t="s">
        <v>5057</v>
      </c>
      <c r="J93" s="2403"/>
      <c r="K93" s="2402">
        <v>726</v>
      </c>
      <c r="L93" s="2400" t="s">
        <v>5056</v>
      </c>
      <c r="M93" s="2401" t="s">
        <v>5055</v>
      </c>
      <c r="N93" s="2399" t="s">
        <v>5054</v>
      </c>
      <c r="O93" s="2403"/>
      <c r="P93" s="2402">
        <v>1050</v>
      </c>
      <c r="Q93" s="2400" t="s">
        <v>5053</v>
      </c>
      <c r="R93" s="2401" t="s">
        <v>5052</v>
      </c>
      <c r="S93" s="2399" t="s">
        <v>5051</v>
      </c>
      <c r="T93" s="8"/>
      <c r="U93" s="8"/>
      <c r="V93" s="8"/>
      <c r="W93" s="8"/>
      <c r="X93" s="8"/>
      <c r="Y93" s="8"/>
      <c r="Z93" s="8"/>
      <c r="AA93" s="8"/>
      <c r="AB93" s="8"/>
      <c r="AC93" s="8"/>
      <c r="AD93" s="8"/>
    </row>
    <row r="94" spans="1:30">
      <c r="A94" s="2402">
        <v>79</v>
      </c>
      <c r="B94" s="2400">
        <v>2650</v>
      </c>
      <c r="C94" s="2401" t="s">
        <v>5050</v>
      </c>
      <c r="D94" s="2399" t="s">
        <v>5049</v>
      </c>
      <c r="E94" s="2403"/>
      <c r="F94" s="2402">
        <v>403</v>
      </c>
      <c r="G94" s="2400" t="s">
        <v>5048</v>
      </c>
      <c r="H94" s="2401" t="s">
        <v>5047</v>
      </c>
      <c r="I94" s="2399" t="s">
        <v>5046</v>
      </c>
      <c r="J94" s="2403"/>
      <c r="K94" s="2402">
        <v>727</v>
      </c>
      <c r="L94" s="2400" t="s">
        <v>5045</v>
      </c>
      <c r="M94" s="2401" t="s">
        <v>5044</v>
      </c>
      <c r="N94" s="2399" t="s">
        <v>5043</v>
      </c>
      <c r="O94" s="2403"/>
      <c r="P94" s="2402">
        <v>1051</v>
      </c>
      <c r="Q94" s="2400" t="s">
        <v>5042</v>
      </c>
      <c r="R94" s="2401" t="s">
        <v>5041</v>
      </c>
      <c r="S94" s="2399" t="s">
        <v>5040</v>
      </c>
      <c r="T94" s="8"/>
      <c r="U94" s="8"/>
      <c r="V94" s="8"/>
      <c r="W94" s="8"/>
      <c r="X94" s="8"/>
      <c r="Y94" s="8"/>
      <c r="Z94" s="8"/>
      <c r="AA94" s="8"/>
      <c r="AB94" s="8"/>
      <c r="AC94" s="8"/>
      <c r="AD94" s="8"/>
    </row>
    <row r="95" spans="1:30">
      <c r="A95" s="2402">
        <v>80</v>
      </c>
      <c r="B95" s="2400">
        <v>2651</v>
      </c>
      <c r="C95" s="2401" t="s">
        <v>5039</v>
      </c>
      <c r="D95" s="2399" t="s">
        <v>5038</v>
      </c>
      <c r="E95" s="2403"/>
      <c r="F95" s="2402">
        <v>404</v>
      </c>
      <c r="G95" s="2400" t="s">
        <v>5037</v>
      </c>
      <c r="H95" s="2401" t="s">
        <v>5036</v>
      </c>
      <c r="I95" s="2399" t="s">
        <v>5035</v>
      </c>
      <c r="J95" s="2403"/>
      <c r="K95" s="2402">
        <v>728</v>
      </c>
      <c r="L95" s="2400" t="s">
        <v>5034</v>
      </c>
      <c r="M95" s="2401" t="s">
        <v>5033</v>
      </c>
      <c r="N95" s="2399" t="s">
        <v>5032</v>
      </c>
      <c r="O95" s="2403"/>
      <c r="P95" s="2402">
        <v>1052</v>
      </c>
      <c r="Q95" s="2400" t="s">
        <v>5031</v>
      </c>
      <c r="R95" s="2401" t="s">
        <v>5030</v>
      </c>
      <c r="S95" s="2399" t="s">
        <v>5029</v>
      </c>
      <c r="T95" s="8"/>
      <c r="U95" s="8"/>
      <c r="V95" s="8"/>
      <c r="W95" s="8"/>
      <c r="X95" s="8"/>
      <c r="Y95" s="8"/>
      <c r="Z95" s="8"/>
      <c r="AA95" s="8"/>
      <c r="AB95" s="8"/>
      <c r="AC95" s="8"/>
      <c r="AD95" s="8"/>
    </row>
    <row r="96" spans="1:30">
      <c r="A96" s="2402">
        <v>81</v>
      </c>
      <c r="B96" s="2400">
        <v>2652</v>
      </c>
      <c r="C96" s="2401" t="s">
        <v>5028</v>
      </c>
      <c r="D96" s="2399" t="s">
        <v>5027</v>
      </c>
      <c r="E96" s="2403"/>
      <c r="F96" s="2402">
        <v>405</v>
      </c>
      <c r="G96" s="2400" t="s">
        <v>5026</v>
      </c>
      <c r="H96" s="2401" t="s">
        <v>5025</v>
      </c>
      <c r="I96" s="2399" t="s">
        <v>5024</v>
      </c>
      <c r="J96" s="2403"/>
      <c r="K96" s="2402">
        <v>729</v>
      </c>
      <c r="L96" s="2400" t="s">
        <v>5023</v>
      </c>
      <c r="M96" s="2401" t="s">
        <v>5022</v>
      </c>
      <c r="N96" s="2399" t="s">
        <v>5021</v>
      </c>
      <c r="O96" s="2403"/>
      <c r="P96" s="2402">
        <v>1053</v>
      </c>
      <c r="Q96" s="2400" t="s">
        <v>5020</v>
      </c>
      <c r="R96" s="2401" t="s">
        <v>5019</v>
      </c>
      <c r="S96" s="2399" t="s">
        <v>5018</v>
      </c>
      <c r="T96" s="8"/>
      <c r="U96" s="8"/>
      <c r="V96" s="8"/>
      <c r="W96" s="8"/>
      <c r="X96" s="8"/>
      <c r="Y96" s="8"/>
      <c r="Z96" s="8"/>
      <c r="AA96" s="8"/>
      <c r="AB96" s="8"/>
      <c r="AC96" s="8"/>
      <c r="AD96" s="8"/>
    </row>
    <row r="97" spans="1:30">
      <c r="A97" s="2402">
        <v>82</v>
      </c>
      <c r="B97" s="2400">
        <v>2653</v>
      </c>
      <c r="C97" s="2401" t="s">
        <v>5017</v>
      </c>
      <c r="D97" s="2399" t="s">
        <v>5016</v>
      </c>
      <c r="E97" s="2403"/>
      <c r="F97" s="2402">
        <v>406</v>
      </c>
      <c r="G97" s="2400" t="s">
        <v>5015</v>
      </c>
      <c r="H97" s="2401" t="s">
        <v>5014</v>
      </c>
      <c r="I97" s="2399" t="s">
        <v>5013</v>
      </c>
      <c r="J97" s="2403"/>
      <c r="K97" s="2402">
        <v>730</v>
      </c>
      <c r="L97" s="2400" t="s">
        <v>5012</v>
      </c>
      <c r="M97" s="2401" t="s">
        <v>5011</v>
      </c>
      <c r="N97" s="2399" t="s">
        <v>5010</v>
      </c>
      <c r="O97" s="2403"/>
      <c r="P97" s="2402">
        <v>1054</v>
      </c>
      <c r="Q97" s="2400" t="s">
        <v>5009</v>
      </c>
      <c r="R97" s="2401" t="s">
        <v>5008</v>
      </c>
      <c r="S97" s="2399" t="s">
        <v>5007</v>
      </c>
      <c r="T97" s="8"/>
      <c r="U97" s="8"/>
      <c r="V97" s="8"/>
      <c r="W97" s="8"/>
      <c r="X97" s="8"/>
      <c r="Y97" s="8"/>
      <c r="Z97" s="8"/>
      <c r="AA97" s="8"/>
      <c r="AB97" s="8"/>
      <c r="AC97" s="8"/>
      <c r="AD97" s="8"/>
    </row>
    <row r="98" spans="1:30">
      <c r="A98" s="2402">
        <v>83</v>
      </c>
      <c r="B98" s="2400" t="s">
        <v>5006</v>
      </c>
      <c r="C98" s="2401" t="s">
        <v>5005</v>
      </c>
      <c r="D98" s="2399" t="s">
        <v>5004</v>
      </c>
      <c r="E98" s="2403"/>
      <c r="F98" s="2402">
        <v>407</v>
      </c>
      <c r="G98" s="2400" t="s">
        <v>5003</v>
      </c>
      <c r="H98" s="2401" t="s">
        <v>5002</v>
      </c>
      <c r="I98" s="2399" t="s">
        <v>5001</v>
      </c>
      <c r="J98" s="2403"/>
      <c r="K98" s="2402">
        <v>731</v>
      </c>
      <c r="L98" s="2400" t="s">
        <v>5000</v>
      </c>
      <c r="M98" s="2401" t="s">
        <v>4999</v>
      </c>
      <c r="N98" s="2399" t="s">
        <v>4998</v>
      </c>
      <c r="O98" s="2403"/>
      <c r="P98" s="2402">
        <v>1055</v>
      </c>
      <c r="Q98" s="2400" t="s">
        <v>4997</v>
      </c>
      <c r="R98" s="2401" t="s">
        <v>4996</v>
      </c>
      <c r="S98" s="2399" t="s">
        <v>4995</v>
      </c>
      <c r="T98" s="8"/>
      <c r="U98" s="8"/>
      <c r="V98" s="8"/>
      <c r="W98" s="8"/>
      <c r="X98" s="8"/>
      <c r="Y98" s="8"/>
      <c r="Z98" s="8"/>
      <c r="AA98" s="8"/>
      <c r="AB98" s="8"/>
      <c r="AC98" s="8"/>
      <c r="AD98" s="8"/>
    </row>
    <row r="99" spans="1:30">
      <c r="A99" s="2402">
        <v>84</v>
      </c>
      <c r="B99" s="2400">
        <v>2660</v>
      </c>
      <c r="C99" s="2401" t="s">
        <v>2060</v>
      </c>
      <c r="D99" s="2399" t="s">
        <v>4994</v>
      </c>
      <c r="E99" s="2403"/>
      <c r="F99" s="2402">
        <v>408</v>
      </c>
      <c r="G99" s="2400" t="s">
        <v>4993</v>
      </c>
      <c r="H99" s="2401" t="s">
        <v>4992</v>
      </c>
      <c r="I99" s="2399" t="s">
        <v>4991</v>
      </c>
      <c r="J99" s="2403"/>
      <c r="K99" s="2402">
        <v>732</v>
      </c>
      <c r="L99" s="2400" t="s">
        <v>4990</v>
      </c>
      <c r="M99" s="2401" t="s">
        <v>4989</v>
      </c>
      <c r="N99" s="2399" t="s">
        <v>4988</v>
      </c>
      <c r="O99" s="2403"/>
      <c r="P99" s="2402">
        <v>1056</v>
      </c>
      <c r="Q99" s="2400" t="s">
        <v>4987</v>
      </c>
      <c r="R99" s="2401" t="s">
        <v>4986</v>
      </c>
      <c r="S99" s="2399" t="s">
        <v>4985</v>
      </c>
      <c r="T99" s="8"/>
      <c r="U99" s="8"/>
      <c r="V99" s="8"/>
      <c r="W99" s="8"/>
      <c r="X99" s="8"/>
      <c r="Y99" s="8"/>
      <c r="Z99" s="8"/>
      <c r="AA99" s="8"/>
      <c r="AB99" s="8"/>
      <c r="AC99" s="8"/>
      <c r="AD99" s="8"/>
    </row>
    <row r="100" spans="1:30">
      <c r="A100" s="2402">
        <v>85</v>
      </c>
      <c r="B100" s="2400">
        <v>2663</v>
      </c>
      <c r="C100" s="2401" t="s">
        <v>4984</v>
      </c>
      <c r="D100" s="2399" t="s">
        <v>4983</v>
      </c>
      <c r="E100" s="2403"/>
      <c r="F100" s="2402">
        <v>409</v>
      </c>
      <c r="G100" s="2400" t="s">
        <v>4982</v>
      </c>
      <c r="H100" s="2401" t="s">
        <v>4981</v>
      </c>
      <c r="I100" s="2399" t="s">
        <v>4980</v>
      </c>
      <c r="J100" s="2403"/>
      <c r="K100" s="2402">
        <v>733</v>
      </c>
      <c r="L100" s="2400" t="s">
        <v>4979</v>
      </c>
      <c r="M100" s="2401" t="s">
        <v>4978</v>
      </c>
      <c r="N100" s="2399" t="s">
        <v>4977</v>
      </c>
      <c r="O100" s="2403"/>
      <c r="P100" s="2402">
        <v>1057</v>
      </c>
      <c r="Q100" s="2400" t="s">
        <v>4976</v>
      </c>
      <c r="R100" s="2401" t="s">
        <v>4975</v>
      </c>
      <c r="S100" s="2399" t="s">
        <v>4974</v>
      </c>
      <c r="T100" s="8"/>
      <c r="U100" s="8"/>
      <c r="V100" s="8"/>
      <c r="W100" s="8"/>
      <c r="X100" s="8"/>
      <c r="Y100" s="8"/>
      <c r="Z100" s="8"/>
      <c r="AA100" s="8"/>
      <c r="AB100" s="8"/>
      <c r="AC100" s="8"/>
      <c r="AD100" s="8"/>
    </row>
    <row r="101" spans="1:30">
      <c r="A101" s="2402">
        <v>86</v>
      </c>
      <c r="B101" s="2400">
        <v>2665</v>
      </c>
      <c r="C101" s="2401" t="s">
        <v>4973</v>
      </c>
      <c r="D101" s="2399" t="s">
        <v>4972</v>
      </c>
      <c r="E101" s="2403"/>
      <c r="F101" s="2402">
        <v>410</v>
      </c>
      <c r="G101" s="2400" t="s">
        <v>4971</v>
      </c>
      <c r="H101" s="2401" t="s">
        <v>4970</v>
      </c>
      <c r="I101" s="2399" t="s">
        <v>4969</v>
      </c>
      <c r="J101" s="2403"/>
      <c r="K101" s="2402">
        <v>734</v>
      </c>
      <c r="L101" s="2400" t="s">
        <v>4968</v>
      </c>
      <c r="M101" s="2401" t="s">
        <v>4967</v>
      </c>
      <c r="N101" s="2399" t="s">
        <v>4966</v>
      </c>
      <c r="O101" s="2403"/>
      <c r="P101" s="2402">
        <v>1058</v>
      </c>
      <c r="Q101" s="2400" t="s">
        <v>4965</v>
      </c>
      <c r="R101" s="2401" t="s">
        <v>4964</v>
      </c>
      <c r="S101" s="2399" t="s">
        <v>4963</v>
      </c>
      <c r="T101" s="8"/>
      <c r="U101" s="8"/>
      <c r="V101" s="8"/>
      <c r="W101" s="8"/>
      <c r="X101" s="8"/>
      <c r="Y101" s="8"/>
      <c r="Z101" s="8"/>
      <c r="AA101" s="8"/>
      <c r="AB101" s="8"/>
      <c r="AC101" s="8"/>
      <c r="AD101" s="8"/>
    </row>
    <row r="102" spans="1:30">
      <c r="A102" s="2402">
        <v>87</v>
      </c>
      <c r="B102" s="2400">
        <v>2666</v>
      </c>
      <c r="C102" s="2401" t="s">
        <v>4962</v>
      </c>
      <c r="D102" s="2399" t="s">
        <v>4961</v>
      </c>
      <c r="E102" s="2403"/>
      <c r="F102" s="2402">
        <v>411</v>
      </c>
      <c r="G102" s="2400" t="s">
        <v>4960</v>
      </c>
      <c r="H102" s="2401" t="s">
        <v>4959</v>
      </c>
      <c r="I102" s="2399" t="s">
        <v>4958</v>
      </c>
      <c r="J102" s="2403"/>
      <c r="K102" s="2402">
        <v>735</v>
      </c>
      <c r="L102" s="2400" t="s">
        <v>4957</v>
      </c>
      <c r="M102" s="2401" t="s">
        <v>4956</v>
      </c>
      <c r="N102" s="2399" t="s">
        <v>4955</v>
      </c>
      <c r="O102" s="2403"/>
      <c r="P102" s="2402">
        <v>1059</v>
      </c>
      <c r="Q102" s="2400" t="s">
        <v>4954</v>
      </c>
      <c r="R102" s="2401" t="s">
        <v>4953</v>
      </c>
      <c r="S102" s="2399" t="s">
        <v>4952</v>
      </c>
      <c r="T102" s="8"/>
      <c r="U102" s="8"/>
      <c r="V102" s="8"/>
      <c r="W102" s="8"/>
      <c r="X102" s="8"/>
      <c r="Y102" s="8"/>
      <c r="Z102" s="8"/>
      <c r="AA102" s="8"/>
      <c r="AB102" s="8"/>
      <c r="AC102" s="8"/>
      <c r="AD102" s="8"/>
    </row>
    <row r="103" spans="1:30">
      <c r="A103" s="2402">
        <v>88</v>
      </c>
      <c r="B103" s="2400">
        <v>2668</v>
      </c>
      <c r="C103" s="2401" t="s">
        <v>4951</v>
      </c>
      <c r="D103" s="2399" t="s">
        <v>4950</v>
      </c>
      <c r="E103" s="2403"/>
      <c r="F103" s="2402">
        <v>412</v>
      </c>
      <c r="G103" s="2400" t="s">
        <v>4949</v>
      </c>
      <c r="H103" s="2401" t="s">
        <v>4948</v>
      </c>
      <c r="I103" s="2399" t="s">
        <v>4947</v>
      </c>
      <c r="J103" s="2403"/>
      <c r="K103" s="2402">
        <v>736</v>
      </c>
      <c r="L103" s="2400" t="s">
        <v>4946</v>
      </c>
      <c r="M103" s="2401" t="s">
        <v>4945</v>
      </c>
      <c r="N103" s="2399" t="s">
        <v>4944</v>
      </c>
      <c r="O103" s="2403"/>
      <c r="P103" s="2402">
        <v>1060</v>
      </c>
      <c r="Q103" s="2400" t="s">
        <v>4943</v>
      </c>
      <c r="R103" s="2401" t="s">
        <v>4942</v>
      </c>
      <c r="S103" s="2399" t="s">
        <v>4941</v>
      </c>
      <c r="T103" s="8"/>
      <c r="U103" s="8"/>
      <c r="V103" s="8"/>
      <c r="W103" s="8"/>
      <c r="X103" s="8"/>
      <c r="Y103" s="8"/>
      <c r="Z103" s="8"/>
      <c r="AA103" s="8"/>
      <c r="AB103" s="8"/>
      <c r="AC103" s="8"/>
      <c r="AD103" s="8"/>
    </row>
    <row r="104" spans="1:30">
      <c r="A104" s="2402">
        <v>89</v>
      </c>
      <c r="B104" s="2400">
        <v>2702</v>
      </c>
      <c r="C104" s="2401" t="s">
        <v>4940</v>
      </c>
      <c r="D104" s="2399" t="s">
        <v>4939</v>
      </c>
      <c r="E104" s="2403"/>
      <c r="F104" s="2402">
        <v>413</v>
      </c>
      <c r="G104" s="2400" t="s">
        <v>4938</v>
      </c>
      <c r="H104" s="2401" t="s">
        <v>4937</v>
      </c>
      <c r="I104" s="2399" t="s">
        <v>4936</v>
      </c>
      <c r="J104" s="2403"/>
      <c r="K104" s="2402">
        <v>737</v>
      </c>
      <c r="L104" s="2400" t="s">
        <v>4935</v>
      </c>
      <c r="M104" s="2401" t="s">
        <v>4934</v>
      </c>
      <c r="N104" s="2399" t="s">
        <v>4933</v>
      </c>
      <c r="O104" s="2403"/>
      <c r="P104" s="2402">
        <v>1061</v>
      </c>
      <c r="Q104" s="2400" t="s">
        <v>4932</v>
      </c>
      <c r="R104" s="2401" t="s">
        <v>4931</v>
      </c>
      <c r="S104" s="2399" t="s">
        <v>4930</v>
      </c>
      <c r="T104" s="8"/>
      <c r="U104" s="8"/>
      <c r="V104" s="8"/>
      <c r="W104" s="8"/>
      <c r="X104" s="8"/>
      <c r="Y104" s="8"/>
      <c r="Z104" s="8"/>
      <c r="AA104" s="8"/>
      <c r="AB104" s="8"/>
      <c r="AC104" s="8"/>
      <c r="AD104" s="8"/>
    </row>
    <row r="105" spans="1:30">
      <c r="A105" s="2402">
        <v>90</v>
      </c>
      <c r="B105" s="2400">
        <v>2708</v>
      </c>
      <c r="C105" s="2401" t="s">
        <v>4929</v>
      </c>
      <c r="D105" s="2399" t="s">
        <v>4928</v>
      </c>
      <c r="E105" s="2403"/>
      <c r="F105" s="2402">
        <v>414</v>
      </c>
      <c r="G105" s="2400" t="s">
        <v>4927</v>
      </c>
      <c r="H105" s="2401" t="s">
        <v>4926</v>
      </c>
      <c r="I105" s="2399" t="s">
        <v>4925</v>
      </c>
      <c r="J105" s="2403"/>
      <c r="K105" s="2402">
        <v>738</v>
      </c>
      <c r="L105" s="2400" t="s">
        <v>4924</v>
      </c>
      <c r="M105" s="2401" t="s">
        <v>4923</v>
      </c>
      <c r="N105" s="2399" t="s">
        <v>4922</v>
      </c>
      <c r="O105" s="2403"/>
      <c r="P105" s="2402">
        <v>1062</v>
      </c>
      <c r="Q105" s="2400" t="s">
        <v>4921</v>
      </c>
      <c r="R105" s="2401" t="s">
        <v>4920</v>
      </c>
      <c r="S105" s="2399" t="s">
        <v>4919</v>
      </c>
      <c r="T105" s="8"/>
      <c r="U105" s="8"/>
      <c r="V105" s="8"/>
      <c r="W105" s="8"/>
      <c r="X105" s="8"/>
      <c r="Y105" s="8"/>
      <c r="Z105" s="8"/>
      <c r="AA105" s="8"/>
      <c r="AB105" s="8"/>
      <c r="AC105" s="8"/>
      <c r="AD105" s="8"/>
    </row>
    <row r="106" spans="1:30">
      <c r="A106" s="2402">
        <v>91</v>
      </c>
      <c r="B106" s="2400">
        <v>2709</v>
      </c>
      <c r="C106" s="2401" t="s">
        <v>4918</v>
      </c>
      <c r="D106" s="2399" t="s">
        <v>4917</v>
      </c>
      <c r="E106" s="2403"/>
      <c r="F106" s="2402">
        <v>415</v>
      </c>
      <c r="G106" s="2400" t="s">
        <v>4916</v>
      </c>
      <c r="H106" s="2401" t="s">
        <v>4915</v>
      </c>
      <c r="I106" s="2399" t="s">
        <v>4914</v>
      </c>
      <c r="J106" s="2403"/>
      <c r="K106" s="2402">
        <v>739</v>
      </c>
      <c r="L106" s="2400" t="s">
        <v>4913</v>
      </c>
      <c r="M106" s="2401" t="s">
        <v>4912</v>
      </c>
      <c r="N106" s="2399" t="s">
        <v>4911</v>
      </c>
      <c r="O106" s="2403"/>
      <c r="P106" s="2402">
        <v>1063</v>
      </c>
      <c r="Q106" s="2400" t="s">
        <v>4910</v>
      </c>
      <c r="R106" s="2401" t="s">
        <v>4909</v>
      </c>
      <c r="S106" s="2399" t="s">
        <v>4908</v>
      </c>
      <c r="T106" s="8"/>
      <c r="U106" s="8"/>
      <c r="V106" s="8"/>
      <c r="W106" s="8"/>
      <c r="X106" s="8"/>
      <c r="Y106" s="8"/>
      <c r="Z106" s="8"/>
      <c r="AA106" s="8"/>
      <c r="AB106" s="8"/>
      <c r="AC106" s="8"/>
      <c r="AD106" s="8"/>
    </row>
    <row r="107" spans="1:30">
      <c r="A107" s="2402">
        <v>92</v>
      </c>
      <c r="B107" s="2400" t="s">
        <v>4907</v>
      </c>
      <c r="C107" s="2401" t="s">
        <v>4906</v>
      </c>
      <c r="D107" s="2399" t="s">
        <v>4905</v>
      </c>
      <c r="E107" s="2403"/>
      <c r="F107" s="2402">
        <v>416</v>
      </c>
      <c r="G107" s="2400" t="s">
        <v>4904</v>
      </c>
      <c r="H107" s="2401" t="s">
        <v>4903</v>
      </c>
      <c r="I107" s="2399" t="s">
        <v>4902</v>
      </c>
      <c r="J107" s="2403"/>
      <c r="K107" s="2402">
        <v>740</v>
      </c>
      <c r="L107" s="2400" t="s">
        <v>4901</v>
      </c>
      <c r="M107" s="2401" t="s">
        <v>4900</v>
      </c>
      <c r="N107" s="2399" t="s">
        <v>4899</v>
      </c>
      <c r="O107" s="2403"/>
      <c r="P107" s="2402">
        <v>1064</v>
      </c>
      <c r="Q107" s="2400" t="s">
        <v>4898</v>
      </c>
      <c r="R107" s="2401" t="s">
        <v>4897</v>
      </c>
      <c r="S107" s="2399" t="s">
        <v>4896</v>
      </c>
      <c r="T107" s="8"/>
      <c r="U107" s="8"/>
      <c r="V107" s="8"/>
      <c r="W107" s="8"/>
      <c r="X107" s="8"/>
      <c r="Y107" s="8"/>
      <c r="Z107" s="8"/>
      <c r="AA107" s="8"/>
      <c r="AB107" s="8"/>
      <c r="AC107" s="8"/>
      <c r="AD107" s="8"/>
    </row>
    <row r="108" spans="1:30">
      <c r="A108" s="2402">
        <v>93</v>
      </c>
      <c r="B108" s="2400" t="s">
        <v>4895</v>
      </c>
      <c r="C108" s="2401" t="s">
        <v>4894</v>
      </c>
      <c r="D108" s="2399" t="s">
        <v>4893</v>
      </c>
      <c r="E108" s="2403"/>
      <c r="F108" s="2402">
        <v>417</v>
      </c>
      <c r="G108" s="2400" t="s">
        <v>4892</v>
      </c>
      <c r="H108" s="2401" t="s">
        <v>4891</v>
      </c>
      <c r="I108" s="2399" t="s">
        <v>4890</v>
      </c>
      <c r="J108" s="2403"/>
      <c r="K108" s="2402">
        <v>741</v>
      </c>
      <c r="L108" s="2400" t="s">
        <v>4889</v>
      </c>
      <c r="M108" s="2401" t="s">
        <v>4888</v>
      </c>
      <c r="N108" s="2399" t="s">
        <v>4887</v>
      </c>
      <c r="O108" s="2403"/>
      <c r="P108" s="2402">
        <v>1065</v>
      </c>
      <c r="Q108" s="2400" t="s">
        <v>4886</v>
      </c>
      <c r="R108" s="2401" t="s">
        <v>4885</v>
      </c>
      <c r="S108" s="2399" t="s">
        <v>4884</v>
      </c>
      <c r="T108" s="8"/>
      <c r="U108" s="8"/>
      <c r="V108" s="8"/>
      <c r="W108" s="8"/>
      <c r="X108" s="8"/>
      <c r="Y108" s="8"/>
      <c r="Z108" s="8"/>
      <c r="AA108" s="8"/>
      <c r="AB108" s="8"/>
      <c r="AC108" s="8"/>
      <c r="AD108" s="8"/>
    </row>
    <row r="109" spans="1:30">
      <c r="A109" s="2402">
        <v>94</v>
      </c>
      <c r="B109" s="2400" t="s">
        <v>4883</v>
      </c>
      <c r="C109" s="2401" t="s">
        <v>4882</v>
      </c>
      <c r="D109" s="2399" t="s">
        <v>4180</v>
      </c>
      <c r="E109" s="2403"/>
      <c r="F109" s="2402">
        <v>418</v>
      </c>
      <c r="G109" s="2400" t="s">
        <v>4881</v>
      </c>
      <c r="H109" s="2401" t="s">
        <v>4880</v>
      </c>
      <c r="I109" s="2399" t="s">
        <v>4879</v>
      </c>
      <c r="J109" s="2403"/>
      <c r="K109" s="2402">
        <v>742</v>
      </c>
      <c r="L109" s="2400" t="s">
        <v>4878</v>
      </c>
      <c r="M109" s="2401" t="s">
        <v>4877</v>
      </c>
      <c r="N109" s="2399" t="s">
        <v>4876</v>
      </c>
      <c r="O109" s="2403"/>
      <c r="P109" s="2402">
        <v>1066</v>
      </c>
      <c r="Q109" s="2400" t="s">
        <v>4875</v>
      </c>
      <c r="R109" s="2401" t="s">
        <v>4874</v>
      </c>
      <c r="S109" s="2399" t="s">
        <v>4873</v>
      </c>
      <c r="T109" s="8"/>
      <c r="U109" s="8"/>
      <c r="V109" s="8"/>
      <c r="W109" s="8"/>
      <c r="X109" s="8"/>
      <c r="Y109" s="8"/>
      <c r="Z109" s="8"/>
      <c r="AA109" s="8"/>
      <c r="AB109" s="8"/>
      <c r="AC109" s="8"/>
      <c r="AD109" s="8"/>
    </row>
    <row r="110" spans="1:30">
      <c r="A110" s="2402">
        <v>95</v>
      </c>
      <c r="B110" s="2400">
        <v>2712</v>
      </c>
      <c r="C110" s="2401" t="s">
        <v>4872</v>
      </c>
      <c r="D110" s="2399" t="s">
        <v>4871</v>
      </c>
      <c r="E110" s="2403"/>
      <c r="F110" s="2402">
        <v>419</v>
      </c>
      <c r="G110" s="2400" t="s">
        <v>4870</v>
      </c>
      <c r="H110" s="2401" t="s">
        <v>4869</v>
      </c>
      <c r="I110" s="2399" t="s">
        <v>4868</v>
      </c>
      <c r="J110" s="2403"/>
      <c r="K110" s="2402">
        <v>743</v>
      </c>
      <c r="L110" s="2400" t="s">
        <v>4867</v>
      </c>
      <c r="M110" s="2401" t="s">
        <v>4866</v>
      </c>
      <c r="N110" s="2399" t="s">
        <v>4865</v>
      </c>
      <c r="O110" s="2403"/>
      <c r="P110" s="2402">
        <v>1067</v>
      </c>
      <c r="Q110" s="2400" t="s">
        <v>4864</v>
      </c>
      <c r="R110" s="2401" t="s">
        <v>4863</v>
      </c>
      <c r="S110" s="2399" t="s">
        <v>4862</v>
      </c>
      <c r="T110" s="8"/>
      <c r="U110" s="8"/>
      <c r="V110" s="8"/>
      <c r="W110" s="8"/>
      <c r="X110" s="8"/>
      <c r="Y110" s="8"/>
      <c r="Z110" s="8"/>
      <c r="AA110" s="8"/>
      <c r="AB110" s="8"/>
      <c r="AC110" s="8"/>
      <c r="AD110" s="8"/>
    </row>
    <row r="111" spans="1:30">
      <c r="A111" s="2402">
        <v>96</v>
      </c>
      <c r="B111" s="2400">
        <v>2714</v>
      </c>
      <c r="C111" s="2401" t="s">
        <v>4861</v>
      </c>
      <c r="D111" s="2399" t="s">
        <v>4860</v>
      </c>
      <c r="E111" s="2403"/>
      <c r="F111" s="2402">
        <v>420</v>
      </c>
      <c r="G111" s="2400" t="s">
        <v>4859</v>
      </c>
      <c r="H111" s="2401" t="s">
        <v>4858</v>
      </c>
      <c r="I111" s="2399" t="s">
        <v>4857</v>
      </c>
      <c r="J111" s="2403"/>
      <c r="K111" s="2402">
        <v>744</v>
      </c>
      <c r="L111" s="2400" t="s">
        <v>4856</v>
      </c>
      <c r="M111" s="2401" t="s">
        <v>4855</v>
      </c>
      <c r="N111" s="2399" t="s">
        <v>4854</v>
      </c>
      <c r="O111" s="2403"/>
      <c r="P111" s="2402">
        <v>1068</v>
      </c>
      <c r="Q111" s="2400" t="s">
        <v>4853</v>
      </c>
      <c r="R111" s="2401" t="s">
        <v>4852</v>
      </c>
      <c r="S111" s="2399" t="s">
        <v>4851</v>
      </c>
      <c r="T111" s="8"/>
      <c r="U111" s="8"/>
      <c r="V111" s="8"/>
      <c r="W111" s="8"/>
      <c r="X111" s="8"/>
      <c r="Y111" s="8"/>
      <c r="Z111" s="8"/>
      <c r="AA111" s="8"/>
      <c r="AB111" s="8"/>
      <c r="AC111" s="8"/>
      <c r="AD111" s="8"/>
    </row>
    <row r="112" spans="1:30">
      <c r="A112" s="2402">
        <v>97</v>
      </c>
      <c r="B112" s="2400">
        <v>2716</v>
      </c>
      <c r="C112" s="2401" t="s">
        <v>4850</v>
      </c>
      <c r="D112" s="2399" t="s">
        <v>4849</v>
      </c>
      <c r="E112" s="2403"/>
      <c r="F112" s="2402">
        <v>421</v>
      </c>
      <c r="G112" s="2400" t="s">
        <v>4848</v>
      </c>
      <c r="H112" s="2401" t="s">
        <v>4847</v>
      </c>
      <c r="I112" s="2399" t="s">
        <v>4846</v>
      </c>
      <c r="J112" s="2403"/>
      <c r="K112" s="2402">
        <v>745</v>
      </c>
      <c r="L112" s="2400" t="s">
        <v>4845</v>
      </c>
      <c r="M112" s="2401" t="s">
        <v>4844</v>
      </c>
      <c r="N112" s="2399" t="s">
        <v>4843</v>
      </c>
      <c r="O112" s="2403"/>
      <c r="P112" s="2402">
        <v>1069</v>
      </c>
      <c r="Q112" s="2400" t="s">
        <v>4842</v>
      </c>
      <c r="R112" s="2401" t="s">
        <v>4841</v>
      </c>
      <c r="S112" s="2399" t="s">
        <v>4840</v>
      </c>
      <c r="T112" s="8"/>
      <c r="U112" s="8"/>
      <c r="V112" s="8"/>
      <c r="W112" s="8"/>
      <c r="X112" s="8"/>
      <c r="Y112" s="8"/>
      <c r="Z112" s="8"/>
      <c r="AA112" s="8"/>
      <c r="AB112" s="8"/>
      <c r="AC112" s="8"/>
      <c r="AD112" s="8"/>
    </row>
    <row r="113" spans="1:30">
      <c r="A113" s="2402">
        <v>98</v>
      </c>
      <c r="B113" s="2400" t="s">
        <v>4839</v>
      </c>
      <c r="C113" s="2401" t="s">
        <v>4838</v>
      </c>
      <c r="D113" s="2399" t="s">
        <v>4837</v>
      </c>
      <c r="E113" s="2403"/>
      <c r="F113" s="2402">
        <v>422</v>
      </c>
      <c r="G113" s="2400" t="s">
        <v>4836</v>
      </c>
      <c r="H113" s="2401" t="s">
        <v>4835</v>
      </c>
      <c r="I113" s="2399" t="s">
        <v>4834</v>
      </c>
      <c r="J113" s="2403"/>
      <c r="K113" s="2402">
        <v>746</v>
      </c>
      <c r="L113" s="2400" t="s">
        <v>4833</v>
      </c>
      <c r="M113" s="2401" t="s">
        <v>4832</v>
      </c>
      <c r="N113" s="2399" t="s">
        <v>4831</v>
      </c>
      <c r="O113" s="2403"/>
      <c r="P113" s="2402">
        <v>1070</v>
      </c>
      <c r="Q113" s="2400" t="s">
        <v>4830</v>
      </c>
      <c r="R113" s="2401" t="s">
        <v>4829</v>
      </c>
      <c r="S113" s="2399" t="s">
        <v>4828</v>
      </c>
      <c r="T113" s="8"/>
      <c r="U113" s="8"/>
      <c r="V113" s="8"/>
      <c r="W113" s="8"/>
      <c r="X113" s="8"/>
      <c r="Y113" s="8"/>
      <c r="Z113" s="8"/>
      <c r="AA113" s="8"/>
      <c r="AB113" s="8"/>
      <c r="AC113" s="8"/>
      <c r="AD113" s="8"/>
    </row>
    <row r="114" spans="1:30">
      <c r="A114" s="2402">
        <v>99</v>
      </c>
      <c r="B114" s="2400">
        <v>2721</v>
      </c>
      <c r="C114" s="2401" t="s">
        <v>4827</v>
      </c>
      <c r="D114" s="2399" t="s">
        <v>4826</v>
      </c>
      <c r="E114" s="2403"/>
      <c r="F114" s="2402">
        <v>423</v>
      </c>
      <c r="G114" s="2400" t="s">
        <v>4825</v>
      </c>
      <c r="H114" s="2401" t="s">
        <v>4824</v>
      </c>
      <c r="I114" s="2399" t="s">
        <v>4823</v>
      </c>
      <c r="J114" s="2403"/>
      <c r="K114" s="2402">
        <v>747</v>
      </c>
      <c r="L114" s="2400" t="s">
        <v>4822</v>
      </c>
      <c r="M114" s="2401" t="s">
        <v>4821</v>
      </c>
      <c r="N114" s="2399" t="s">
        <v>4820</v>
      </c>
      <c r="O114" s="2403"/>
      <c r="P114" s="2402">
        <v>1071</v>
      </c>
      <c r="Q114" s="2400" t="s">
        <v>4819</v>
      </c>
      <c r="R114" s="2401" t="s">
        <v>4818</v>
      </c>
      <c r="S114" s="2399" t="s">
        <v>4817</v>
      </c>
      <c r="T114" s="8"/>
      <c r="U114" s="8"/>
      <c r="V114" s="8"/>
      <c r="W114" s="8"/>
      <c r="X114" s="8"/>
      <c r="Y114" s="8"/>
      <c r="Z114" s="8"/>
      <c r="AA114" s="8"/>
      <c r="AB114" s="8"/>
      <c r="AC114" s="8"/>
      <c r="AD114" s="8"/>
    </row>
    <row r="115" spans="1:30">
      <c r="A115" s="2402">
        <v>100</v>
      </c>
      <c r="B115" s="2400">
        <v>2733</v>
      </c>
      <c r="C115" s="2401" t="s">
        <v>4816</v>
      </c>
      <c r="D115" s="2399" t="s">
        <v>4815</v>
      </c>
      <c r="E115" s="2403"/>
      <c r="F115" s="2402">
        <v>424</v>
      </c>
      <c r="G115" s="2400" t="s">
        <v>4814</v>
      </c>
      <c r="H115" s="2401" t="s">
        <v>4813</v>
      </c>
      <c r="I115" s="2399" t="s">
        <v>4812</v>
      </c>
      <c r="J115" s="2403"/>
      <c r="K115" s="2402">
        <v>748</v>
      </c>
      <c r="L115" s="2400" t="s">
        <v>4811</v>
      </c>
      <c r="M115" s="2401" t="s">
        <v>4810</v>
      </c>
      <c r="N115" s="2399" t="s">
        <v>4809</v>
      </c>
      <c r="O115" s="2403"/>
      <c r="P115" s="2402">
        <v>1072</v>
      </c>
      <c r="Q115" s="2400" t="s">
        <v>4808</v>
      </c>
      <c r="R115" s="2401" t="s">
        <v>4807</v>
      </c>
      <c r="S115" s="2399" t="s">
        <v>4806</v>
      </c>
      <c r="T115" s="8"/>
      <c r="U115" s="8"/>
      <c r="V115" s="8"/>
      <c r="W115" s="8"/>
      <c r="X115" s="8"/>
      <c r="Y115" s="8"/>
      <c r="Z115" s="8"/>
      <c r="AA115" s="8"/>
      <c r="AB115" s="8"/>
      <c r="AC115" s="8"/>
      <c r="AD115" s="8"/>
    </row>
    <row r="116" spans="1:30">
      <c r="A116" s="2402">
        <v>101</v>
      </c>
      <c r="B116" s="2400">
        <v>2734</v>
      </c>
      <c r="C116" s="2401" t="s">
        <v>4805</v>
      </c>
      <c r="D116" s="2399" t="s">
        <v>4804</v>
      </c>
      <c r="E116" s="2403"/>
      <c r="F116" s="2402">
        <v>425</v>
      </c>
      <c r="G116" s="2400" t="s">
        <v>4803</v>
      </c>
      <c r="H116" s="2401" t="s">
        <v>4802</v>
      </c>
      <c r="I116" s="2399" t="s">
        <v>4801</v>
      </c>
      <c r="J116" s="2403"/>
      <c r="K116" s="2402">
        <v>749</v>
      </c>
      <c r="L116" s="2400" t="s">
        <v>4800</v>
      </c>
      <c r="M116" s="2401" t="s">
        <v>4799</v>
      </c>
      <c r="N116" s="2399" t="s">
        <v>4798</v>
      </c>
      <c r="O116" s="2403"/>
      <c r="P116" s="2402">
        <v>1073</v>
      </c>
      <c r="Q116" s="2400" t="s">
        <v>4797</v>
      </c>
      <c r="R116" s="2401" t="s">
        <v>4796</v>
      </c>
      <c r="S116" s="2399" t="s">
        <v>4795</v>
      </c>
      <c r="T116" s="8"/>
      <c r="U116" s="8"/>
      <c r="V116" s="8"/>
      <c r="W116" s="8"/>
      <c r="X116" s="8"/>
      <c r="Y116" s="8"/>
      <c r="Z116" s="8"/>
      <c r="AA116" s="8"/>
      <c r="AB116" s="8"/>
      <c r="AC116" s="8"/>
      <c r="AD116" s="8"/>
    </row>
    <row r="117" spans="1:30">
      <c r="A117" s="2402">
        <v>102</v>
      </c>
      <c r="B117" s="2400">
        <v>2744</v>
      </c>
      <c r="C117" s="2401" t="s">
        <v>4794</v>
      </c>
      <c r="D117" s="2399" t="s">
        <v>4793</v>
      </c>
      <c r="E117" s="2403"/>
      <c r="F117" s="2402">
        <v>426</v>
      </c>
      <c r="G117" s="2400" t="s">
        <v>4792</v>
      </c>
      <c r="H117" s="2401" t="s">
        <v>4791</v>
      </c>
      <c r="I117" s="2399" t="s">
        <v>4790</v>
      </c>
      <c r="J117" s="2403"/>
      <c r="K117" s="2402">
        <v>750</v>
      </c>
      <c r="L117" s="2400" t="s">
        <v>4789</v>
      </c>
      <c r="M117" s="2401" t="s">
        <v>4788</v>
      </c>
      <c r="N117" s="2399" t="s">
        <v>4787</v>
      </c>
      <c r="O117" s="2403"/>
      <c r="P117" s="2402">
        <v>1074</v>
      </c>
      <c r="Q117" s="2400" t="s">
        <v>4786</v>
      </c>
      <c r="R117" s="2401" t="s">
        <v>4785</v>
      </c>
      <c r="S117" s="2399" t="s">
        <v>4784</v>
      </c>
      <c r="T117" s="8"/>
      <c r="U117" s="8"/>
      <c r="V117" s="8"/>
      <c r="W117" s="8"/>
      <c r="X117" s="8"/>
      <c r="Y117" s="8"/>
      <c r="Z117" s="8"/>
      <c r="AA117" s="8"/>
      <c r="AB117" s="8"/>
      <c r="AC117" s="8"/>
      <c r="AD117" s="8"/>
    </row>
    <row r="118" spans="1:30">
      <c r="A118" s="2402">
        <v>103</v>
      </c>
      <c r="B118" s="2400">
        <v>2747</v>
      </c>
      <c r="C118" s="2401" t="s">
        <v>4783</v>
      </c>
      <c r="D118" s="2399" t="s">
        <v>4782</v>
      </c>
      <c r="E118" s="2403"/>
      <c r="F118" s="2402">
        <v>427</v>
      </c>
      <c r="G118" s="2400" t="s">
        <v>4781</v>
      </c>
      <c r="H118" s="2401" t="s">
        <v>4780</v>
      </c>
      <c r="I118" s="2399" t="s">
        <v>4779</v>
      </c>
      <c r="J118" s="2403"/>
      <c r="K118" s="2402">
        <v>751</v>
      </c>
      <c r="L118" s="2400" t="s">
        <v>4778</v>
      </c>
      <c r="M118" s="2401" t="s">
        <v>4777</v>
      </c>
      <c r="N118" s="2399" t="s">
        <v>4776</v>
      </c>
      <c r="O118" s="2403"/>
      <c r="P118" s="2402">
        <v>1075</v>
      </c>
      <c r="Q118" s="2400" t="s">
        <v>4775</v>
      </c>
      <c r="R118" s="2401" t="s">
        <v>4774</v>
      </c>
      <c r="S118" s="2399" t="s">
        <v>4773</v>
      </c>
      <c r="T118" s="8"/>
      <c r="U118" s="8"/>
      <c r="V118" s="8"/>
      <c r="W118" s="8"/>
      <c r="X118" s="8"/>
      <c r="Y118" s="8"/>
      <c r="Z118" s="8"/>
      <c r="AA118" s="8"/>
      <c r="AB118" s="8"/>
      <c r="AC118" s="8"/>
      <c r="AD118" s="8"/>
    </row>
    <row r="119" spans="1:30">
      <c r="A119" s="2402">
        <v>104</v>
      </c>
      <c r="B119" s="2400" t="s">
        <v>4772</v>
      </c>
      <c r="C119" s="2401" t="s">
        <v>4771</v>
      </c>
      <c r="D119" s="2399" t="s">
        <v>4770</v>
      </c>
      <c r="E119" s="2403"/>
      <c r="F119" s="2402">
        <v>428</v>
      </c>
      <c r="G119" s="2400" t="s">
        <v>4769</v>
      </c>
      <c r="H119" s="2401" t="s">
        <v>4768</v>
      </c>
      <c r="I119" s="2399" t="s">
        <v>4767</v>
      </c>
      <c r="J119" s="2403"/>
      <c r="K119" s="2402">
        <v>752</v>
      </c>
      <c r="L119" s="2400" t="s">
        <v>4766</v>
      </c>
      <c r="M119" s="2401" t="s">
        <v>4765</v>
      </c>
      <c r="N119" s="2399" t="s">
        <v>4764</v>
      </c>
      <c r="O119" s="2403"/>
      <c r="P119" s="2402">
        <v>1076</v>
      </c>
      <c r="Q119" s="2400" t="s">
        <v>4763</v>
      </c>
      <c r="R119" s="2401" t="s">
        <v>4762</v>
      </c>
      <c r="S119" s="2399" t="s">
        <v>4761</v>
      </c>
      <c r="T119" s="8"/>
      <c r="U119" s="8"/>
      <c r="V119" s="8"/>
      <c r="W119" s="8"/>
      <c r="X119" s="8"/>
      <c r="Y119" s="8"/>
      <c r="Z119" s="8"/>
      <c r="AA119" s="8"/>
      <c r="AB119" s="8"/>
      <c r="AC119" s="8"/>
      <c r="AD119" s="8"/>
    </row>
    <row r="120" spans="1:30">
      <c r="A120" s="2402">
        <v>105</v>
      </c>
      <c r="B120" s="2400">
        <v>2753</v>
      </c>
      <c r="C120" s="2401" t="s">
        <v>4760</v>
      </c>
      <c r="D120" s="2399" t="s">
        <v>4759</v>
      </c>
      <c r="E120" s="2403"/>
      <c r="F120" s="2402">
        <v>429</v>
      </c>
      <c r="G120" s="2400" t="s">
        <v>4758</v>
      </c>
      <c r="H120" s="2401" t="s">
        <v>4757</v>
      </c>
      <c r="I120" s="2399" t="s">
        <v>4756</v>
      </c>
      <c r="J120" s="2403"/>
      <c r="K120" s="2402">
        <v>753</v>
      </c>
      <c r="L120" s="2400" t="s">
        <v>4755</v>
      </c>
      <c r="M120" s="2401" t="s">
        <v>4754</v>
      </c>
      <c r="N120" s="2399" t="s">
        <v>4753</v>
      </c>
      <c r="O120" s="2403"/>
      <c r="P120" s="2402">
        <v>1077</v>
      </c>
      <c r="Q120" s="2400" t="s">
        <v>4752</v>
      </c>
      <c r="R120" s="2401" t="s">
        <v>4751</v>
      </c>
      <c r="S120" s="2399" t="s">
        <v>4750</v>
      </c>
      <c r="T120" s="8"/>
      <c r="U120" s="8"/>
      <c r="V120" s="8"/>
      <c r="W120" s="8"/>
      <c r="X120" s="8"/>
      <c r="Y120" s="8"/>
      <c r="Z120" s="8"/>
      <c r="AA120" s="8"/>
      <c r="AB120" s="8"/>
      <c r="AC120" s="8"/>
      <c r="AD120" s="8"/>
    </row>
    <row r="121" spans="1:30">
      <c r="A121" s="2402">
        <v>106</v>
      </c>
      <c r="B121" s="2400">
        <v>2754</v>
      </c>
      <c r="C121" s="2401" t="s">
        <v>4749</v>
      </c>
      <c r="D121" s="2399" t="s">
        <v>4748</v>
      </c>
      <c r="E121" s="2403"/>
      <c r="F121" s="2402">
        <v>430</v>
      </c>
      <c r="G121" s="2400" t="s">
        <v>4747</v>
      </c>
      <c r="H121" s="2401" t="s">
        <v>4746</v>
      </c>
      <c r="I121" s="2399" t="s">
        <v>4745</v>
      </c>
      <c r="J121" s="2403"/>
      <c r="K121" s="2402">
        <v>754</v>
      </c>
      <c r="L121" s="2400" t="s">
        <v>4744</v>
      </c>
      <c r="M121" s="2401" t="s">
        <v>4743</v>
      </c>
      <c r="N121" s="2399" t="s">
        <v>4742</v>
      </c>
      <c r="O121" s="2403"/>
      <c r="P121" s="2402">
        <v>1078</v>
      </c>
      <c r="Q121" s="2400" t="s">
        <v>4741</v>
      </c>
      <c r="R121" s="2401" t="s">
        <v>4740</v>
      </c>
      <c r="S121" s="2399" t="s">
        <v>4739</v>
      </c>
      <c r="T121" s="8"/>
      <c r="U121" s="8"/>
      <c r="V121" s="8"/>
      <c r="W121" s="8"/>
      <c r="X121" s="8"/>
      <c r="Y121" s="8"/>
      <c r="Z121" s="8"/>
      <c r="AA121" s="8"/>
      <c r="AB121" s="8"/>
      <c r="AC121" s="8"/>
      <c r="AD121" s="8"/>
    </row>
    <row r="122" spans="1:30">
      <c r="A122" s="2402">
        <v>107</v>
      </c>
      <c r="B122" s="2400">
        <v>2755</v>
      </c>
      <c r="C122" s="2401" t="s">
        <v>4738</v>
      </c>
      <c r="D122" s="2399" t="s">
        <v>4737</v>
      </c>
      <c r="E122" s="2403"/>
      <c r="F122" s="2402">
        <v>431</v>
      </c>
      <c r="G122" s="2400" t="s">
        <v>4736</v>
      </c>
      <c r="H122" s="2401" t="s">
        <v>4735</v>
      </c>
      <c r="I122" s="2399" t="s">
        <v>4734</v>
      </c>
      <c r="J122" s="2403"/>
      <c r="K122" s="2402">
        <v>755</v>
      </c>
      <c r="L122" s="2400" t="s">
        <v>4733</v>
      </c>
      <c r="M122" s="2401" t="s">
        <v>4732</v>
      </c>
      <c r="N122" s="2399" t="s">
        <v>4731</v>
      </c>
      <c r="O122" s="2403"/>
      <c r="P122" s="2402">
        <v>1079</v>
      </c>
      <c r="Q122" s="2400" t="s">
        <v>4730</v>
      </c>
      <c r="R122" s="2401" t="s">
        <v>4729</v>
      </c>
      <c r="S122" s="2399" t="s">
        <v>4728</v>
      </c>
      <c r="T122" s="8"/>
      <c r="U122" s="8"/>
      <c r="V122" s="8"/>
      <c r="W122" s="8"/>
      <c r="X122" s="8"/>
      <c r="Y122" s="8"/>
      <c r="Z122" s="8"/>
      <c r="AA122" s="8"/>
      <c r="AB122" s="8"/>
      <c r="AC122" s="8"/>
      <c r="AD122" s="8"/>
    </row>
    <row r="123" spans="1:30">
      <c r="A123" s="2402">
        <v>108</v>
      </c>
      <c r="B123" s="2400">
        <v>2757</v>
      </c>
      <c r="C123" s="2401" t="s">
        <v>4727</v>
      </c>
      <c r="D123" s="2399" t="s">
        <v>4726</v>
      </c>
      <c r="E123" s="2403"/>
      <c r="F123" s="2402">
        <v>432</v>
      </c>
      <c r="G123" s="2400" t="s">
        <v>4725</v>
      </c>
      <c r="H123" s="2401" t="s">
        <v>4724</v>
      </c>
      <c r="I123" s="2399" t="s">
        <v>4723</v>
      </c>
      <c r="J123" s="2403"/>
      <c r="K123" s="2402">
        <v>756</v>
      </c>
      <c r="L123" s="2400" t="s">
        <v>4722</v>
      </c>
      <c r="M123" s="2401" t="s">
        <v>4721</v>
      </c>
      <c r="N123" s="2399" t="s">
        <v>4720</v>
      </c>
      <c r="O123" s="2403"/>
      <c r="P123" s="2402">
        <v>1080</v>
      </c>
      <c r="Q123" s="2400" t="s">
        <v>4719</v>
      </c>
      <c r="R123" s="2401" t="s">
        <v>4718</v>
      </c>
      <c r="S123" s="2399" t="s">
        <v>4717</v>
      </c>
      <c r="T123" s="8"/>
      <c r="U123" s="8"/>
      <c r="V123" s="8"/>
      <c r="W123" s="8"/>
      <c r="X123" s="8"/>
      <c r="Y123" s="8"/>
      <c r="Z123" s="8"/>
      <c r="AA123" s="8"/>
      <c r="AB123" s="8"/>
      <c r="AC123" s="8"/>
      <c r="AD123" s="8"/>
    </row>
    <row r="124" spans="1:30">
      <c r="A124" s="2402">
        <v>109</v>
      </c>
      <c r="B124" s="2400">
        <v>2763</v>
      </c>
      <c r="C124" s="2401" t="s">
        <v>4716</v>
      </c>
      <c r="D124" s="2399" t="s">
        <v>4715</v>
      </c>
      <c r="E124" s="2403"/>
      <c r="F124" s="2402">
        <v>433</v>
      </c>
      <c r="G124" s="2400" t="s">
        <v>4714</v>
      </c>
      <c r="H124" s="2401" t="s">
        <v>4713</v>
      </c>
      <c r="I124" s="2399" t="s">
        <v>4712</v>
      </c>
      <c r="J124" s="2403"/>
      <c r="K124" s="2402">
        <v>757</v>
      </c>
      <c r="L124" s="2400" t="s">
        <v>4711</v>
      </c>
      <c r="M124" s="2401" t="s">
        <v>4710</v>
      </c>
      <c r="N124" s="2399" t="s">
        <v>4709</v>
      </c>
      <c r="O124" s="2403"/>
      <c r="P124" s="2402">
        <v>1081</v>
      </c>
      <c r="Q124" s="2400" t="s">
        <v>4708</v>
      </c>
      <c r="R124" s="2401" t="s">
        <v>4707</v>
      </c>
      <c r="S124" s="2399" t="s">
        <v>4706</v>
      </c>
      <c r="T124" s="8"/>
      <c r="U124" s="8"/>
      <c r="V124" s="8"/>
      <c r="W124" s="8"/>
      <c r="X124" s="8"/>
      <c r="Y124" s="8"/>
      <c r="Z124" s="8"/>
      <c r="AA124" s="8"/>
      <c r="AB124" s="8"/>
      <c r="AC124" s="8"/>
      <c r="AD124" s="8"/>
    </row>
    <row r="125" spans="1:30">
      <c r="A125" s="2402">
        <v>110</v>
      </c>
      <c r="B125" s="2400">
        <v>2764</v>
      </c>
      <c r="C125" s="2401" t="s">
        <v>4705</v>
      </c>
      <c r="D125" s="2399" t="s">
        <v>4704</v>
      </c>
      <c r="E125" s="2403"/>
      <c r="F125" s="2402">
        <v>434</v>
      </c>
      <c r="G125" s="2400" t="s">
        <v>4703</v>
      </c>
      <c r="H125" s="2401" t="s">
        <v>4702</v>
      </c>
      <c r="I125" s="2399" t="s">
        <v>4701</v>
      </c>
      <c r="J125" s="2403"/>
      <c r="K125" s="2402">
        <v>758</v>
      </c>
      <c r="L125" s="2400" t="s">
        <v>4700</v>
      </c>
      <c r="M125" s="2401" t="s">
        <v>4699</v>
      </c>
      <c r="N125" s="2399" t="s">
        <v>4698</v>
      </c>
      <c r="O125" s="2403"/>
      <c r="P125" s="2402">
        <v>1082</v>
      </c>
      <c r="Q125" s="2400" t="s">
        <v>4697</v>
      </c>
      <c r="R125" s="2401" t="s">
        <v>4696</v>
      </c>
      <c r="S125" s="2399" t="s">
        <v>4695</v>
      </c>
      <c r="T125" s="8"/>
      <c r="U125" s="8"/>
      <c r="V125" s="8"/>
      <c r="W125" s="8"/>
      <c r="X125" s="8"/>
      <c r="Y125" s="8"/>
      <c r="Z125" s="8"/>
      <c r="AA125" s="8"/>
      <c r="AB125" s="8"/>
      <c r="AC125" s="8"/>
      <c r="AD125" s="8"/>
    </row>
    <row r="126" spans="1:30">
      <c r="A126" s="2402">
        <v>111</v>
      </c>
      <c r="B126" s="2400">
        <v>2705</v>
      </c>
      <c r="C126" s="2401" t="s">
        <v>4694</v>
      </c>
      <c r="D126" s="2399" t="s">
        <v>4693</v>
      </c>
      <c r="E126" s="2403"/>
      <c r="F126" s="2402">
        <v>435</v>
      </c>
      <c r="G126" s="2400" t="s">
        <v>4692</v>
      </c>
      <c r="H126" s="2401" t="s">
        <v>4691</v>
      </c>
      <c r="I126" s="2399" t="s">
        <v>4690</v>
      </c>
      <c r="J126" s="2403"/>
      <c r="K126" s="2402">
        <v>759</v>
      </c>
      <c r="L126" s="2400" t="s">
        <v>4689</v>
      </c>
      <c r="M126" s="2401" t="s">
        <v>4688</v>
      </c>
      <c r="N126" s="2399" t="s">
        <v>2129</v>
      </c>
      <c r="O126" s="2403"/>
      <c r="P126" s="2402">
        <v>1083</v>
      </c>
      <c r="Q126" s="2400" t="s">
        <v>4687</v>
      </c>
      <c r="R126" s="2401" t="s">
        <v>4686</v>
      </c>
      <c r="S126" s="2399" t="s">
        <v>4685</v>
      </c>
      <c r="T126" s="8"/>
      <c r="U126" s="8"/>
      <c r="V126" s="8"/>
      <c r="W126" s="8"/>
      <c r="X126" s="8"/>
      <c r="Y126" s="8"/>
      <c r="Z126" s="8"/>
      <c r="AA126" s="8"/>
      <c r="AB126" s="8"/>
      <c r="AC126" s="8"/>
      <c r="AD126" s="8"/>
    </row>
    <row r="127" spans="1:30">
      <c r="A127" s="2402">
        <v>112</v>
      </c>
      <c r="B127" s="2400" t="s">
        <v>4684</v>
      </c>
      <c r="C127" s="2401" t="s">
        <v>4683</v>
      </c>
      <c r="D127" s="2399" t="s">
        <v>4682</v>
      </c>
      <c r="E127" s="2403"/>
      <c r="F127" s="2402">
        <v>436</v>
      </c>
      <c r="G127" s="2400" t="s">
        <v>4681</v>
      </c>
      <c r="H127" s="2401" t="s">
        <v>4680</v>
      </c>
      <c r="I127" s="2399" t="s">
        <v>4679</v>
      </c>
      <c r="J127" s="2403"/>
      <c r="K127" s="2402">
        <v>760</v>
      </c>
      <c r="L127" s="2400" t="s">
        <v>4678</v>
      </c>
      <c r="M127" s="2401" t="s">
        <v>4677</v>
      </c>
      <c r="N127" s="2399" t="s">
        <v>4676</v>
      </c>
      <c r="O127" s="2403"/>
      <c r="P127" s="2402">
        <v>1084</v>
      </c>
      <c r="Q127" s="2400" t="s">
        <v>4675</v>
      </c>
      <c r="R127" s="2401" t="s">
        <v>4674</v>
      </c>
      <c r="S127" s="2399" t="s">
        <v>4673</v>
      </c>
      <c r="T127" s="8"/>
      <c r="U127" s="8"/>
      <c r="V127" s="8"/>
      <c r="W127" s="8"/>
      <c r="X127" s="8"/>
      <c r="Y127" s="8"/>
      <c r="Z127" s="8"/>
      <c r="AA127" s="8"/>
      <c r="AB127" s="8"/>
      <c r="AC127" s="8"/>
      <c r="AD127" s="8"/>
    </row>
    <row r="128" spans="1:30">
      <c r="A128" s="2402">
        <v>113</v>
      </c>
      <c r="B128" s="2400" t="s">
        <v>4672</v>
      </c>
      <c r="C128" s="2401" t="s">
        <v>4671</v>
      </c>
      <c r="D128" s="2399" t="s">
        <v>4670</v>
      </c>
      <c r="E128" s="2403"/>
      <c r="F128" s="2402">
        <v>437</v>
      </c>
      <c r="G128" s="2400" t="s">
        <v>4669</v>
      </c>
      <c r="H128" s="2401" t="s">
        <v>4668</v>
      </c>
      <c r="I128" s="2399" t="s">
        <v>4667</v>
      </c>
      <c r="J128" s="2403"/>
      <c r="K128" s="2402">
        <v>761</v>
      </c>
      <c r="L128" s="2400" t="s">
        <v>4666</v>
      </c>
      <c r="M128" s="2401" t="s">
        <v>4665</v>
      </c>
      <c r="N128" s="2399" t="s">
        <v>4664</v>
      </c>
      <c r="O128" s="2403"/>
      <c r="P128" s="2402">
        <v>1085</v>
      </c>
      <c r="Q128" s="2400" t="s">
        <v>4663</v>
      </c>
      <c r="R128" s="2401" t="s">
        <v>4662</v>
      </c>
      <c r="S128" s="2399" t="s">
        <v>4661</v>
      </c>
      <c r="T128" s="8"/>
      <c r="U128" s="8"/>
      <c r="V128" s="8"/>
      <c r="W128" s="8"/>
      <c r="X128" s="8"/>
      <c r="Y128" s="8"/>
      <c r="Z128" s="8"/>
      <c r="AA128" s="8"/>
      <c r="AB128" s="8"/>
      <c r="AC128" s="8"/>
      <c r="AD128" s="8"/>
    </row>
    <row r="129" spans="1:30">
      <c r="A129" s="2402">
        <v>114</v>
      </c>
      <c r="B129" s="2400">
        <v>2728</v>
      </c>
      <c r="C129" s="2401" t="s">
        <v>4660</v>
      </c>
      <c r="D129" s="2399" t="s">
        <v>4659</v>
      </c>
      <c r="E129" s="2403"/>
      <c r="F129" s="2402">
        <v>438</v>
      </c>
      <c r="G129" s="2400" t="s">
        <v>4658</v>
      </c>
      <c r="H129" s="2401" t="s">
        <v>4657</v>
      </c>
      <c r="I129" s="2399" t="s">
        <v>4656</v>
      </c>
      <c r="J129" s="2403"/>
      <c r="K129" s="2402">
        <v>762</v>
      </c>
      <c r="L129" s="2400" t="s">
        <v>4655</v>
      </c>
      <c r="M129" s="2401" t="s">
        <v>4654</v>
      </c>
      <c r="N129" s="2399" t="s">
        <v>4653</v>
      </c>
      <c r="O129" s="2403"/>
      <c r="P129" s="2402">
        <v>1086</v>
      </c>
      <c r="Q129" s="2400" t="s">
        <v>4652</v>
      </c>
      <c r="R129" s="2401" t="s">
        <v>4651</v>
      </c>
      <c r="S129" s="2399" t="s">
        <v>4650</v>
      </c>
      <c r="T129" s="8"/>
      <c r="U129" s="8"/>
      <c r="V129" s="8"/>
      <c r="W129" s="8"/>
      <c r="X129" s="8"/>
      <c r="Y129" s="8"/>
      <c r="Z129" s="8"/>
      <c r="AA129" s="8"/>
      <c r="AB129" s="8"/>
      <c r="AC129" s="8"/>
      <c r="AD129" s="8"/>
    </row>
    <row r="130" spans="1:30">
      <c r="A130" s="2402">
        <v>115</v>
      </c>
      <c r="B130" s="2400" t="s">
        <v>4649</v>
      </c>
      <c r="C130" s="2401" t="s">
        <v>4648</v>
      </c>
      <c r="D130" s="2399" t="s">
        <v>4647</v>
      </c>
      <c r="E130" s="2403"/>
      <c r="F130" s="2402">
        <v>439</v>
      </c>
      <c r="G130" s="2400" t="s">
        <v>4646</v>
      </c>
      <c r="H130" s="2401" t="s">
        <v>4645</v>
      </c>
      <c r="I130" s="2399" t="s">
        <v>4644</v>
      </c>
      <c r="J130" s="2403"/>
      <c r="K130" s="2402">
        <v>763</v>
      </c>
      <c r="L130" s="2400" t="s">
        <v>4643</v>
      </c>
      <c r="M130" s="2401" t="s">
        <v>4642</v>
      </c>
      <c r="N130" s="2399" t="s">
        <v>4641</v>
      </c>
      <c r="O130" s="2403"/>
      <c r="P130" s="2402">
        <v>1087</v>
      </c>
      <c r="Q130" s="2400" t="s">
        <v>4640</v>
      </c>
      <c r="R130" s="2401" t="s">
        <v>4639</v>
      </c>
      <c r="S130" s="2399" t="s">
        <v>4638</v>
      </c>
      <c r="T130" s="8"/>
      <c r="U130" s="8"/>
      <c r="V130" s="8"/>
      <c r="W130" s="8"/>
      <c r="X130" s="8"/>
      <c r="Y130" s="8"/>
      <c r="Z130" s="8"/>
      <c r="AA130" s="8"/>
      <c r="AB130" s="8"/>
      <c r="AC130" s="8"/>
      <c r="AD130" s="8"/>
    </row>
    <row r="131" spans="1:30">
      <c r="A131" s="2402">
        <v>116</v>
      </c>
      <c r="B131" s="2400">
        <v>2614</v>
      </c>
      <c r="C131" s="2401" t="s">
        <v>4637</v>
      </c>
      <c r="D131" s="2399" t="s">
        <v>4636</v>
      </c>
      <c r="E131" s="2403"/>
      <c r="F131" s="2402">
        <v>440</v>
      </c>
      <c r="G131" s="2400" t="s">
        <v>4635</v>
      </c>
      <c r="H131" s="2401" t="s">
        <v>4634</v>
      </c>
      <c r="I131" s="2399" t="s">
        <v>4633</v>
      </c>
      <c r="J131" s="2403"/>
      <c r="K131" s="2402">
        <v>764</v>
      </c>
      <c r="L131" s="2400" t="s">
        <v>4632</v>
      </c>
      <c r="M131" s="2401" t="s">
        <v>4631</v>
      </c>
      <c r="N131" s="2399" t="s">
        <v>4630</v>
      </c>
      <c r="O131" s="2403"/>
      <c r="P131" s="2402">
        <v>1088</v>
      </c>
      <c r="Q131" s="2400" t="s">
        <v>4629</v>
      </c>
      <c r="R131" s="2401" t="s">
        <v>4628</v>
      </c>
      <c r="S131" s="2399" t="s">
        <v>4627</v>
      </c>
      <c r="T131" s="8"/>
      <c r="U131" s="8"/>
      <c r="V131" s="8"/>
      <c r="W131" s="8"/>
      <c r="X131" s="8"/>
      <c r="Y131" s="8"/>
      <c r="Z131" s="8"/>
      <c r="AA131" s="8"/>
      <c r="AB131" s="8"/>
      <c r="AC131" s="8"/>
      <c r="AD131" s="8"/>
    </row>
    <row r="132" spans="1:30">
      <c r="A132" s="2402">
        <v>117</v>
      </c>
      <c r="B132" s="2400">
        <v>2615</v>
      </c>
      <c r="C132" s="2401" t="s">
        <v>4626</v>
      </c>
      <c r="D132" s="2399" t="s">
        <v>4625</v>
      </c>
      <c r="E132" s="2403"/>
      <c r="F132" s="2402">
        <v>441</v>
      </c>
      <c r="G132" s="2400" t="s">
        <v>4624</v>
      </c>
      <c r="H132" s="2401" t="s">
        <v>4623</v>
      </c>
      <c r="I132" s="2399" t="s">
        <v>4622</v>
      </c>
      <c r="J132" s="2403"/>
      <c r="K132" s="2402">
        <v>765</v>
      </c>
      <c r="L132" s="2400" t="s">
        <v>4621</v>
      </c>
      <c r="M132" s="2401" t="s">
        <v>4620</v>
      </c>
      <c r="N132" s="2399" t="s">
        <v>4619</v>
      </c>
      <c r="O132" s="2403"/>
      <c r="P132" s="2402">
        <v>1089</v>
      </c>
      <c r="Q132" s="2400" t="s">
        <v>4618</v>
      </c>
      <c r="R132" s="2401" t="s">
        <v>4617</v>
      </c>
      <c r="S132" s="2399" t="s">
        <v>4616</v>
      </c>
      <c r="T132" s="8"/>
      <c r="U132" s="8"/>
      <c r="V132" s="8"/>
      <c r="W132" s="8"/>
      <c r="X132" s="8"/>
      <c r="Y132" s="8"/>
      <c r="Z132" s="8"/>
      <c r="AA132" s="8"/>
      <c r="AB132" s="8"/>
      <c r="AC132" s="8"/>
      <c r="AD132" s="8"/>
    </row>
    <row r="133" spans="1:30">
      <c r="A133" s="2402">
        <v>118</v>
      </c>
      <c r="B133" s="2400" t="s">
        <v>4615</v>
      </c>
      <c r="C133" s="2401" t="s">
        <v>4614</v>
      </c>
      <c r="D133" s="2399" t="s">
        <v>4613</v>
      </c>
      <c r="E133" s="2403"/>
      <c r="F133" s="2402">
        <v>442</v>
      </c>
      <c r="G133" s="2400" t="s">
        <v>4612</v>
      </c>
      <c r="H133" s="2401" t="s">
        <v>4611</v>
      </c>
      <c r="I133" s="2399" t="s">
        <v>4610</v>
      </c>
      <c r="J133" s="2403"/>
      <c r="K133" s="2402">
        <v>766</v>
      </c>
      <c r="L133" s="2400" t="s">
        <v>4609</v>
      </c>
      <c r="M133" s="2401" t="s">
        <v>4608</v>
      </c>
      <c r="N133" s="2399" t="s">
        <v>4607</v>
      </c>
      <c r="O133" s="2403"/>
      <c r="P133" s="2402">
        <v>1090</v>
      </c>
      <c r="Q133" s="2400" t="s">
        <v>4606</v>
      </c>
      <c r="R133" s="2401" t="s">
        <v>4605</v>
      </c>
      <c r="S133" s="2399" t="s">
        <v>4604</v>
      </c>
      <c r="T133" s="8"/>
      <c r="U133" s="8"/>
      <c r="V133" s="8"/>
      <c r="W133" s="8"/>
      <c r="X133" s="8"/>
      <c r="Y133" s="8"/>
      <c r="Z133" s="8"/>
      <c r="AA133" s="8"/>
      <c r="AB133" s="8"/>
      <c r="AC133" s="8"/>
      <c r="AD133" s="8"/>
    </row>
    <row r="134" spans="1:30">
      <c r="A134" s="2402">
        <v>119</v>
      </c>
      <c r="B134" s="2400" t="s">
        <v>4603</v>
      </c>
      <c r="C134" s="2401" t="s">
        <v>4602</v>
      </c>
      <c r="D134" s="2399" t="s">
        <v>4601</v>
      </c>
      <c r="E134" s="2403"/>
      <c r="F134" s="2402">
        <v>443</v>
      </c>
      <c r="G134" s="2400" t="s">
        <v>4600</v>
      </c>
      <c r="H134" s="2401" t="s">
        <v>4599</v>
      </c>
      <c r="I134" s="2399" t="s">
        <v>4096</v>
      </c>
      <c r="J134" s="2403"/>
      <c r="K134" s="2402">
        <v>767</v>
      </c>
      <c r="L134" s="2400" t="s">
        <v>4598</v>
      </c>
      <c r="M134" s="2401" t="s">
        <v>4597</v>
      </c>
      <c r="N134" s="2399" t="s">
        <v>4596</v>
      </c>
      <c r="O134" s="2403"/>
      <c r="P134" s="2402">
        <v>1091</v>
      </c>
      <c r="Q134" s="2400" t="s">
        <v>4595</v>
      </c>
      <c r="R134" s="2401" t="s">
        <v>4594</v>
      </c>
      <c r="S134" s="2399" t="s">
        <v>4593</v>
      </c>
      <c r="T134" s="8"/>
      <c r="U134" s="8"/>
      <c r="V134" s="8"/>
      <c r="W134" s="8"/>
      <c r="X134" s="8"/>
      <c r="Y134" s="8"/>
      <c r="Z134" s="8"/>
      <c r="AA134" s="8"/>
      <c r="AB134" s="8"/>
      <c r="AC134" s="8"/>
      <c r="AD134" s="8"/>
    </row>
    <row r="135" spans="1:30">
      <c r="A135" s="2402">
        <v>120</v>
      </c>
      <c r="B135" s="2400" t="s">
        <v>4592</v>
      </c>
      <c r="C135" s="2401" t="s">
        <v>4591</v>
      </c>
      <c r="D135" s="2399" t="s">
        <v>4590</v>
      </c>
      <c r="E135" s="2403"/>
      <c r="F135" s="2402">
        <v>444</v>
      </c>
      <c r="G135" s="2400" t="s">
        <v>4589</v>
      </c>
      <c r="H135" s="2401" t="s">
        <v>4588</v>
      </c>
      <c r="I135" s="2399" t="s">
        <v>4587</v>
      </c>
      <c r="J135" s="2403"/>
      <c r="K135" s="2402">
        <v>768</v>
      </c>
      <c r="L135" s="2400" t="s">
        <v>4586</v>
      </c>
      <c r="M135" s="2401" t="s">
        <v>4585</v>
      </c>
      <c r="N135" s="2399" t="s">
        <v>4584</v>
      </c>
      <c r="O135" s="2403"/>
      <c r="P135" s="2402">
        <v>1092</v>
      </c>
      <c r="Q135" s="2400" t="s">
        <v>4583</v>
      </c>
      <c r="R135" s="2401" t="s">
        <v>4582</v>
      </c>
      <c r="S135" s="2399" t="s">
        <v>4581</v>
      </c>
      <c r="T135" s="8"/>
      <c r="U135" s="8"/>
      <c r="V135" s="8"/>
      <c r="W135" s="8"/>
      <c r="X135" s="8"/>
      <c r="Y135" s="8"/>
      <c r="Z135" s="8"/>
      <c r="AA135" s="8"/>
      <c r="AB135" s="8"/>
      <c r="AC135" s="8"/>
      <c r="AD135" s="8"/>
    </row>
    <row r="136" spans="1:30">
      <c r="A136" s="2402">
        <v>121</v>
      </c>
      <c r="B136" s="2400" t="s">
        <v>4580</v>
      </c>
      <c r="C136" s="2401" t="s">
        <v>4579</v>
      </c>
      <c r="D136" s="2399" t="s">
        <v>4578</v>
      </c>
      <c r="E136" s="2403"/>
      <c r="F136" s="2402">
        <v>445</v>
      </c>
      <c r="G136" s="2400" t="s">
        <v>4577</v>
      </c>
      <c r="H136" s="2401" t="s">
        <v>4576</v>
      </c>
      <c r="I136" s="2399" t="s">
        <v>4575</v>
      </c>
      <c r="J136" s="2403"/>
      <c r="K136" s="2402">
        <v>769</v>
      </c>
      <c r="L136" s="2400" t="s">
        <v>4574</v>
      </c>
      <c r="M136" s="2401" t="s">
        <v>4573</v>
      </c>
      <c r="N136" s="2399" t="s">
        <v>4572</v>
      </c>
      <c r="O136" s="2403"/>
      <c r="P136" s="2402">
        <v>1093</v>
      </c>
      <c r="Q136" s="2400" t="s">
        <v>4571</v>
      </c>
      <c r="R136" s="2401" t="s">
        <v>4570</v>
      </c>
      <c r="S136" s="2399" t="s">
        <v>4569</v>
      </c>
      <c r="T136" s="8"/>
      <c r="U136" s="8"/>
      <c r="V136" s="8"/>
      <c r="W136" s="8"/>
      <c r="X136" s="8"/>
      <c r="Y136" s="8"/>
      <c r="Z136" s="8"/>
      <c r="AA136" s="8"/>
      <c r="AB136" s="8"/>
      <c r="AC136" s="8"/>
      <c r="AD136" s="8"/>
    </row>
    <row r="137" spans="1:30">
      <c r="A137" s="2402">
        <v>122</v>
      </c>
      <c r="B137" s="2400" t="s">
        <v>4568</v>
      </c>
      <c r="C137" s="2401" t="s">
        <v>4567</v>
      </c>
      <c r="D137" s="2399" t="s">
        <v>4566</v>
      </c>
      <c r="E137" s="2403"/>
      <c r="F137" s="2402">
        <v>446</v>
      </c>
      <c r="G137" s="2400" t="s">
        <v>4565</v>
      </c>
      <c r="H137" s="2401" t="s">
        <v>4564</v>
      </c>
      <c r="I137" s="2399" t="s">
        <v>4563</v>
      </c>
      <c r="J137" s="2403"/>
      <c r="K137" s="2402">
        <v>770</v>
      </c>
      <c r="L137" s="2400" t="s">
        <v>4562</v>
      </c>
      <c r="M137" s="2401" t="s">
        <v>4561</v>
      </c>
      <c r="N137" s="2399" t="s">
        <v>4560</v>
      </c>
      <c r="O137" s="2403"/>
      <c r="P137" s="2402">
        <v>1094</v>
      </c>
      <c r="Q137" s="2400" t="s">
        <v>4559</v>
      </c>
      <c r="R137" s="2401" t="s">
        <v>4558</v>
      </c>
      <c r="S137" s="2399" t="s">
        <v>4557</v>
      </c>
      <c r="T137" s="8"/>
      <c r="U137" s="8"/>
      <c r="V137" s="8"/>
      <c r="W137" s="8"/>
      <c r="X137" s="8"/>
      <c r="Y137" s="8"/>
      <c r="Z137" s="8"/>
      <c r="AA137" s="8"/>
      <c r="AB137" s="8"/>
      <c r="AC137" s="8"/>
      <c r="AD137" s="8"/>
    </row>
    <row r="138" spans="1:30">
      <c r="A138" s="2402">
        <v>123</v>
      </c>
      <c r="B138" s="2400" t="s">
        <v>4556</v>
      </c>
      <c r="C138" s="2401" t="s">
        <v>4555</v>
      </c>
      <c r="D138" s="2399" t="s">
        <v>4554</v>
      </c>
      <c r="E138" s="2403"/>
      <c r="F138" s="2402">
        <v>447</v>
      </c>
      <c r="G138" s="2400" t="s">
        <v>4553</v>
      </c>
      <c r="H138" s="2401" t="s">
        <v>4552</v>
      </c>
      <c r="I138" s="2399" t="s">
        <v>4551</v>
      </c>
      <c r="J138" s="2403"/>
      <c r="K138" s="2402">
        <v>771</v>
      </c>
      <c r="L138" s="2400" t="s">
        <v>4550</v>
      </c>
      <c r="M138" s="2401" t="s">
        <v>4549</v>
      </c>
      <c r="N138" s="2399" t="s">
        <v>4548</v>
      </c>
      <c r="O138" s="2403"/>
      <c r="P138" s="2402">
        <v>1095</v>
      </c>
      <c r="Q138" s="2400" t="s">
        <v>4547</v>
      </c>
      <c r="R138" s="2401" t="s">
        <v>4546</v>
      </c>
      <c r="S138" s="2399" t="s">
        <v>4545</v>
      </c>
      <c r="T138" s="8"/>
      <c r="U138" s="8"/>
      <c r="V138" s="8"/>
      <c r="W138" s="8"/>
      <c r="X138" s="8"/>
      <c r="Y138" s="8"/>
      <c r="Z138" s="8"/>
      <c r="AA138" s="8"/>
      <c r="AB138" s="8"/>
      <c r="AC138" s="8"/>
      <c r="AD138" s="8"/>
    </row>
    <row r="139" spans="1:30">
      <c r="A139" s="2402">
        <v>124</v>
      </c>
      <c r="B139" s="2400" t="s">
        <v>4544</v>
      </c>
      <c r="C139" s="2401" t="s">
        <v>4543</v>
      </c>
      <c r="D139" s="2399" t="s">
        <v>4542</v>
      </c>
      <c r="E139" s="2403"/>
      <c r="F139" s="2402">
        <v>448</v>
      </c>
      <c r="G139" s="2400" t="s">
        <v>4541</v>
      </c>
      <c r="H139" s="2401" t="s">
        <v>4540</v>
      </c>
      <c r="I139" s="2399" t="s">
        <v>4539</v>
      </c>
      <c r="J139" s="2403"/>
      <c r="K139" s="2402">
        <v>772</v>
      </c>
      <c r="L139" s="2400" t="s">
        <v>4538</v>
      </c>
      <c r="M139" s="2401" t="s">
        <v>4537</v>
      </c>
      <c r="N139" s="2399" t="s">
        <v>4536</v>
      </c>
      <c r="O139" s="2403"/>
      <c r="P139" s="2402">
        <v>1096</v>
      </c>
      <c r="Q139" s="2400" t="s">
        <v>4535</v>
      </c>
      <c r="R139" s="2401" t="s">
        <v>4534</v>
      </c>
      <c r="S139" s="2399" t="s">
        <v>4533</v>
      </c>
      <c r="T139" s="8"/>
      <c r="U139" s="8"/>
      <c r="V139" s="8"/>
      <c r="W139" s="8"/>
      <c r="X139" s="8"/>
      <c r="Y139" s="8"/>
      <c r="Z139" s="8"/>
      <c r="AA139" s="8"/>
      <c r="AB139" s="8"/>
      <c r="AC139" s="8"/>
      <c r="AD139" s="8"/>
    </row>
    <row r="140" spans="1:30">
      <c r="A140" s="2402">
        <v>125</v>
      </c>
      <c r="B140" s="2400" t="s">
        <v>4532</v>
      </c>
      <c r="C140" s="2401" t="s">
        <v>4531</v>
      </c>
      <c r="D140" s="2399" t="s">
        <v>4530</v>
      </c>
      <c r="E140" s="2403"/>
      <c r="F140" s="2402">
        <v>449</v>
      </c>
      <c r="G140" s="2400" t="s">
        <v>4529</v>
      </c>
      <c r="H140" s="2401" t="s">
        <v>4528</v>
      </c>
      <c r="I140" s="2399" t="s">
        <v>4527</v>
      </c>
      <c r="J140" s="2403"/>
      <c r="K140" s="2402">
        <v>773</v>
      </c>
      <c r="L140" s="2400" t="s">
        <v>4526</v>
      </c>
      <c r="M140" s="2401" t="s">
        <v>4525</v>
      </c>
      <c r="N140" s="2399" t="s">
        <v>4524</v>
      </c>
      <c r="O140" s="2403"/>
      <c r="P140" s="2402">
        <v>1097</v>
      </c>
      <c r="Q140" s="2400" t="s">
        <v>4523</v>
      </c>
      <c r="R140" s="2401" t="s">
        <v>4522</v>
      </c>
      <c r="S140" s="2399" t="s">
        <v>4521</v>
      </c>
      <c r="T140" s="8"/>
      <c r="U140" s="8"/>
      <c r="V140" s="8"/>
      <c r="W140" s="8"/>
      <c r="X140" s="8"/>
      <c r="Y140" s="8"/>
      <c r="Z140" s="8"/>
      <c r="AA140" s="8"/>
      <c r="AB140" s="8"/>
      <c r="AC140" s="8"/>
      <c r="AD140" s="8"/>
    </row>
    <row r="141" spans="1:30">
      <c r="A141" s="2402">
        <v>126</v>
      </c>
      <c r="B141" s="2400">
        <v>2618</v>
      </c>
      <c r="C141" s="2401" t="s">
        <v>4520</v>
      </c>
      <c r="D141" s="2399" t="s">
        <v>4519</v>
      </c>
      <c r="E141" s="2403"/>
      <c r="F141" s="2402">
        <v>450</v>
      </c>
      <c r="G141" s="2400" t="s">
        <v>4518</v>
      </c>
      <c r="H141" s="2401" t="s">
        <v>4517</v>
      </c>
      <c r="I141" s="2399" t="s">
        <v>4516</v>
      </c>
      <c r="J141" s="2403"/>
      <c r="K141" s="2402">
        <v>774</v>
      </c>
      <c r="L141" s="2400" t="s">
        <v>4515</v>
      </c>
      <c r="M141" s="2401" t="s">
        <v>4514</v>
      </c>
      <c r="N141" s="2399" t="s">
        <v>4513</v>
      </c>
      <c r="O141" s="2403"/>
      <c r="P141" s="2402">
        <v>1098</v>
      </c>
      <c r="Q141" s="2400" t="s">
        <v>4512</v>
      </c>
      <c r="R141" s="2401" t="s">
        <v>4511</v>
      </c>
      <c r="S141" s="2399" t="s">
        <v>3345</v>
      </c>
      <c r="T141" s="8"/>
      <c r="U141" s="8"/>
      <c r="V141" s="8"/>
      <c r="W141" s="8"/>
      <c r="X141" s="8"/>
      <c r="Y141" s="8"/>
      <c r="Z141" s="8"/>
      <c r="AA141" s="8"/>
      <c r="AB141" s="8"/>
      <c r="AC141" s="8"/>
      <c r="AD141" s="8"/>
    </row>
    <row r="142" spans="1:30">
      <c r="A142" s="2402">
        <v>127</v>
      </c>
      <c r="B142" s="2400" t="s">
        <v>4510</v>
      </c>
      <c r="C142" s="2401" t="s">
        <v>4509</v>
      </c>
      <c r="D142" s="2399" t="s">
        <v>4508</v>
      </c>
      <c r="E142" s="2403"/>
      <c r="F142" s="2402">
        <v>451</v>
      </c>
      <c r="G142" s="2400" t="s">
        <v>4507</v>
      </c>
      <c r="H142" s="2401" t="s">
        <v>4506</v>
      </c>
      <c r="I142" s="2399" t="s">
        <v>4505</v>
      </c>
      <c r="J142" s="2403"/>
      <c r="K142" s="2402">
        <v>775</v>
      </c>
      <c r="L142" s="2400" t="s">
        <v>4504</v>
      </c>
      <c r="M142" s="2401" t="s">
        <v>4503</v>
      </c>
      <c r="N142" s="2399" t="s">
        <v>4502</v>
      </c>
      <c r="O142" s="2403"/>
      <c r="P142" s="2402">
        <v>1099</v>
      </c>
      <c r="Q142" s="2400" t="s">
        <v>4501</v>
      </c>
      <c r="R142" s="2401" t="s">
        <v>4500</v>
      </c>
      <c r="S142" s="2399" t="s">
        <v>4499</v>
      </c>
      <c r="T142" s="8"/>
      <c r="U142" s="8"/>
      <c r="V142" s="8"/>
      <c r="W142" s="8"/>
      <c r="X142" s="8"/>
      <c r="Y142" s="8"/>
      <c r="Z142" s="8"/>
      <c r="AA142" s="8"/>
      <c r="AB142" s="8"/>
      <c r="AC142" s="8"/>
      <c r="AD142" s="8"/>
    </row>
    <row r="143" spans="1:30">
      <c r="A143" s="2402">
        <v>128</v>
      </c>
      <c r="B143" s="2400" t="s">
        <v>4498</v>
      </c>
      <c r="C143" s="2401" t="s">
        <v>4497</v>
      </c>
      <c r="D143" s="2399" t="s">
        <v>4496</v>
      </c>
      <c r="E143" s="2403"/>
      <c r="F143" s="2402">
        <v>452</v>
      </c>
      <c r="G143" s="2400" t="s">
        <v>4495</v>
      </c>
      <c r="H143" s="2401" t="s">
        <v>4494</v>
      </c>
      <c r="I143" s="2399" t="s">
        <v>4493</v>
      </c>
      <c r="J143" s="2403"/>
      <c r="K143" s="2402">
        <v>776</v>
      </c>
      <c r="L143" s="2400" t="s">
        <v>4492</v>
      </c>
      <c r="M143" s="2401" t="s">
        <v>4491</v>
      </c>
      <c r="N143" s="2399" t="s">
        <v>4490</v>
      </c>
      <c r="O143" s="2403"/>
      <c r="P143" s="2402">
        <v>1100</v>
      </c>
      <c r="Q143" s="2400" t="s">
        <v>4489</v>
      </c>
      <c r="R143" s="2401" t="s">
        <v>4488</v>
      </c>
      <c r="S143" s="2399" t="s">
        <v>4487</v>
      </c>
      <c r="T143" s="8"/>
      <c r="U143" s="8"/>
      <c r="V143" s="8"/>
      <c r="W143" s="8"/>
      <c r="X143" s="8"/>
      <c r="Y143" s="8"/>
      <c r="Z143" s="8"/>
      <c r="AA143" s="8"/>
      <c r="AB143" s="8"/>
      <c r="AC143" s="8"/>
      <c r="AD143" s="8"/>
    </row>
    <row r="144" spans="1:30">
      <c r="A144" s="2402">
        <v>129</v>
      </c>
      <c r="B144" s="2400">
        <v>2692</v>
      </c>
      <c r="C144" s="2401" t="s">
        <v>4486</v>
      </c>
      <c r="D144" s="2399" t="s">
        <v>4485</v>
      </c>
      <c r="E144" s="2403"/>
      <c r="F144" s="2402">
        <v>453</v>
      </c>
      <c r="G144" s="2400" t="s">
        <v>4484</v>
      </c>
      <c r="H144" s="2401" t="s">
        <v>4483</v>
      </c>
      <c r="I144" s="2399" t="s">
        <v>4482</v>
      </c>
      <c r="J144" s="2403"/>
      <c r="K144" s="2402">
        <v>777</v>
      </c>
      <c r="L144" s="2400" t="s">
        <v>4481</v>
      </c>
      <c r="M144" s="2401" t="s">
        <v>4480</v>
      </c>
      <c r="N144" s="2399" t="s">
        <v>4479</v>
      </c>
      <c r="O144" s="2403"/>
      <c r="P144" s="2402">
        <v>1101</v>
      </c>
      <c r="Q144" s="2400" t="s">
        <v>4478</v>
      </c>
      <c r="R144" s="2401" t="s">
        <v>4477</v>
      </c>
      <c r="S144" s="2399" t="s">
        <v>4476</v>
      </c>
      <c r="T144" s="8"/>
      <c r="U144" s="8"/>
      <c r="V144" s="8"/>
      <c r="W144" s="8"/>
      <c r="X144" s="8"/>
      <c r="Y144" s="8"/>
      <c r="Z144" s="8"/>
      <c r="AA144" s="8"/>
      <c r="AB144" s="8"/>
      <c r="AC144" s="8"/>
      <c r="AD144" s="8"/>
    </row>
    <row r="145" spans="1:30">
      <c r="A145" s="2402">
        <v>130</v>
      </c>
      <c r="B145" s="2400">
        <v>2693</v>
      </c>
      <c r="C145" s="2401" t="s">
        <v>4475</v>
      </c>
      <c r="D145" s="2399" t="s">
        <v>4474</v>
      </c>
      <c r="E145" s="2403"/>
      <c r="F145" s="2402">
        <v>454</v>
      </c>
      <c r="G145" s="2400" t="s">
        <v>4473</v>
      </c>
      <c r="H145" s="2401" t="s">
        <v>4472</v>
      </c>
      <c r="I145" s="2399" t="s">
        <v>4471</v>
      </c>
      <c r="J145" s="2403"/>
      <c r="K145" s="2402">
        <v>778</v>
      </c>
      <c r="L145" s="2400" t="s">
        <v>4470</v>
      </c>
      <c r="M145" s="2401" t="s">
        <v>4469</v>
      </c>
      <c r="N145" s="2399" t="s">
        <v>4468</v>
      </c>
      <c r="O145" s="2403"/>
      <c r="P145" s="2402">
        <v>1102</v>
      </c>
      <c r="Q145" s="2400" t="s">
        <v>4467</v>
      </c>
      <c r="R145" s="2401" t="s">
        <v>4466</v>
      </c>
      <c r="S145" s="2399" t="s">
        <v>4465</v>
      </c>
      <c r="T145" s="8"/>
      <c r="U145" s="8"/>
      <c r="V145" s="8"/>
      <c r="W145" s="8"/>
      <c r="X145" s="8"/>
      <c r="Y145" s="8"/>
      <c r="Z145" s="8"/>
      <c r="AA145" s="8"/>
      <c r="AB145" s="8"/>
      <c r="AC145" s="8"/>
      <c r="AD145" s="8"/>
    </row>
    <row r="146" spans="1:30">
      <c r="A146" s="2402">
        <v>131</v>
      </c>
      <c r="B146" s="2400">
        <v>2694</v>
      </c>
      <c r="C146" s="2401" t="s">
        <v>4464</v>
      </c>
      <c r="E146" s="2403"/>
      <c r="F146" s="2402">
        <v>455</v>
      </c>
      <c r="G146" s="2400" t="s">
        <v>4463</v>
      </c>
      <c r="H146" s="2401" t="s">
        <v>4462</v>
      </c>
      <c r="I146" s="2399" t="s">
        <v>4461</v>
      </c>
      <c r="J146" s="2403"/>
      <c r="K146" s="2402">
        <v>779</v>
      </c>
      <c r="L146" s="2400" t="s">
        <v>4460</v>
      </c>
      <c r="M146" s="2401" t="s">
        <v>4459</v>
      </c>
      <c r="N146" s="2399" t="s">
        <v>4458</v>
      </c>
      <c r="O146" s="2403"/>
      <c r="P146" s="2402">
        <v>1103</v>
      </c>
      <c r="Q146" s="2400" t="s">
        <v>4457</v>
      </c>
      <c r="R146" s="2401" t="s">
        <v>4456</v>
      </c>
      <c r="S146" s="2399" t="s">
        <v>4455</v>
      </c>
      <c r="T146" s="8"/>
      <c r="U146" s="8"/>
      <c r="V146" s="8"/>
      <c r="W146" s="8"/>
      <c r="X146" s="8"/>
      <c r="Y146" s="8"/>
      <c r="Z146" s="8"/>
      <c r="AA146" s="8"/>
      <c r="AB146" s="8"/>
      <c r="AC146" s="8"/>
      <c r="AD146" s="8"/>
    </row>
    <row r="147" spans="1:30">
      <c r="A147" s="2402">
        <v>132</v>
      </c>
      <c r="B147" s="2400">
        <v>2695</v>
      </c>
      <c r="C147" s="2401" t="s">
        <v>4454</v>
      </c>
      <c r="E147" s="2403"/>
      <c r="F147" s="2402">
        <v>456</v>
      </c>
      <c r="G147" s="2400" t="s">
        <v>4453</v>
      </c>
      <c r="H147" s="2401" t="s">
        <v>4452</v>
      </c>
      <c r="I147" s="2399" t="s">
        <v>4451</v>
      </c>
      <c r="J147" s="2403"/>
      <c r="K147" s="2402">
        <v>780</v>
      </c>
      <c r="L147" s="2400" t="s">
        <v>4450</v>
      </c>
      <c r="M147" s="2401" t="s">
        <v>4449</v>
      </c>
      <c r="N147" s="2399" t="s">
        <v>4448</v>
      </c>
      <c r="O147" s="2403"/>
      <c r="P147" s="2402">
        <v>1104</v>
      </c>
      <c r="Q147" s="2400" t="s">
        <v>4447</v>
      </c>
      <c r="R147" s="2401" t="s">
        <v>4446</v>
      </c>
      <c r="S147" s="2399" t="s">
        <v>4445</v>
      </c>
      <c r="T147" s="8"/>
      <c r="U147" s="8"/>
      <c r="V147" s="8"/>
      <c r="W147" s="8"/>
      <c r="X147" s="8"/>
      <c r="Y147" s="8"/>
      <c r="Z147" s="8"/>
      <c r="AA147" s="8"/>
      <c r="AB147" s="8"/>
      <c r="AC147" s="8"/>
      <c r="AD147" s="8"/>
    </row>
    <row r="148" spans="1:30">
      <c r="A148" s="2402">
        <v>133</v>
      </c>
      <c r="B148" s="2400">
        <v>2696</v>
      </c>
      <c r="C148" s="2401" t="s">
        <v>4444</v>
      </c>
      <c r="E148" s="2403"/>
      <c r="F148" s="2402">
        <v>457</v>
      </c>
      <c r="G148" s="2400" t="s">
        <v>4443</v>
      </c>
      <c r="H148" s="2401" t="s">
        <v>4442</v>
      </c>
      <c r="I148" s="2399" t="s">
        <v>4441</v>
      </c>
      <c r="J148" s="2403"/>
      <c r="K148" s="2402">
        <v>781</v>
      </c>
      <c r="L148" s="2400" t="s">
        <v>4440</v>
      </c>
      <c r="M148" s="2401" t="s">
        <v>4439</v>
      </c>
      <c r="N148" s="2399" t="s">
        <v>4438</v>
      </c>
      <c r="O148" s="2403"/>
      <c r="P148" s="2402">
        <v>1105</v>
      </c>
      <c r="Q148" s="2400" t="s">
        <v>4437</v>
      </c>
      <c r="R148" s="2401" t="s">
        <v>4436</v>
      </c>
      <c r="S148" s="2399" t="s">
        <v>4435</v>
      </c>
      <c r="T148" s="8"/>
      <c r="U148" s="8"/>
      <c r="V148" s="8"/>
      <c r="W148" s="8"/>
      <c r="X148" s="8"/>
      <c r="Y148" s="8"/>
      <c r="Z148" s="8"/>
      <c r="AA148" s="8"/>
      <c r="AB148" s="8"/>
      <c r="AC148" s="8"/>
      <c r="AD148" s="8"/>
    </row>
    <row r="149" spans="1:30">
      <c r="A149" s="2402">
        <v>134</v>
      </c>
      <c r="B149" s="2400">
        <v>2697</v>
      </c>
      <c r="C149" s="2401" t="s">
        <v>4434</v>
      </c>
      <c r="E149" s="2403"/>
      <c r="F149" s="2402">
        <v>458</v>
      </c>
      <c r="G149" s="2400" t="s">
        <v>4433</v>
      </c>
      <c r="H149" s="2401" t="s">
        <v>4432</v>
      </c>
      <c r="I149" s="2399" t="s">
        <v>4431</v>
      </c>
      <c r="J149" s="2403"/>
      <c r="K149" s="2402">
        <v>782</v>
      </c>
      <c r="L149" s="2400" t="s">
        <v>4430</v>
      </c>
      <c r="M149" s="2401" t="s">
        <v>4429</v>
      </c>
      <c r="N149" s="2399" t="s">
        <v>4428</v>
      </c>
      <c r="O149" s="2403"/>
      <c r="P149" s="2402">
        <v>1106</v>
      </c>
      <c r="Q149" s="2400" t="s">
        <v>4427</v>
      </c>
      <c r="R149" s="2401" t="s">
        <v>4426</v>
      </c>
      <c r="S149" s="2399" t="s">
        <v>4425</v>
      </c>
      <c r="T149" s="8"/>
      <c r="U149" s="8"/>
      <c r="V149" s="8"/>
      <c r="W149" s="8"/>
      <c r="X149" s="8"/>
      <c r="Y149" s="8"/>
      <c r="Z149" s="8"/>
      <c r="AA149" s="8"/>
      <c r="AB149" s="8"/>
      <c r="AC149" s="8"/>
      <c r="AD149" s="8"/>
    </row>
    <row r="150" spans="1:30">
      <c r="A150" s="2402">
        <v>135</v>
      </c>
      <c r="B150" s="2400">
        <v>2699</v>
      </c>
      <c r="C150" s="2401" t="s">
        <v>4424</v>
      </c>
      <c r="D150" s="2399" t="s">
        <v>4423</v>
      </c>
      <c r="E150" s="2403"/>
      <c r="F150" s="2402">
        <v>459</v>
      </c>
      <c r="G150" s="2400" t="s">
        <v>4422</v>
      </c>
      <c r="H150" s="2401" t="s">
        <v>4421</v>
      </c>
      <c r="I150" s="2399" t="s">
        <v>4420</v>
      </c>
      <c r="J150" s="2403"/>
      <c r="K150" s="2402">
        <v>783</v>
      </c>
      <c r="L150" s="2400" t="s">
        <v>4419</v>
      </c>
      <c r="M150" s="2401" t="s">
        <v>4418</v>
      </c>
      <c r="N150" s="2399" t="s">
        <v>4417</v>
      </c>
      <c r="O150" s="2403"/>
      <c r="P150" s="2402">
        <v>1107</v>
      </c>
      <c r="Q150" s="2400" t="s">
        <v>4416</v>
      </c>
      <c r="R150" s="2401" t="s">
        <v>4415</v>
      </c>
      <c r="S150" s="2399" t="s">
        <v>4414</v>
      </c>
      <c r="T150" s="8"/>
      <c r="U150" s="8"/>
      <c r="V150" s="8"/>
      <c r="W150" s="8"/>
      <c r="X150" s="8"/>
      <c r="Y150" s="8"/>
      <c r="Z150" s="8"/>
      <c r="AA150" s="8"/>
      <c r="AB150" s="8"/>
      <c r="AC150" s="8"/>
      <c r="AD150" s="8"/>
    </row>
    <row r="151" spans="1:30">
      <c r="A151" s="2402">
        <v>136</v>
      </c>
      <c r="B151" s="2400" t="s">
        <v>4413</v>
      </c>
      <c r="C151" s="2401" t="s">
        <v>4412</v>
      </c>
      <c r="D151" s="2399" t="s">
        <v>4411</v>
      </c>
      <c r="E151" s="2403"/>
      <c r="F151" s="2402">
        <v>460</v>
      </c>
      <c r="G151" s="2400" t="s">
        <v>4410</v>
      </c>
      <c r="H151" s="2401" t="s">
        <v>4409</v>
      </c>
      <c r="I151" s="2399" t="s">
        <v>4408</v>
      </c>
      <c r="J151" s="2403"/>
      <c r="K151" s="2402">
        <v>784</v>
      </c>
      <c r="L151" s="2400" t="s">
        <v>4407</v>
      </c>
      <c r="M151" s="2401" t="s">
        <v>4406</v>
      </c>
      <c r="N151" s="2399" t="s">
        <v>4405</v>
      </c>
      <c r="O151" s="2403"/>
      <c r="P151" s="2402">
        <v>1108</v>
      </c>
      <c r="Q151" s="2400" t="s">
        <v>4404</v>
      </c>
      <c r="R151" s="2401" t="s">
        <v>4403</v>
      </c>
      <c r="S151" s="2399" t="s">
        <v>4402</v>
      </c>
      <c r="T151" s="8"/>
      <c r="U151" s="8"/>
      <c r="V151" s="8"/>
      <c r="W151" s="8"/>
      <c r="X151" s="8"/>
      <c r="Y151" s="8"/>
      <c r="Z151" s="8"/>
      <c r="AA151" s="8"/>
      <c r="AB151" s="8"/>
      <c r="AC151" s="8"/>
      <c r="AD151" s="8"/>
    </row>
    <row r="152" spans="1:30">
      <c r="A152" s="2402">
        <v>137</v>
      </c>
      <c r="B152" s="2400" t="s">
        <v>4401</v>
      </c>
      <c r="C152" s="2401" t="s">
        <v>4400</v>
      </c>
      <c r="D152" s="2399" t="s">
        <v>4399</v>
      </c>
      <c r="E152" s="2403"/>
      <c r="F152" s="2402">
        <v>461</v>
      </c>
      <c r="G152" s="2400" t="s">
        <v>4398</v>
      </c>
      <c r="H152" s="2401" t="s">
        <v>4397</v>
      </c>
      <c r="I152" s="2399" t="s">
        <v>4396</v>
      </c>
      <c r="J152" s="2403"/>
      <c r="K152" s="2402">
        <v>785</v>
      </c>
      <c r="L152" s="2400" t="s">
        <v>4395</v>
      </c>
      <c r="M152" s="2401" t="s">
        <v>4394</v>
      </c>
      <c r="N152" s="2399" t="s">
        <v>4393</v>
      </c>
      <c r="O152" s="2403"/>
      <c r="P152" s="2402">
        <v>1109</v>
      </c>
      <c r="Q152" s="2400" t="s">
        <v>4392</v>
      </c>
      <c r="R152" s="2401" t="s">
        <v>4391</v>
      </c>
      <c r="S152" s="2399" t="s">
        <v>4390</v>
      </c>
      <c r="T152" s="8"/>
      <c r="U152" s="8"/>
      <c r="V152" s="8"/>
      <c r="W152" s="8"/>
      <c r="X152" s="8"/>
      <c r="Y152" s="8"/>
      <c r="Z152" s="8"/>
      <c r="AA152" s="8"/>
      <c r="AB152" s="8"/>
      <c r="AC152" s="8"/>
      <c r="AD152" s="8"/>
    </row>
    <row r="153" spans="1:30">
      <c r="A153" s="2402">
        <v>138</v>
      </c>
      <c r="B153" s="2400" t="s">
        <v>4389</v>
      </c>
      <c r="C153" s="2401" t="s">
        <v>4388</v>
      </c>
      <c r="D153" s="2399" t="s">
        <v>4387</v>
      </c>
      <c r="E153" s="2403"/>
      <c r="F153" s="2402">
        <v>462</v>
      </c>
      <c r="G153" s="2400" t="s">
        <v>4386</v>
      </c>
      <c r="H153" s="2401" t="s">
        <v>4385</v>
      </c>
      <c r="I153" s="2399" t="s">
        <v>4384</v>
      </c>
      <c r="J153" s="2403"/>
      <c r="K153" s="2402">
        <v>786</v>
      </c>
      <c r="L153" s="2400" t="s">
        <v>4383</v>
      </c>
      <c r="M153" s="2401" t="s">
        <v>4382</v>
      </c>
      <c r="N153" s="2399" t="s">
        <v>4381</v>
      </c>
      <c r="O153" s="2403"/>
      <c r="P153" s="2402">
        <v>1110</v>
      </c>
      <c r="Q153" s="2400" t="s">
        <v>4380</v>
      </c>
      <c r="R153" s="2401" t="s">
        <v>4379</v>
      </c>
      <c r="S153" s="2399" t="s">
        <v>4378</v>
      </c>
      <c r="T153" s="8"/>
      <c r="U153" s="8"/>
      <c r="V153" s="8"/>
      <c r="W153" s="8"/>
      <c r="X153" s="8"/>
      <c r="Y153" s="8"/>
      <c r="Z153" s="8"/>
      <c r="AA153" s="8"/>
      <c r="AB153" s="8"/>
      <c r="AC153" s="8"/>
      <c r="AD153" s="8"/>
    </row>
    <row r="154" spans="1:30">
      <c r="A154" s="2402">
        <v>139</v>
      </c>
      <c r="B154" s="2400" t="s">
        <v>4377</v>
      </c>
      <c r="C154" s="2401" t="s">
        <v>4376</v>
      </c>
      <c r="D154" s="2399" t="s">
        <v>4375</v>
      </c>
      <c r="E154" s="2403"/>
      <c r="F154" s="2402">
        <v>463</v>
      </c>
      <c r="G154" s="2400" t="s">
        <v>4374</v>
      </c>
      <c r="H154" s="2401" t="s">
        <v>4373</v>
      </c>
      <c r="I154" s="2399" t="s">
        <v>4372</v>
      </c>
      <c r="J154" s="2403"/>
      <c r="K154" s="2402">
        <v>787</v>
      </c>
      <c r="L154" s="2400" t="s">
        <v>4371</v>
      </c>
      <c r="M154" s="2401" t="s">
        <v>4370</v>
      </c>
      <c r="N154" s="2399" t="s">
        <v>4369</v>
      </c>
      <c r="O154" s="2403"/>
      <c r="P154" s="2402">
        <v>1111</v>
      </c>
      <c r="Q154" s="2400" t="s">
        <v>4368</v>
      </c>
      <c r="R154" s="2401" t="s">
        <v>4367</v>
      </c>
      <c r="S154" s="2399" t="s">
        <v>4366</v>
      </c>
      <c r="T154" s="8"/>
      <c r="U154" s="8"/>
      <c r="V154" s="8"/>
      <c r="W154" s="8"/>
      <c r="X154" s="8"/>
      <c r="Y154" s="8"/>
      <c r="Z154" s="8"/>
      <c r="AA154" s="8"/>
      <c r="AB154" s="8"/>
      <c r="AC154" s="8"/>
      <c r="AD154" s="8"/>
    </row>
    <row r="155" spans="1:30">
      <c r="A155" s="2402">
        <v>140</v>
      </c>
      <c r="B155" s="2400" t="s">
        <v>4365</v>
      </c>
      <c r="C155" s="2401" t="s">
        <v>4364</v>
      </c>
      <c r="D155" s="2399" t="s">
        <v>4363</v>
      </c>
      <c r="E155" s="2403"/>
      <c r="F155" s="2402">
        <v>464</v>
      </c>
      <c r="G155" s="2400" t="s">
        <v>4362</v>
      </c>
      <c r="H155" s="2401" t="s">
        <v>4361</v>
      </c>
      <c r="I155" s="2399" t="s">
        <v>4360</v>
      </c>
      <c r="J155" s="2403"/>
      <c r="K155" s="2402">
        <v>788</v>
      </c>
      <c r="L155" s="2400" t="s">
        <v>4359</v>
      </c>
      <c r="M155" s="2401" t="s">
        <v>4358</v>
      </c>
      <c r="N155" s="2399" t="s">
        <v>4357</v>
      </c>
      <c r="O155" s="2403"/>
      <c r="P155" s="2402">
        <v>1112</v>
      </c>
      <c r="Q155" s="2400" t="s">
        <v>4356</v>
      </c>
      <c r="R155" s="2401" t="s">
        <v>4355</v>
      </c>
      <c r="S155" s="2399" t="s">
        <v>4354</v>
      </c>
      <c r="T155" s="8"/>
      <c r="U155" s="8"/>
      <c r="V155" s="8"/>
      <c r="W155" s="8"/>
      <c r="X155" s="8"/>
      <c r="Y155" s="8"/>
      <c r="Z155" s="8"/>
      <c r="AA155" s="8"/>
      <c r="AB155" s="8"/>
      <c r="AC155" s="8"/>
      <c r="AD155" s="8"/>
    </row>
    <row r="156" spans="1:30">
      <c r="A156" s="2402">
        <v>141</v>
      </c>
      <c r="B156" s="2400" t="s">
        <v>4353</v>
      </c>
      <c r="C156" s="2401" t="s">
        <v>4352</v>
      </c>
      <c r="D156" s="2399" t="s">
        <v>4351</v>
      </c>
      <c r="E156" s="2403"/>
      <c r="F156" s="2402">
        <v>465</v>
      </c>
      <c r="G156" s="2400" t="s">
        <v>4350</v>
      </c>
      <c r="H156" s="2401" t="s">
        <v>4349</v>
      </c>
      <c r="I156" s="2399" t="s">
        <v>4348</v>
      </c>
      <c r="J156" s="2403"/>
      <c r="K156" s="2402">
        <v>789</v>
      </c>
      <c r="L156" s="2400" t="s">
        <v>4347</v>
      </c>
      <c r="M156" s="2401" t="s">
        <v>4346</v>
      </c>
      <c r="N156" s="2399" t="s">
        <v>4345</v>
      </c>
      <c r="O156" s="2403"/>
      <c r="P156" s="2402">
        <v>1113</v>
      </c>
      <c r="Q156" s="2400" t="s">
        <v>4344</v>
      </c>
      <c r="R156" s="2401" t="s">
        <v>4343</v>
      </c>
      <c r="S156" s="2399" t="s">
        <v>4342</v>
      </c>
      <c r="T156" s="8"/>
      <c r="U156" s="8"/>
      <c r="V156" s="8"/>
      <c r="W156" s="8"/>
      <c r="X156" s="8"/>
      <c r="Y156" s="8"/>
      <c r="Z156" s="8"/>
      <c r="AA156" s="8"/>
      <c r="AB156" s="8"/>
      <c r="AC156" s="8"/>
      <c r="AD156" s="8"/>
    </row>
    <row r="157" spans="1:30">
      <c r="A157" s="2402">
        <v>142</v>
      </c>
      <c r="B157" s="2400" t="s">
        <v>4341</v>
      </c>
      <c r="C157" s="2401" t="s">
        <v>4340</v>
      </c>
      <c r="D157" s="2399" t="s">
        <v>4339</v>
      </c>
      <c r="E157" s="2403"/>
      <c r="F157" s="2402">
        <v>466</v>
      </c>
      <c r="G157" s="2400" t="s">
        <v>4338</v>
      </c>
      <c r="H157" s="2401" t="s">
        <v>4337</v>
      </c>
      <c r="I157" s="2399" t="s">
        <v>4336</v>
      </c>
      <c r="J157" s="2403"/>
      <c r="K157" s="2402">
        <v>790</v>
      </c>
      <c r="L157" s="2400" t="s">
        <v>4335</v>
      </c>
      <c r="M157" s="2401" t="s">
        <v>4334</v>
      </c>
      <c r="N157" s="2399" t="s">
        <v>4333</v>
      </c>
      <c r="O157" s="2403"/>
      <c r="P157" s="2402">
        <v>1114</v>
      </c>
      <c r="Q157" s="2400" t="s">
        <v>4332</v>
      </c>
      <c r="R157" s="2401" t="s">
        <v>4331</v>
      </c>
      <c r="S157" s="2399" t="s">
        <v>4330</v>
      </c>
      <c r="T157" s="8"/>
      <c r="U157" s="8"/>
      <c r="V157" s="8"/>
      <c r="W157" s="8"/>
      <c r="X157" s="8"/>
      <c r="Y157" s="8"/>
      <c r="Z157" s="8"/>
      <c r="AA157" s="8"/>
      <c r="AB157" s="8"/>
      <c r="AC157" s="8"/>
      <c r="AD157" s="8"/>
    </row>
    <row r="158" spans="1:30">
      <c r="A158" s="2402">
        <v>143</v>
      </c>
      <c r="B158" s="2400" t="s">
        <v>4329</v>
      </c>
      <c r="C158" s="2401" t="s">
        <v>4328</v>
      </c>
      <c r="D158" s="2399" t="s">
        <v>4327</v>
      </c>
      <c r="E158" s="2403"/>
      <c r="F158" s="2402">
        <v>467</v>
      </c>
      <c r="G158" s="2400" t="s">
        <v>4326</v>
      </c>
      <c r="H158" s="2401" t="s">
        <v>4325</v>
      </c>
      <c r="I158" s="2399" t="s">
        <v>4324</v>
      </c>
      <c r="J158" s="2403"/>
      <c r="K158" s="2402">
        <v>791</v>
      </c>
      <c r="L158" s="2400" t="s">
        <v>4323</v>
      </c>
      <c r="M158" s="2401" t="s">
        <v>4322</v>
      </c>
      <c r="N158" s="2399" t="s">
        <v>4321</v>
      </c>
      <c r="O158" s="2403"/>
      <c r="P158" s="2402">
        <v>1115</v>
      </c>
      <c r="Q158" s="2400" t="s">
        <v>4320</v>
      </c>
      <c r="R158" s="2401" t="s">
        <v>4319</v>
      </c>
      <c r="S158" s="2399" t="s">
        <v>4318</v>
      </c>
      <c r="T158" s="8"/>
      <c r="U158" s="8"/>
      <c r="V158" s="8"/>
      <c r="W158" s="8"/>
      <c r="X158" s="8"/>
      <c r="Y158" s="8"/>
      <c r="Z158" s="8"/>
      <c r="AA158" s="8"/>
      <c r="AB158" s="8"/>
      <c r="AC158" s="8"/>
      <c r="AD158" s="8"/>
    </row>
    <row r="159" spans="1:30">
      <c r="A159" s="2402">
        <v>144</v>
      </c>
      <c r="B159" s="2400" t="s">
        <v>4317</v>
      </c>
      <c r="C159" s="2401" t="s">
        <v>4316</v>
      </c>
      <c r="D159" s="2399" t="s">
        <v>4315</v>
      </c>
      <c r="E159" s="2403"/>
      <c r="F159" s="2402">
        <v>468</v>
      </c>
      <c r="G159" s="2400" t="s">
        <v>4314</v>
      </c>
      <c r="H159" s="2401" t="s">
        <v>4313</v>
      </c>
      <c r="I159" s="2399" t="s">
        <v>4312</v>
      </c>
      <c r="J159" s="2403"/>
      <c r="K159" s="2402">
        <v>792</v>
      </c>
      <c r="L159" s="2400" t="s">
        <v>4311</v>
      </c>
      <c r="M159" s="2401" t="s">
        <v>4310</v>
      </c>
      <c r="N159" s="2399" t="s">
        <v>4309</v>
      </c>
      <c r="O159" s="2403"/>
      <c r="P159" s="2402">
        <v>1116</v>
      </c>
      <c r="Q159" s="2400" t="s">
        <v>4308</v>
      </c>
      <c r="R159" s="2401" t="s">
        <v>4307</v>
      </c>
      <c r="S159" s="2399" t="s">
        <v>4306</v>
      </c>
      <c r="T159" s="8"/>
      <c r="U159" s="8"/>
      <c r="V159" s="8"/>
      <c r="W159" s="8"/>
      <c r="X159" s="8"/>
      <c r="Y159" s="8"/>
      <c r="Z159" s="8"/>
      <c r="AA159" s="8"/>
      <c r="AB159" s="8"/>
      <c r="AC159" s="8"/>
      <c r="AD159" s="8"/>
    </row>
    <row r="160" spans="1:30">
      <c r="A160" s="2402">
        <v>145</v>
      </c>
      <c r="B160" s="2400" t="s">
        <v>4305</v>
      </c>
      <c r="C160" s="2401" t="s">
        <v>4304</v>
      </c>
      <c r="D160" s="2399" t="s">
        <v>4303</v>
      </c>
      <c r="E160" s="2403"/>
      <c r="F160" s="2402">
        <v>469</v>
      </c>
      <c r="G160" s="2400" t="s">
        <v>4302</v>
      </c>
      <c r="H160" s="2401" t="s">
        <v>4301</v>
      </c>
      <c r="I160" s="2399" t="s">
        <v>2201</v>
      </c>
      <c r="J160" s="2403"/>
      <c r="K160" s="2402">
        <v>793</v>
      </c>
      <c r="L160" s="2400" t="s">
        <v>4300</v>
      </c>
      <c r="M160" s="2401" t="s">
        <v>4299</v>
      </c>
      <c r="N160" s="2399" t="s">
        <v>4298</v>
      </c>
      <c r="O160" s="2403"/>
      <c r="P160" s="2402">
        <v>1117</v>
      </c>
      <c r="Q160" s="2400" t="s">
        <v>4297</v>
      </c>
      <c r="R160" s="2401" t="s">
        <v>4296</v>
      </c>
      <c r="S160" s="2399" t="s">
        <v>4295</v>
      </c>
      <c r="T160" s="8"/>
      <c r="U160" s="8"/>
      <c r="V160" s="8"/>
      <c r="W160" s="8"/>
      <c r="X160" s="8"/>
      <c r="Y160" s="8"/>
      <c r="Z160" s="8"/>
      <c r="AA160" s="8"/>
      <c r="AB160" s="8"/>
      <c r="AC160" s="8"/>
      <c r="AD160" s="8"/>
    </row>
    <row r="161" spans="1:30">
      <c r="A161" s="2402">
        <v>146</v>
      </c>
      <c r="B161" s="2400" t="s">
        <v>4294</v>
      </c>
      <c r="C161" s="2401" t="s">
        <v>4293</v>
      </c>
      <c r="D161" s="2399" t="s">
        <v>4292</v>
      </c>
      <c r="E161" s="2403"/>
      <c r="F161" s="2402">
        <v>470</v>
      </c>
      <c r="G161" s="2400" t="s">
        <v>4291</v>
      </c>
      <c r="H161" s="2401" t="s">
        <v>4290</v>
      </c>
      <c r="I161" s="2399" t="s">
        <v>4289</v>
      </c>
      <c r="J161" s="2403"/>
      <c r="K161" s="2402">
        <v>794</v>
      </c>
      <c r="L161" s="2400" t="s">
        <v>4288</v>
      </c>
      <c r="M161" s="2401" t="s">
        <v>4287</v>
      </c>
      <c r="N161" s="2399" t="s">
        <v>4286</v>
      </c>
      <c r="O161" s="2403"/>
      <c r="P161" s="2402">
        <v>1118</v>
      </c>
      <c r="Q161" s="2400" t="s">
        <v>4285</v>
      </c>
      <c r="R161" s="2401" t="s">
        <v>4284</v>
      </c>
      <c r="S161" s="2399" t="s">
        <v>4283</v>
      </c>
      <c r="T161" s="8"/>
      <c r="U161" s="8"/>
      <c r="V161" s="8"/>
      <c r="W161" s="8"/>
      <c r="X161" s="8"/>
      <c r="Y161" s="8"/>
      <c r="Z161" s="8"/>
      <c r="AA161" s="8"/>
      <c r="AB161" s="8"/>
      <c r="AC161" s="8"/>
      <c r="AD161" s="8"/>
    </row>
    <row r="162" spans="1:30">
      <c r="A162" s="2402">
        <v>147</v>
      </c>
      <c r="B162" s="2400" t="s">
        <v>4282</v>
      </c>
      <c r="C162" s="2401" t="s">
        <v>4281</v>
      </c>
      <c r="D162" s="2399" t="s">
        <v>4280</v>
      </c>
      <c r="E162" s="2403"/>
      <c r="F162" s="2402">
        <v>471</v>
      </c>
      <c r="G162" s="2400" t="s">
        <v>4279</v>
      </c>
      <c r="H162" s="2401" t="s">
        <v>4278</v>
      </c>
      <c r="I162" s="2399" t="s">
        <v>4277</v>
      </c>
      <c r="J162" s="2403"/>
      <c r="K162" s="2402">
        <v>795</v>
      </c>
      <c r="L162" s="2400" t="s">
        <v>4276</v>
      </c>
      <c r="M162" s="2401" t="s">
        <v>4275</v>
      </c>
      <c r="N162" s="2399" t="s">
        <v>4274</v>
      </c>
      <c r="O162" s="2403"/>
      <c r="P162" s="2402">
        <v>1119</v>
      </c>
      <c r="Q162" s="2400" t="s">
        <v>4273</v>
      </c>
      <c r="R162" s="2401" t="s">
        <v>4272</v>
      </c>
      <c r="S162" s="2399" t="s">
        <v>4271</v>
      </c>
      <c r="T162" s="8"/>
      <c r="U162" s="8"/>
      <c r="V162" s="8"/>
      <c r="W162" s="8"/>
      <c r="X162" s="8"/>
      <c r="Y162" s="8"/>
      <c r="Z162" s="8"/>
      <c r="AA162" s="8"/>
      <c r="AB162" s="8"/>
      <c r="AC162" s="8"/>
      <c r="AD162" s="8"/>
    </row>
    <row r="163" spans="1:30">
      <c r="A163" s="2402">
        <v>148</v>
      </c>
      <c r="B163" s="2400" t="s">
        <v>4270</v>
      </c>
      <c r="C163" s="2401" t="s">
        <v>4269</v>
      </c>
      <c r="D163" s="2399" t="s">
        <v>4268</v>
      </c>
      <c r="E163" s="2403"/>
      <c r="F163" s="2402">
        <v>472</v>
      </c>
      <c r="G163" s="2400" t="s">
        <v>4267</v>
      </c>
      <c r="H163" s="2401" t="s">
        <v>4266</v>
      </c>
      <c r="I163" s="2399" t="s">
        <v>4265</v>
      </c>
      <c r="J163" s="2403"/>
      <c r="K163" s="2402">
        <v>796</v>
      </c>
      <c r="L163" s="2400" t="s">
        <v>4264</v>
      </c>
      <c r="M163" s="2401" t="s">
        <v>4263</v>
      </c>
      <c r="N163" s="2399" t="s">
        <v>4262</v>
      </c>
      <c r="O163" s="2403"/>
      <c r="P163" s="2402">
        <v>1120</v>
      </c>
      <c r="Q163" s="2400" t="s">
        <v>4261</v>
      </c>
      <c r="R163" s="2401" t="s">
        <v>4260</v>
      </c>
      <c r="S163" s="2399" t="s">
        <v>4259</v>
      </c>
      <c r="T163" s="8"/>
      <c r="U163" s="8"/>
      <c r="V163" s="8"/>
      <c r="W163" s="8"/>
      <c r="X163" s="8"/>
      <c r="Y163" s="8"/>
      <c r="Z163" s="8"/>
      <c r="AA163" s="8"/>
      <c r="AB163" s="8"/>
      <c r="AC163" s="8"/>
      <c r="AD163" s="8"/>
    </row>
    <row r="164" spans="1:30">
      <c r="A164" s="2402">
        <v>149</v>
      </c>
      <c r="B164" s="2400" t="s">
        <v>4258</v>
      </c>
      <c r="C164" s="2401" t="s">
        <v>4257</v>
      </c>
      <c r="D164" s="2399" t="s">
        <v>4256</v>
      </c>
      <c r="E164" s="2403"/>
      <c r="F164" s="2402">
        <v>473</v>
      </c>
      <c r="G164" s="2400" t="s">
        <v>4255</v>
      </c>
      <c r="H164" s="2401" t="s">
        <v>4254</v>
      </c>
      <c r="I164" s="2399" t="s">
        <v>4253</v>
      </c>
      <c r="J164" s="2403"/>
      <c r="K164" s="2402">
        <v>797</v>
      </c>
      <c r="L164" s="2400" t="s">
        <v>4252</v>
      </c>
      <c r="M164" s="2401" t="s">
        <v>4251</v>
      </c>
      <c r="N164" s="2399" t="s">
        <v>4250</v>
      </c>
      <c r="O164" s="2403"/>
      <c r="P164" s="2402">
        <v>1121</v>
      </c>
      <c r="Q164" s="2400" t="s">
        <v>4249</v>
      </c>
      <c r="R164" s="2401" t="s">
        <v>4248</v>
      </c>
      <c r="S164" s="2399" t="s">
        <v>489</v>
      </c>
      <c r="T164" s="8"/>
      <c r="U164" s="8"/>
      <c r="V164" s="8"/>
      <c r="W164" s="8"/>
      <c r="X164" s="8"/>
      <c r="Y164" s="8"/>
      <c r="Z164" s="8"/>
      <c r="AA164" s="8"/>
      <c r="AB164" s="8"/>
      <c r="AC164" s="8"/>
      <c r="AD164" s="8"/>
    </row>
    <row r="165" spans="1:30">
      <c r="A165" s="2402">
        <v>150</v>
      </c>
      <c r="B165" s="2400" t="s">
        <v>4247</v>
      </c>
      <c r="C165" s="2401" t="s">
        <v>4246</v>
      </c>
      <c r="D165" s="2399" t="s">
        <v>4245</v>
      </c>
      <c r="E165" s="2403"/>
      <c r="F165" s="2402">
        <v>474</v>
      </c>
      <c r="G165" s="2400" t="s">
        <v>4244</v>
      </c>
      <c r="H165" s="2401" t="s">
        <v>4243</v>
      </c>
      <c r="I165" s="2399" t="s">
        <v>4242</v>
      </c>
      <c r="J165" s="2403"/>
      <c r="K165" s="2402">
        <v>798</v>
      </c>
      <c r="L165" s="2400" t="s">
        <v>4241</v>
      </c>
      <c r="M165" s="2401" t="s">
        <v>4240</v>
      </c>
      <c r="N165" s="2399" t="s">
        <v>4239</v>
      </c>
      <c r="O165" s="2403"/>
      <c r="P165" s="2402">
        <v>1122</v>
      </c>
      <c r="Q165" s="2400" t="s">
        <v>4238</v>
      </c>
      <c r="R165" s="2401" t="s">
        <v>4237</v>
      </c>
      <c r="S165" s="2399" t="s">
        <v>4236</v>
      </c>
      <c r="T165" s="8"/>
      <c r="U165" s="8"/>
      <c r="V165" s="8"/>
      <c r="W165" s="8"/>
      <c r="X165" s="8"/>
      <c r="Y165" s="8"/>
      <c r="Z165" s="8"/>
      <c r="AA165" s="8"/>
      <c r="AB165" s="8"/>
      <c r="AC165" s="8"/>
      <c r="AD165" s="8"/>
    </row>
    <row r="166" spans="1:30">
      <c r="A166" s="2402">
        <v>151</v>
      </c>
      <c r="B166" s="2400" t="s">
        <v>4235</v>
      </c>
      <c r="C166" s="2401" t="s">
        <v>4234</v>
      </c>
      <c r="D166" s="2399" t="s">
        <v>4233</v>
      </c>
      <c r="E166" s="2403"/>
      <c r="F166" s="2402">
        <v>475</v>
      </c>
      <c r="G166" s="2400" t="s">
        <v>4232</v>
      </c>
      <c r="H166" s="2401" t="s">
        <v>4231</v>
      </c>
      <c r="I166" s="2399" t="s">
        <v>4230</v>
      </c>
      <c r="J166" s="2403"/>
      <c r="K166" s="2402">
        <v>799</v>
      </c>
      <c r="L166" s="2400" t="s">
        <v>4229</v>
      </c>
      <c r="M166" s="2401" t="s">
        <v>4228</v>
      </c>
      <c r="N166" s="2399" t="s">
        <v>4227</v>
      </c>
      <c r="O166" s="2403"/>
      <c r="P166" s="2402">
        <v>1123</v>
      </c>
      <c r="Q166" s="2400" t="s">
        <v>4226</v>
      </c>
      <c r="R166" s="2401" t="s">
        <v>4225</v>
      </c>
      <c r="S166" s="2399" t="s">
        <v>4224</v>
      </c>
      <c r="T166" s="8"/>
      <c r="U166" s="8"/>
      <c r="V166" s="8"/>
      <c r="W166" s="8"/>
      <c r="X166" s="8"/>
      <c r="Y166" s="8"/>
      <c r="Z166" s="8"/>
      <c r="AA166" s="8"/>
      <c r="AB166" s="8"/>
      <c r="AC166" s="8"/>
      <c r="AD166" s="8"/>
    </row>
    <row r="167" spans="1:30">
      <c r="A167" s="2402">
        <v>152</v>
      </c>
      <c r="B167" s="2400" t="s">
        <v>4223</v>
      </c>
      <c r="C167" s="2401" t="s">
        <v>4222</v>
      </c>
      <c r="D167" s="2399" t="s">
        <v>4221</v>
      </c>
      <c r="E167" s="2403"/>
      <c r="F167" s="2402">
        <v>476</v>
      </c>
      <c r="G167" s="2400" t="s">
        <v>4220</v>
      </c>
      <c r="H167" s="2401" t="s">
        <v>4219</v>
      </c>
      <c r="I167" s="2399" t="s">
        <v>4218</v>
      </c>
      <c r="J167" s="2403"/>
      <c r="K167" s="2402">
        <v>800</v>
      </c>
      <c r="L167" s="2400" t="s">
        <v>4217</v>
      </c>
      <c r="M167" s="2401" t="s">
        <v>4216</v>
      </c>
      <c r="N167" s="2399" t="s">
        <v>4204</v>
      </c>
      <c r="O167" s="2403"/>
      <c r="P167" s="2402">
        <v>1124</v>
      </c>
      <c r="Q167" s="2400" t="s">
        <v>4215</v>
      </c>
      <c r="R167" s="2401" t="s">
        <v>4214</v>
      </c>
      <c r="S167" s="2399" t="s">
        <v>4213</v>
      </c>
      <c r="T167" s="8"/>
      <c r="U167" s="8"/>
      <c r="V167" s="8"/>
      <c r="W167" s="8"/>
      <c r="X167" s="8"/>
      <c r="Y167" s="8"/>
      <c r="Z167" s="8"/>
      <c r="AA167" s="8"/>
      <c r="AB167" s="8"/>
      <c r="AC167" s="8"/>
      <c r="AD167" s="8"/>
    </row>
    <row r="168" spans="1:30">
      <c r="A168" s="2402">
        <v>153</v>
      </c>
      <c r="B168" s="2400" t="s">
        <v>4212</v>
      </c>
      <c r="C168" s="2401" t="s">
        <v>4211</v>
      </c>
      <c r="D168" s="2399" t="s">
        <v>4210</v>
      </c>
      <c r="E168" s="2403"/>
      <c r="F168" s="2402">
        <v>477</v>
      </c>
      <c r="G168" s="2400" t="s">
        <v>4209</v>
      </c>
      <c r="H168" s="2401" t="s">
        <v>4208</v>
      </c>
      <c r="I168" s="2399" t="s">
        <v>4207</v>
      </c>
      <c r="J168" s="2403"/>
      <c r="K168" s="2402">
        <v>801</v>
      </c>
      <c r="L168" s="2400" t="s">
        <v>4206</v>
      </c>
      <c r="M168" s="2401" t="s">
        <v>4205</v>
      </c>
      <c r="N168" s="2399" t="s">
        <v>4204</v>
      </c>
      <c r="O168" s="2403"/>
      <c r="P168" s="2402">
        <v>1125</v>
      </c>
      <c r="Q168" s="2400" t="s">
        <v>4203</v>
      </c>
      <c r="R168" s="2401" t="s">
        <v>4202</v>
      </c>
      <c r="S168" s="2399" t="s">
        <v>4201</v>
      </c>
      <c r="T168" s="8"/>
      <c r="U168" s="8"/>
      <c r="V168" s="8"/>
      <c r="W168" s="8"/>
      <c r="X168" s="8"/>
      <c r="Y168" s="8"/>
      <c r="Z168" s="8"/>
      <c r="AA168" s="8"/>
      <c r="AB168" s="8"/>
      <c r="AC168" s="8"/>
      <c r="AD168" s="8"/>
    </row>
    <row r="169" spans="1:30">
      <c r="A169" s="2402">
        <v>154</v>
      </c>
      <c r="B169" s="2400" t="s">
        <v>4200</v>
      </c>
      <c r="C169" s="2401" t="s">
        <v>4199</v>
      </c>
      <c r="D169" s="2399" t="s">
        <v>4198</v>
      </c>
      <c r="E169" s="2403"/>
      <c r="F169" s="2402">
        <v>478</v>
      </c>
      <c r="G169" s="2400" t="s">
        <v>4197</v>
      </c>
      <c r="H169" s="2401" t="s">
        <v>4196</v>
      </c>
      <c r="I169" s="2399" t="s">
        <v>4195</v>
      </c>
      <c r="J169" s="2403"/>
      <c r="K169" s="2402">
        <v>802</v>
      </c>
      <c r="L169" s="2400" t="s">
        <v>4194</v>
      </c>
      <c r="M169" s="2401" t="s">
        <v>4193</v>
      </c>
      <c r="N169" s="2399" t="s">
        <v>4192</v>
      </c>
      <c r="O169" s="2403"/>
      <c r="P169" s="2402">
        <v>1126</v>
      </c>
      <c r="Q169" s="2400" t="s">
        <v>4191</v>
      </c>
      <c r="R169" s="2401" t="s">
        <v>4190</v>
      </c>
      <c r="S169" s="2399" t="s">
        <v>4189</v>
      </c>
      <c r="T169" s="8"/>
      <c r="U169" s="8"/>
      <c r="V169" s="8"/>
      <c r="W169" s="8"/>
      <c r="X169" s="8"/>
      <c r="Y169" s="8"/>
      <c r="Z169" s="8"/>
      <c r="AA169" s="8"/>
      <c r="AB169" s="8"/>
      <c r="AC169" s="8"/>
      <c r="AD169" s="8"/>
    </row>
    <row r="170" spans="1:30">
      <c r="A170" s="2402">
        <v>155</v>
      </c>
      <c r="B170" s="2400" t="s">
        <v>4188</v>
      </c>
      <c r="C170" s="2401" t="s">
        <v>4187</v>
      </c>
      <c r="D170" s="2399" t="s">
        <v>4186</v>
      </c>
      <c r="E170" s="2403"/>
      <c r="F170" s="2402">
        <v>479</v>
      </c>
      <c r="G170" s="2400" t="s">
        <v>4185</v>
      </c>
      <c r="H170" s="2401" t="s">
        <v>4184</v>
      </c>
      <c r="I170" s="2399" t="s">
        <v>4183</v>
      </c>
      <c r="J170" s="2403"/>
      <c r="K170" s="2402">
        <v>803</v>
      </c>
      <c r="L170" s="2400" t="s">
        <v>4182</v>
      </c>
      <c r="M170" s="2401" t="s">
        <v>4181</v>
      </c>
      <c r="N170" s="2399" t="s">
        <v>4180</v>
      </c>
      <c r="O170" s="2403"/>
      <c r="P170" s="2402">
        <v>1127</v>
      </c>
      <c r="Q170" s="2400" t="s">
        <v>4179</v>
      </c>
      <c r="R170" s="2401" t="s">
        <v>4178</v>
      </c>
      <c r="S170" s="2399" t="s">
        <v>4177</v>
      </c>
      <c r="T170" s="8"/>
      <c r="U170" s="8"/>
      <c r="V170" s="8"/>
      <c r="W170" s="8"/>
      <c r="X170" s="8"/>
      <c r="Y170" s="8"/>
      <c r="Z170" s="8"/>
      <c r="AA170" s="8"/>
      <c r="AB170" s="8"/>
      <c r="AC170" s="8"/>
      <c r="AD170" s="8"/>
    </row>
    <row r="171" spans="1:30">
      <c r="A171" s="2402">
        <v>156</v>
      </c>
      <c r="B171" s="2400" t="s">
        <v>4176</v>
      </c>
      <c r="C171" s="2401" t="s">
        <v>4175</v>
      </c>
      <c r="D171" s="2399" t="s">
        <v>4174</v>
      </c>
      <c r="E171" s="2403"/>
      <c r="F171" s="2402">
        <v>480</v>
      </c>
      <c r="G171" s="2400" t="s">
        <v>4173</v>
      </c>
      <c r="H171" s="2401" t="s">
        <v>4172</v>
      </c>
      <c r="I171" s="2399" t="s">
        <v>4171</v>
      </c>
      <c r="J171" s="2403"/>
      <c r="K171" s="2402">
        <v>804</v>
      </c>
      <c r="L171" s="2400" t="s">
        <v>4170</v>
      </c>
      <c r="M171" s="2401" t="s">
        <v>4169</v>
      </c>
      <c r="N171" s="2399" t="s">
        <v>4168</v>
      </c>
      <c r="O171" s="2403"/>
      <c r="P171" s="2402">
        <v>1128</v>
      </c>
      <c r="Q171" s="2400" t="s">
        <v>4167</v>
      </c>
      <c r="R171" s="2401" t="s">
        <v>4166</v>
      </c>
      <c r="S171" s="2399" t="s">
        <v>4165</v>
      </c>
      <c r="T171" s="8"/>
      <c r="U171" s="8"/>
      <c r="V171" s="8"/>
      <c r="W171" s="8"/>
      <c r="X171" s="8"/>
      <c r="Y171" s="8"/>
      <c r="Z171" s="8"/>
      <c r="AA171" s="8"/>
      <c r="AB171" s="8"/>
      <c r="AC171" s="8"/>
      <c r="AD171" s="8"/>
    </row>
    <row r="172" spans="1:30">
      <c r="A172" s="2402">
        <v>157</v>
      </c>
      <c r="B172" s="2400" t="s">
        <v>4164</v>
      </c>
      <c r="C172" s="2401" t="s">
        <v>4163</v>
      </c>
      <c r="D172" s="2399" t="s">
        <v>4162</v>
      </c>
      <c r="E172" s="2403"/>
      <c r="F172" s="2402">
        <v>481</v>
      </c>
      <c r="G172" s="2400" t="s">
        <v>4161</v>
      </c>
      <c r="H172" s="2401" t="s">
        <v>4160</v>
      </c>
      <c r="I172" s="2399" t="s">
        <v>4159</v>
      </c>
      <c r="J172" s="2403"/>
      <c r="K172" s="2402">
        <v>805</v>
      </c>
      <c r="L172" s="2400" t="s">
        <v>4158</v>
      </c>
      <c r="M172" s="2401" t="s">
        <v>4157</v>
      </c>
      <c r="N172" s="2399" t="s">
        <v>4156</v>
      </c>
      <c r="O172" s="2403"/>
      <c r="P172" s="2402">
        <v>1129</v>
      </c>
      <c r="Q172" s="2400" t="s">
        <v>4155</v>
      </c>
      <c r="R172" s="2401" t="s">
        <v>4154</v>
      </c>
      <c r="S172" s="2399" t="s">
        <v>4153</v>
      </c>
      <c r="T172" s="8"/>
      <c r="U172" s="8"/>
      <c r="V172" s="8"/>
      <c r="W172" s="8"/>
      <c r="X172" s="8"/>
      <c r="Y172" s="8"/>
      <c r="Z172" s="8"/>
      <c r="AA172" s="8"/>
      <c r="AB172" s="8"/>
      <c r="AC172" s="8"/>
      <c r="AD172" s="8"/>
    </row>
    <row r="173" spans="1:30">
      <c r="A173" s="2402">
        <v>158</v>
      </c>
      <c r="B173" s="2400" t="s">
        <v>4152</v>
      </c>
      <c r="C173" s="2401" t="s">
        <v>4151</v>
      </c>
      <c r="D173" s="2399" t="s">
        <v>4150</v>
      </c>
      <c r="E173" s="2403"/>
      <c r="F173" s="2402">
        <v>482</v>
      </c>
      <c r="G173" s="2400" t="s">
        <v>4149</v>
      </c>
      <c r="H173" s="2401" t="s">
        <v>4148</v>
      </c>
      <c r="I173" s="2399" t="s">
        <v>4147</v>
      </c>
      <c r="J173" s="2403"/>
      <c r="K173" s="2402">
        <v>806</v>
      </c>
      <c r="L173" s="2400" t="s">
        <v>4146</v>
      </c>
      <c r="M173" s="2401" t="s">
        <v>4145</v>
      </c>
      <c r="N173" s="2399" t="s">
        <v>4144</v>
      </c>
      <c r="O173" s="2403"/>
      <c r="P173" s="2402">
        <v>1130</v>
      </c>
      <c r="Q173" s="2400" t="s">
        <v>4143</v>
      </c>
      <c r="R173" s="2401" t="s">
        <v>4142</v>
      </c>
      <c r="S173" s="2399" t="s">
        <v>4141</v>
      </c>
      <c r="T173" s="8"/>
      <c r="U173" s="8"/>
      <c r="V173" s="8"/>
      <c r="W173" s="8"/>
      <c r="X173" s="8"/>
      <c r="Y173" s="8"/>
      <c r="Z173" s="8"/>
      <c r="AA173" s="8"/>
      <c r="AB173" s="8"/>
      <c r="AC173" s="8"/>
      <c r="AD173" s="8"/>
    </row>
    <row r="174" spans="1:30">
      <c r="A174" s="2402">
        <v>159</v>
      </c>
      <c r="B174" s="2400" t="s">
        <v>4140</v>
      </c>
      <c r="C174" s="2401" t="s">
        <v>4139</v>
      </c>
      <c r="D174" s="2399" t="s">
        <v>4138</v>
      </c>
      <c r="E174" s="2403"/>
      <c r="F174" s="2402">
        <v>483</v>
      </c>
      <c r="G174" s="2400" t="s">
        <v>4137</v>
      </c>
      <c r="H174" s="2401" t="s">
        <v>4136</v>
      </c>
      <c r="I174" s="2399" t="s">
        <v>4135</v>
      </c>
      <c r="J174" s="2403"/>
      <c r="K174" s="2402">
        <v>807</v>
      </c>
      <c r="L174" s="2400" t="s">
        <v>4134</v>
      </c>
      <c r="M174" s="2401" t="s">
        <v>4133</v>
      </c>
      <c r="N174" s="2399" t="s">
        <v>4132</v>
      </c>
      <c r="O174" s="2403"/>
      <c r="P174" s="2402">
        <v>1131</v>
      </c>
      <c r="Q174" s="2400" t="s">
        <v>4131</v>
      </c>
      <c r="R174" s="2401" t="s">
        <v>4130</v>
      </c>
      <c r="S174" s="2399" t="s">
        <v>4129</v>
      </c>
      <c r="T174" s="8"/>
      <c r="U174" s="8"/>
      <c r="V174" s="8"/>
      <c r="W174" s="8"/>
      <c r="X174" s="8"/>
      <c r="Y174" s="8"/>
      <c r="Z174" s="8"/>
      <c r="AA174" s="8"/>
      <c r="AB174" s="8"/>
      <c r="AC174" s="8"/>
      <c r="AD174" s="8"/>
    </row>
    <row r="175" spans="1:30">
      <c r="A175" s="2402">
        <v>160</v>
      </c>
      <c r="B175" s="2400" t="s">
        <v>4128</v>
      </c>
      <c r="C175" s="2401" t="s">
        <v>4127</v>
      </c>
      <c r="D175" s="2399" t="s">
        <v>4126</v>
      </c>
      <c r="E175" s="2403"/>
      <c r="F175" s="2402">
        <v>484</v>
      </c>
      <c r="G175" s="2400" t="s">
        <v>4125</v>
      </c>
      <c r="H175" s="2401" t="s">
        <v>4124</v>
      </c>
      <c r="I175" s="2399" t="s">
        <v>4123</v>
      </c>
      <c r="J175" s="2403"/>
      <c r="K175" s="2402">
        <v>808</v>
      </c>
      <c r="L175" s="2400" t="s">
        <v>4122</v>
      </c>
      <c r="M175" s="2401" t="s">
        <v>4121</v>
      </c>
      <c r="N175" s="2399" t="s">
        <v>4120</v>
      </c>
      <c r="O175" s="2403"/>
      <c r="P175" s="2402">
        <v>1132</v>
      </c>
      <c r="Q175" s="2400" t="s">
        <v>4119</v>
      </c>
      <c r="R175" s="2401" t="s">
        <v>4118</v>
      </c>
      <c r="S175" s="2399" t="s">
        <v>4117</v>
      </c>
      <c r="T175" s="8"/>
      <c r="U175" s="8"/>
      <c r="V175" s="8"/>
      <c r="W175" s="8"/>
      <c r="X175" s="8"/>
      <c r="Y175" s="8"/>
      <c r="Z175" s="8"/>
      <c r="AA175" s="8"/>
      <c r="AB175" s="8"/>
      <c r="AC175" s="8"/>
      <c r="AD175" s="8"/>
    </row>
    <row r="176" spans="1:30">
      <c r="A176" s="2402">
        <v>161</v>
      </c>
      <c r="B176" s="2400" t="s">
        <v>4116</v>
      </c>
      <c r="C176" s="2401" t="s">
        <v>4115</v>
      </c>
      <c r="D176" s="2399" t="s">
        <v>4114</v>
      </c>
      <c r="E176" s="2403"/>
      <c r="F176" s="2402">
        <v>485</v>
      </c>
      <c r="G176" s="2400" t="s">
        <v>4113</v>
      </c>
      <c r="H176" s="2401" t="s">
        <v>4112</v>
      </c>
      <c r="I176" s="2399" t="s">
        <v>4111</v>
      </c>
      <c r="J176" s="2403"/>
      <c r="K176" s="2402">
        <v>809</v>
      </c>
      <c r="L176" s="2400" t="s">
        <v>4110</v>
      </c>
      <c r="M176" s="2401" t="s">
        <v>4109</v>
      </c>
      <c r="N176" s="2399" t="s">
        <v>4108</v>
      </c>
      <c r="O176" s="2403"/>
      <c r="P176" s="2402">
        <v>1133</v>
      </c>
      <c r="Q176" s="2400" t="s">
        <v>4107</v>
      </c>
      <c r="R176" s="2401" t="s">
        <v>4106</v>
      </c>
      <c r="S176" s="2399" t="s">
        <v>4105</v>
      </c>
      <c r="T176" s="8"/>
      <c r="U176" s="8"/>
      <c r="V176" s="8"/>
      <c r="W176" s="8"/>
      <c r="X176" s="8"/>
      <c r="Y176" s="8"/>
      <c r="Z176" s="8"/>
      <c r="AA176" s="8"/>
      <c r="AB176" s="8"/>
      <c r="AC176" s="8"/>
      <c r="AD176" s="8"/>
    </row>
    <row r="177" spans="1:30">
      <c r="A177" s="2402">
        <v>162</v>
      </c>
      <c r="B177" s="2400" t="s">
        <v>4104</v>
      </c>
      <c r="C177" s="2401" t="s">
        <v>4103</v>
      </c>
      <c r="D177" s="2399" t="s">
        <v>4102</v>
      </c>
      <c r="E177" s="2403"/>
      <c r="F177" s="2402">
        <v>486</v>
      </c>
      <c r="G177" s="2400" t="s">
        <v>4101</v>
      </c>
      <c r="H177" s="2401" t="s">
        <v>4100</v>
      </c>
      <c r="I177" s="2399" t="s">
        <v>4099</v>
      </c>
      <c r="J177" s="2403"/>
      <c r="K177" s="2402">
        <v>810</v>
      </c>
      <c r="L177" s="2400" t="s">
        <v>4098</v>
      </c>
      <c r="M177" s="2401" t="s">
        <v>4097</v>
      </c>
      <c r="N177" s="2399" t="s">
        <v>4096</v>
      </c>
      <c r="O177" s="2403"/>
      <c r="P177" s="2402">
        <v>1134</v>
      </c>
      <c r="Q177" s="2400" t="s">
        <v>4095</v>
      </c>
      <c r="R177" s="2401" t="s">
        <v>4094</v>
      </c>
      <c r="S177" s="2399" t="s">
        <v>4093</v>
      </c>
      <c r="T177" s="8"/>
      <c r="U177" s="8"/>
      <c r="V177" s="8"/>
      <c r="W177" s="8"/>
      <c r="X177" s="8"/>
      <c r="Y177" s="8"/>
      <c r="Z177" s="8"/>
      <c r="AA177" s="8"/>
      <c r="AB177" s="8"/>
      <c r="AC177" s="8"/>
      <c r="AD177" s="8"/>
    </row>
    <row r="178" spans="1:30">
      <c r="A178" s="2402">
        <v>163</v>
      </c>
      <c r="B178" s="2400" t="s">
        <v>4092</v>
      </c>
      <c r="C178" s="2401" t="s">
        <v>4091</v>
      </c>
      <c r="D178" s="2399" t="s">
        <v>4090</v>
      </c>
      <c r="E178" s="2403"/>
      <c r="F178" s="2402">
        <v>487</v>
      </c>
      <c r="G178" s="2400" t="s">
        <v>4089</v>
      </c>
      <c r="H178" s="2401" t="s">
        <v>4088</v>
      </c>
      <c r="I178" s="2399" t="s">
        <v>4087</v>
      </c>
      <c r="J178" s="2403"/>
      <c r="K178" s="2402">
        <v>811</v>
      </c>
      <c r="L178" s="2400" t="s">
        <v>4086</v>
      </c>
      <c r="M178" s="2401" t="s">
        <v>4085</v>
      </c>
      <c r="N178" s="2399" t="s">
        <v>4084</v>
      </c>
      <c r="O178" s="2403"/>
      <c r="P178" s="2402">
        <v>1135</v>
      </c>
      <c r="Q178" s="2400" t="s">
        <v>4083</v>
      </c>
      <c r="R178" s="2401" t="s">
        <v>4082</v>
      </c>
      <c r="S178" s="2399" t="s">
        <v>4081</v>
      </c>
      <c r="T178" s="8"/>
      <c r="U178" s="8"/>
      <c r="V178" s="8"/>
      <c r="W178" s="8"/>
      <c r="X178" s="8"/>
      <c r="Y178" s="8"/>
      <c r="Z178" s="8"/>
      <c r="AA178" s="8"/>
      <c r="AB178" s="8"/>
      <c r="AC178" s="8"/>
      <c r="AD178" s="8"/>
    </row>
    <row r="179" spans="1:30">
      <c r="A179" s="2402">
        <v>164</v>
      </c>
      <c r="B179" s="2400" t="s">
        <v>4080</v>
      </c>
      <c r="C179" s="2401" t="s">
        <v>4079</v>
      </c>
      <c r="D179" s="2399" t="s">
        <v>4078</v>
      </c>
      <c r="E179" s="2403"/>
      <c r="F179" s="2402">
        <v>488</v>
      </c>
      <c r="G179" s="2400" t="s">
        <v>4077</v>
      </c>
      <c r="H179" s="2401" t="s">
        <v>4076</v>
      </c>
      <c r="I179" s="2399" t="s">
        <v>4075</v>
      </c>
      <c r="J179" s="2403"/>
      <c r="K179" s="2402">
        <v>812</v>
      </c>
      <c r="L179" s="2400" t="s">
        <v>4074</v>
      </c>
      <c r="M179" s="2401" t="s">
        <v>4073</v>
      </c>
      <c r="N179" s="2399" t="s">
        <v>4072</v>
      </c>
      <c r="O179" s="2403"/>
      <c r="P179" s="2402">
        <v>1136</v>
      </c>
      <c r="Q179" s="2400" t="s">
        <v>4071</v>
      </c>
      <c r="R179" s="2401" t="s">
        <v>4070</v>
      </c>
      <c r="S179" s="2399" t="s">
        <v>4069</v>
      </c>
      <c r="T179" s="8"/>
      <c r="U179" s="8"/>
      <c r="V179" s="8"/>
      <c r="W179" s="8"/>
      <c r="X179" s="8"/>
      <c r="Y179" s="8"/>
      <c r="Z179" s="8"/>
      <c r="AA179" s="8"/>
      <c r="AB179" s="8"/>
      <c r="AC179" s="8"/>
      <c r="AD179" s="8"/>
    </row>
    <row r="180" spans="1:30">
      <c r="A180" s="2402">
        <v>165</v>
      </c>
      <c r="B180" s="2400">
        <v>30</v>
      </c>
      <c r="C180" s="2401" t="s">
        <v>1068</v>
      </c>
      <c r="D180" s="2399" t="s">
        <v>4068</v>
      </c>
      <c r="E180" s="2403"/>
      <c r="F180" s="2402">
        <v>489</v>
      </c>
      <c r="G180" s="2400" t="s">
        <v>4067</v>
      </c>
      <c r="H180" s="2401" t="s">
        <v>4066</v>
      </c>
      <c r="I180" s="2399" t="s">
        <v>4065</v>
      </c>
      <c r="J180" s="2403"/>
      <c r="K180" s="2402">
        <v>813</v>
      </c>
      <c r="L180" s="2400" t="s">
        <v>4064</v>
      </c>
      <c r="M180" s="2401" t="s">
        <v>4063</v>
      </c>
      <c r="N180" s="2399" t="s">
        <v>4062</v>
      </c>
      <c r="O180" s="2403"/>
      <c r="P180" s="2402">
        <v>1137</v>
      </c>
      <c r="Q180" s="2400" t="s">
        <v>4061</v>
      </c>
      <c r="R180" s="2401" t="s">
        <v>4060</v>
      </c>
      <c r="S180" s="2399" t="s">
        <v>4059</v>
      </c>
      <c r="T180" s="8"/>
      <c r="U180" s="8"/>
      <c r="V180" s="8"/>
      <c r="W180" s="8"/>
      <c r="X180" s="8"/>
      <c r="Y180" s="8"/>
      <c r="Z180" s="8"/>
      <c r="AA180" s="8"/>
      <c r="AB180" s="8"/>
      <c r="AC180" s="8"/>
      <c r="AD180" s="8"/>
    </row>
    <row r="181" spans="1:30">
      <c r="A181" s="2402">
        <v>166</v>
      </c>
      <c r="B181" s="2400">
        <v>2139</v>
      </c>
      <c r="C181" s="2401" t="s">
        <v>4058</v>
      </c>
      <c r="D181" s="2399" t="s">
        <v>4057</v>
      </c>
      <c r="E181" s="2403"/>
      <c r="F181" s="2402">
        <v>490</v>
      </c>
      <c r="G181" s="2400" t="s">
        <v>4056</v>
      </c>
      <c r="H181" s="2401" t="s">
        <v>4055</v>
      </c>
      <c r="I181" s="2399" t="s">
        <v>4054</v>
      </c>
      <c r="J181" s="2403"/>
      <c r="K181" s="2402">
        <v>814</v>
      </c>
      <c r="L181" s="2400" t="s">
        <v>4053</v>
      </c>
      <c r="M181" s="2401" t="s">
        <v>4052</v>
      </c>
      <c r="N181" s="2399" t="s">
        <v>4051</v>
      </c>
      <c r="O181" s="2403"/>
      <c r="P181" s="2402">
        <v>1138</v>
      </c>
      <c r="Q181" s="2400" t="s">
        <v>4050</v>
      </c>
      <c r="R181" s="2401" t="s">
        <v>4049</v>
      </c>
      <c r="S181" s="2399" t="s">
        <v>4048</v>
      </c>
      <c r="T181" s="8"/>
      <c r="U181" s="8"/>
      <c r="V181" s="8"/>
      <c r="W181" s="8"/>
      <c r="X181" s="8"/>
      <c r="Y181" s="8"/>
      <c r="Z181" s="8"/>
      <c r="AA181" s="8"/>
      <c r="AB181" s="8"/>
      <c r="AC181" s="8"/>
      <c r="AD181" s="8"/>
    </row>
    <row r="182" spans="1:30">
      <c r="A182" s="2402">
        <v>167</v>
      </c>
      <c r="B182" s="2400" t="s">
        <v>4047</v>
      </c>
      <c r="C182" s="2401" t="s">
        <v>4046</v>
      </c>
      <c r="D182" s="2399" t="s">
        <v>4045</v>
      </c>
      <c r="E182" s="2403"/>
      <c r="F182" s="2402">
        <v>491</v>
      </c>
      <c r="G182" s="2400" t="s">
        <v>4044</v>
      </c>
      <c r="H182" s="2401" t="s">
        <v>4043</v>
      </c>
      <c r="I182" s="2399" t="s">
        <v>4042</v>
      </c>
      <c r="J182" s="2403"/>
      <c r="K182" s="2402">
        <v>815</v>
      </c>
      <c r="L182" s="2400" t="s">
        <v>4041</v>
      </c>
      <c r="M182" s="2401" t="s">
        <v>4040</v>
      </c>
      <c r="N182" s="2399" t="s">
        <v>4039</v>
      </c>
      <c r="O182" s="2403"/>
      <c r="P182" s="2402">
        <v>1139</v>
      </c>
      <c r="Q182" s="2400" t="s">
        <v>4038</v>
      </c>
      <c r="R182" s="2401" t="s">
        <v>4037</v>
      </c>
      <c r="T182" s="8"/>
      <c r="U182" s="8"/>
      <c r="V182" s="8"/>
      <c r="W182" s="8"/>
      <c r="X182" s="8"/>
      <c r="Y182" s="8"/>
      <c r="Z182" s="8"/>
      <c r="AA182" s="8"/>
      <c r="AB182" s="8"/>
      <c r="AC182" s="8"/>
      <c r="AD182" s="8"/>
    </row>
    <row r="183" spans="1:30">
      <c r="A183" s="2402">
        <v>168</v>
      </c>
      <c r="B183" s="2400">
        <v>2122</v>
      </c>
      <c r="C183" s="2401" t="s">
        <v>4036</v>
      </c>
      <c r="D183" s="2399" t="s">
        <v>4035</v>
      </c>
      <c r="E183" s="2403"/>
      <c r="F183" s="2402">
        <v>492</v>
      </c>
      <c r="G183" s="2400" t="s">
        <v>4034</v>
      </c>
      <c r="H183" s="2401" t="s">
        <v>4033</v>
      </c>
      <c r="I183" s="2399" t="s">
        <v>4032</v>
      </c>
      <c r="J183" s="2403"/>
      <c r="K183" s="2402">
        <v>816</v>
      </c>
      <c r="L183" s="2400" t="s">
        <v>4031</v>
      </c>
      <c r="M183" s="2401" t="s">
        <v>4030</v>
      </c>
      <c r="N183" s="2399" t="s">
        <v>4029</v>
      </c>
      <c r="O183" s="2403"/>
      <c r="P183" s="2402">
        <v>1140</v>
      </c>
      <c r="Q183" s="2400" t="s">
        <v>4028</v>
      </c>
      <c r="R183" s="2401" t="s">
        <v>4027</v>
      </c>
      <c r="S183" s="2399" t="s">
        <v>4026</v>
      </c>
      <c r="T183" s="8"/>
      <c r="U183" s="8"/>
      <c r="V183" s="8"/>
      <c r="W183" s="8"/>
      <c r="X183" s="8"/>
      <c r="Y183" s="8"/>
      <c r="Z183" s="8"/>
      <c r="AA183" s="8"/>
      <c r="AB183" s="8"/>
      <c r="AC183" s="8"/>
      <c r="AD183" s="8"/>
    </row>
    <row r="184" spans="1:30">
      <c r="A184" s="2402">
        <v>169</v>
      </c>
      <c r="B184" s="2400" t="s">
        <v>4025</v>
      </c>
      <c r="C184" s="2401" t="s">
        <v>4024</v>
      </c>
      <c r="D184" s="2399" t="s">
        <v>4023</v>
      </c>
      <c r="E184" s="2403"/>
      <c r="F184" s="2402">
        <v>493</v>
      </c>
      <c r="G184" s="2400" t="s">
        <v>4022</v>
      </c>
      <c r="H184" s="2401" t="s">
        <v>4021</v>
      </c>
      <c r="I184" s="2399" t="s">
        <v>4020</v>
      </c>
      <c r="J184" s="2403"/>
      <c r="K184" s="2402">
        <v>817</v>
      </c>
      <c r="L184" s="2400" t="s">
        <v>4019</v>
      </c>
      <c r="M184" s="2401" t="s">
        <v>4018</v>
      </c>
      <c r="N184" s="2399" t="s">
        <v>4017</v>
      </c>
      <c r="O184" s="2403"/>
      <c r="P184" s="2402">
        <v>1141</v>
      </c>
      <c r="Q184" s="2400" t="s">
        <v>4016</v>
      </c>
      <c r="R184" s="2401" t="s">
        <v>4015</v>
      </c>
      <c r="S184" s="2399" t="s">
        <v>4014</v>
      </c>
      <c r="T184" s="8"/>
      <c r="U184" s="8"/>
      <c r="V184" s="8"/>
      <c r="W184" s="8"/>
      <c r="X184" s="8"/>
      <c r="Y184" s="8"/>
      <c r="Z184" s="8"/>
      <c r="AA184" s="8"/>
      <c r="AB184" s="8"/>
      <c r="AC184" s="8"/>
      <c r="AD184" s="8"/>
    </row>
    <row r="185" spans="1:30">
      <c r="A185" s="2402">
        <v>170</v>
      </c>
      <c r="B185" s="2400" t="s">
        <v>4013</v>
      </c>
      <c r="C185" s="2401" t="s">
        <v>4012</v>
      </c>
      <c r="D185" s="2399" t="s">
        <v>4011</v>
      </c>
      <c r="E185" s="2403"/>
      <c r="F185" s="2402">
        <v>494</v>
      </c>
      <c r="G185" s="2400" t="s">
        <v>4010</v>
      </c>
      <c r="H185" s="2401" t="s">
        <v>4009</v>
      </c>
      <c r="I185" s="2399" t="s">
        <v>4008</v>
      </c>
      <c r="J185" s="2403"/>
      <c r="K185" s="2402">
        <v>818</v>
      </c>
      <c r="L185" s="2400" t="s">
        <v>4007</v>
      </c>
      <c r="M185" s="2401" t="s">
        <v>4006</v>
      </c>
      <c r="N185" s="2399" t="s">
        <v>4005</v>
      </c>
      <c r="O185" s="2403"/>
      <c r="P185" s="2402">
        <v>1142</v>
      </c>
      <c r="Q185" s="2400" t="s">
        <v>4004</v>
      </c>
      <c r="R185" s="2401" t="s">
        <v>4003</v>
      </c>
      <c r="S185" s="2399" t="s">
        <v>4002</v>
      </c>
      <c r="T185" s="8"/>
      <c r="U185" s="8"/>
      <c r="V185" s="8"/>
      <c r="W185" s="8"/>
      <c r="X185" s="8"/>
      <c r="Y185" s="8"/>
      <c r="Z185" s="8"/>
      <c r="AA185" s="8"/>
      <c r="AB185" s="8"/>
      <c r="AC185" s="8"/>
      <c r="AD185" s="8"/>
    </row>
    <row r="186" spans="1:30">
      <c r="A186" s="2402">
        <v>171</v>
      </c>
      <c r="B186" s="2400" t="s">
        <v>4001</v>
      </c>
      <c r="C186" s="2401" t="s">
        <v>4000</v>
      </c>
      <c r="D186" s="2399" t="s">
        <v>3999</v>
      </c>
      <c r="E186" s="2403"/>
      <c r="F186" s="2402">
        <v>495</v>
      </c>
      <c r="G186" s="2400" t="s">
        <v>3998</v>
      </c>
      <c r="H186" s="2401" t="s">
        <v>3997</v>
      </c>
      <c r="I186" s="2399" t="s">
        <v>3996</v>
      </c>
      <c r="J186" s="2403"/>
      <c r="K186" s="2402">
        <v>819</v>
      </c>
      <c r="L186" s="2400" t="s">
        <v>3995</v>
      </c>
      <c r="M186" s="2401" t="s">
        <v>3994</v>
      </c>
      <c r="N186" s="2399" t="s">
        <v>3993</v>
      </c>
      <c r="O186" s="2403"/>
      <c r="P186" s="2402">
        <v>1143</v>
      </c>
      <c r="Q186" s="2400" t="s">
        <v>3992</v>
      </c>
      <c r="R186" s="2401" t="s">
        <v>3991</v>
      </c>
      <c r="S186" s="2399" t="s">
        <v>3990</v>
      </c>
      <c r="T186" s="8"/>
      <c r="U186" s="8"/>
      <c r="V186" s="8"/>
      <c r="W186" s="8"/>
      <c r="X186" s="8"/>
      <c r="Y186" s="8"/>
      <c r="Z186" s="8"/>
      <c r="AA186" s="8"/>
      <c r="AB186" s="8"/>
      <c r="AC186" s="8"/>
      <c r="AD186" s="8"/>
    </row>
    <row r="187" spans="1:30">
      <c r="A187" s="2402">
        <v>172</v>
      </c>
      <c r="B187" s="2400" t="s">
        <v>3989</v>
      </c>
      <c r="C187" s="2401" t="s">
        <v>3988</v>
      </c>
      <c r="D187" s="2399" t="s">
        <v>3987</v>
      </c>
      <c r="E187" s="2403"/>
      <c r="F187" s="2402">
        <v>496</v>
      </c>
      <c r="G187" s="2400" t="s">
        <v>3986</v>
      </c>
      <c r="H187" s="2401" t="s">
        <v>3985</v>
      </c>
      <c r="I187" s="2399" t="s">
        <v>3984</v>
      </c>
      <c r="J187" s="2403"/>
      <c r="K187" s="2402">
        <v>820</v>
      </c>
      <c r="L187" s="2400" t="s">
        <v>3983</v>
      </c>
      <c r="M187" s="2401" t="s">
        <v>3982</v>
      </c>
      <c r="N187" s="2399" t="s">
        <v>3981</v>
      </c>
      <c r="O187" s="2403"/>
      <c r="P187" s="2402">
        <v>1144</v>
      </c>
      <c r="Q187" s="2400" t="s">
        <v>3980</v>
      </c>
      <c r="R187" s="2401" t="s">
        <v>3979</v>
      </c>
      <c r="S187" s="2399" t="s">
        <v>3978</v>
      </c>
      <c r="T187" s="8"/>
      <c r="U187" s="8"/>
      <c r="V187" s="8"/>
      <c r="W187" s="8"/>
      <c r="X187" s="8"/>
      <c r="Y187" s="8"/>
      <c r="Z187" s="8"/>
      <c r="AA187" s="8"/>
      <c r="AB187" s="8"/>
      <c r="AC187" s="8"/>
      <c r="AD187" s="8"/>
    </row>
    <row r="188" spans="1:30">
      <c r="A188" s="2402">
        <v>173</v>
      </c>
      <c r="B188" s="2400" t="s">
        <v>3977</v>
      </c>
      <c r="C188" s="2401" t="s">
        <v>3976</v>
      </c>
      <c r="D188" s="2399" t="s">
        <v>3975</v>
      </c>
      <c r="E188" s="2403"/>
      <c r="F188" s="2402">
        <v>497</v>
      </c>
      <c r="G188" s="2400" t="s">
        <v>3974</v>
      </c>
      <c r="H188" s="2401" t="s">
        <v>3973</v>
      </c>
      <c r="I188" s="2399" t="s">
        <v>3972</v>
      </c>
      <c r="J188" s="2403"/>
      <c r="K188" s="2402">
        <v>821</v>
      </c>
      <c r="L188" s="2400" t="s">
        <v>3971</v>
      </c>
      <c r="M188" s="2401" t="s">
        <v>3970</v>
      </c>
      <c r="N188" s="2399" t="s">
        <v>3969</v>
      </c>
      <c r="O188" s="2403"/>
      <c r="P188" s="2402">
        <v>1145</v>
      </c>
      <c r="Q188" s="2400" t="s">
        <v>3968</v>
      </c>
      <c r="R188" s="2401" t="s">
        <v>3967</v>
      </c>
      <c r="S188" s="2399" t="s">
        <v>3966</v>
      </c>
      <c r="T188" s="8"/>
      <c r="U188" s="8"/>
      <c r="V188" s="8"/>
      <c r="W188" s="8"/>
      <c r="X188" s="8"/>
      <c r="Y188" s="8"/>
      <c r="Z188" s="8"/>
      <c r="AA188" s="8"/>
      <c r="AB188" s="8"/>
      <c r="AC188" s="8"/>
      <c r="AD188" s="8"/>
    </row>
    <row r="189" spans="1:30">
      <c r="A189" s="2402">
        <v>174</v>
      </c>
      <c r="B189" s="2400" t="s">
        <v>3965</v>
      </c>
      <c r="C189" s="2401" t="s">
        <v>3964</v>
      </c>
      <c r="D189" s="2399" t="s">
        <v>3963</v>
      </c>
      <c r="E189" s="2403"/>
      <c r="F189" s="2402">
        <v>498</v>
      </c>
      <c r="G189" s="2400" t="s">
        <v>3962</v>
      </c>
      <c r="H189" s="2401" t="s">
        <v>3961</v>
      </c>
      <c r="I189" s="2399" t="s">
        <v>3960</v>
      </c>
      <c r="J189" s="2403"/>
      <c r="K189" s="2402">
        <v>822</v>
      </c>
      <c r="L189" s="2400" t="s">
        <v>3959</v>
      </c>
      <c r="M189" s="2401" t="s">
        <v>3958</v>
      </c>
      <c r="N189" s="2399" t="s">
        <v>3957</v>
      </c>
      <c r="O189" s="2403"/>
      <c r="P189" s="2402">
        <v>1146</v>
      </c>
      <c r="Q189" s="2400" t="s">
        <v>3956</v>
      </c>
      <c r="R189" s="2401" t="s">
        <v>3955</v>
      </c>
      <c r="S189" s="2399" t="s">
        <v>3954</v>
      </c>
      <c r="T189" s="8"/>
      <c r="U189" s="8"/>
      <c r="V189" s="8"/>
      <c r="W189" s="8"/>
      <c r="X189" s="8"/>
      <c r="Y189" s="8"/>
      <c r="Z189" s="8"/>
      <c r="AA189" s="8"/>
      <c r="AB189" s="8"/>
      <c r="AC189" s="8"/>
      <c r="AD189" s="8"/>
    </row>
    <row r="190" spans="1:30">
      <c r="A190" s="2402">
        <v>175</v>
      </c>
      <c r="B190" s="2400" t="s">
        <v>3953</v>
      </c>
      <c r="C190" s="2401" t="s">
        <v>3952</v>
      </c>
      <c r="D190" s="2399" t="s">
        <v>3951</v>
      </c>
      <c r="E190" s="2403"/>
      <c r="F190" s="2402">
        <v>499</v>
      </c>
      <c r="G190" s="2400" t="s">
        <v>3950</v>
      </c>
      <c r="H190" s="2401" t="s">
        <v>3949</v>
      </c>
      <c r="I190" s="2399" t="s">
        <v>3948</v>
      </c>
      <c r="J190" s="2403"/>
      <c r="K190" s="2402">
        <v>823</v>
      </c>
      <c r="L190" s="2400" t="s">
        <v>3947</v>
      </c>
      <c r="M190" s="2401" t="s">
        <v>3946</v>
      </c>
      <c r="N190" s="2399" t="s">
        <v>3945</v>
      </c>
      <c r="O190" s="2403"/>
      <c r="P190" s="2402">
        <v>1147</v>
      </c>
      <c r="Q190" s="2400" t="s">
        <v>3944</v>
      </c>
      <c r="R190" s="2401" t="s">
        <v>3943</v>
      </c>
      <c r="S190" s="2399" t="s">
        <v>3942</v>
      </c>
      <c r="T190" s="8"/>
      <c r="U190" s="8"/>
      <c r="V190" s="8"/>
      <c r="W190" s="8"/>
      <c r="X190" s="8"/>
      <c r="Y190" s="8"/>
      <c r="Z190" s="8"/>
      <c r="AA190" s="8"/>
      <c r="AB190" s="8"/>
      <c r="AC190" s="8"/>
      <c r="AD190" s="8"/>
    </row>
    <row r="191" spans="1:30">
      <c r="A191" s="2402">
        <v>176</v>
      </c>
      <c r="B191" s="2400" t="s">
        <v>3941</v>
      </c>
      <c r="C191" s="2401" t="s">
        <v>3940</v>
      </c>
      <c r="D191" s="2399" t="s">
        <v>3939</v>
      </c>
      <c r="E191" s="2403"/>
      <c r="F191" s="2402">
        <v>500</v>
      </c>
      <c r="G191" s="2400" t="s">
        <v>3938</v>
      </c>
      <c r="H191" s="2401" t="s">
        <v>3937</v>
      </c>
      <c r="I191" s="2399" t="s">
        <v>3936</v>
      </c>
      <c r="J191" s="2403"/>
      <c r="K191" s="2402">
        <v>824</v>
      </c>
      <c r="L191" s="2400" t="s">
        <v>3935</v>
      </c>
      <c r="M191" s="2401" t="s">
        <v>3934</v>
      </c>
      <c r="N191" s="2399" t="s">
        <v>3933</v>
      </c>
      <c r="O191" s="2403"/>
      <c r="P191" s="2402">
        <v>1148</v>
      </c>
      <c r="Q191" s="2400" t="s">
        <v>3932</v>
      </c>
      <c r="R191" s="2401" t="s">
        <v>3931</v>
      </c>
      <c r="S191" s="2399" t="s">
        <v>3930</v>
      </c>
      <c r="T191" s="8"/>
      <c r="U191" s="8"/>
      <c r="V191" s="8"/>
      <c r="W191" s="8"/>
      <c r="X191" s="8"/>
      <c r="Y191" s="8"/>
      <c r="Z191" s="8"/>
      <c r="AA191" s="8"/>
      <c r="AB191" s="8"/>
      <c r="AC191" s="8"/>
      <c r="AD191" s="8"/>
    </row>
    <row r="192" spans="1:30">
      <c r="A192" s="2402">
        <v>177</v>
      </c>
      <c r="B192" s="2400" t="s">
        <v>3929</v>
      </c>
      <c r="C192" s="2401" t="s">
        <v>3928</v>
      </c>
      <c r="D192" s="2399" t="s">
        <v>3927</v>
      </c>
      <c r="E192" s="2403"/>
      <c r="F192" s="2402">
        <v>501</v>
      </c>
      <c r="G192" s="2400" t="s">
        <v>3926</v>
      </c>
      <c r="H192" s="2401" t="s">
        <v>3925</v>
      </c>
      <c r="I192" s="2399" t="s">
        <v>3924</v>
      </c>
      <c r="J192" s="2403"/>
      <c r="K192" s="2402">
        <v>825</v>
      </c>
      <c r="L192" s="2400" t="s">
        <v>3923</v>
      </c>
      <c r="M192" s="2401" t="s">
        <v>3922</v>
      </c>
      <c r="N192" s="2399" t="s">
        <v>3921</v>
      </c>
      <c r="O192" s="2403"/>
      <c r="P192" s="2402">
        <v>1149</v>
      </c>
      <c r="Q192" s="2400" t="s">
        <v>3920</v>
      </c>
      <c r="R192" s="2401" t="s">
        <v>3919</v>
      </c>
      <c r="S192" s="2399" t="s">
        <v>3918</v>
      </c>
      <c r="T192" s="8"/>
      <c r="U192" s="8"/>
      <c r="V192" s="8"/>
      <c r="W192" s="8"/>
      <c r="X192" s="8"/>
      <c r="Y192" s="8"/>
      <c r="Z192" s="8"/>
      <c r="AA192" s="8"/>
      <c r="AB192" s="8"/>
      <c r="AC192" s="8"/>
      <c r="AD192" s="8"/>
    </row>
    <row r="193" spans="1:30">
      <c r="A193" s="2402">
        <v>178</v>
      </c>
      <c r="B193" s="2400" t="s">
        <v>3917</v>
      </c>
      <c r="C193" s="2401" t="s">
        <v>3916</v>
      </c>
      <c r="D193" s="2399" t="s">
        <v>3915</v>
      </c>
      <c r="E193" s="2403"/>
      <c r="F193" s="2402">
        <v>502</v>
      </c>
      <c r="G193" s="2400" t="s">
        <v>3914</v>
      </c>
      <c r="H193" s="2401" t="s">
        <v>3913</v>
      </c>
      <c r="I193" s="2399" t="s">
        <v>3912</v>
      </c>
      <c r="J193" s="2403"/>
      <c r="K193" s="2402">
        <v>826</v>
      </c>
      <c r="L193" s="2400" t="s">
        <v>3911</v>
      </c>
      <c r="M193" s="2401" t="s">
        <v>3910</v>
      </c>
      <c r="N193" s="2399" t="s">
        <v>3909</v>
      </c>
      <c r="O193" s="2403"/>
      <c r="P193" s="2402">
        <v>1150</v>
      </c>
      <c r="Q193" s="2400" t="s">
        <v>3908</v>
      </c>
      <c r="R193" s="2401" t="s">
        <v>3907</v>
      </c>
      <c r="S193" s="2399" t="s">
        <v>3906</v>
      </c>
      <c r="T193" s="8"/>
      <c r="U193" s="8"/>
      <c r="V193" s="8"/>
      <c r="W193" s="8"/>
      <c r="X193" s="8"/>
      <c r="Y193" s="8"/>
      <c r="Z193" s="8"/>
      <c r="AA193" s="8"/>
      <c r="AB193" s="8"/>
      <c r="AC193" s="8"/>
      <c r="AD193" s="8"/>
    </row>
    <row r="194" spans="1:30">
      <c r="A194" s="2402">
        <v>179</v>
      </c>
      <c r="B194" s="2400" t="s">
        <v>3905</v>
      </c>
      <c r="C194" s="2401" t="s">
        <v>3904</v>
      </c>
      <c r="D194" s="2399" t="s">
        <v>3903</v>
      </c>
      <c r="E194" s="2403"/>
      <c r="F194" s="2402">
        <v>503</v>
      </c>
      <c r="G194" s="2400" t="s">
        <v>3902</v>
      </c>
      <c r="H194" s="2401" t="s">
        <v>3901</v>
      </c>
      <c r="I194" s="2399" t="s">
        <v>3900</v>
      </c>
      <c r="J194" s="2403"/>
      <c r="K194" s="2402">
        <v>827</v>
      </c>
      <c r="L194" s="2400" t="s">
        <v>3899</v>
      </c>
      <c r="M194" s="2401" t="s">
        <v>3898</v>
      </c>
      <c r="N194" s="2399" t="s">
        <v>3897</v>
      </c>
      <c r="O194" s="2403"/>
      <c r="P194" s="2402">
        <v>1151</v>
      </c>
      <c r="Q194" s="2400" t="s">
        <v>3896</v>
      </c>
      <c r="R194" s="2401" t="s">
        <v>3895</v>
      </c>
      <c r="S194" s="2399" t="s">
        <v>3894</v>
      </c>
      <c r="T194" s="8"/>
      <c r="U194" s="8"/>
      <c r="V194" s="8"/>
      <c r="W194" s="8"/>
      <c r="X194" s="8"/>
      <c r="Y194" s="8"/>
      <c r="Z194" s="8"/>
      <c r="AA194" s="8"/>
      <c r="AB194" s="8"/>
      <c r="AC194" s="8"/>
      <c r="AD194" s="8"/>
    </row>
    <row r="195" spans="1:30">
      <c r="A195" s="2402">
        <v>180</v>
      </c>
      <c r="B195" s="2400" t="s">
        <v>3893</v>
      </c>
      <c r="C195" s="2401" t="s">
        <v>3892</v>
      </c>
      <c r="D195" s="2399" t="s">
        <v>3891</v>
      </c>
      <c r="E195" s="2403"/>
      <c r="F195" s="2402">
        <v>504</v>
      </c>
      <c r="G195" s="2400" t="s">
        <v>3890</v>
      </c>
      <c r="H195" s="2401" t="s">
        <v>3889</v>
      </c>
      <c r="I195" s="2399" t="s">
        <v>3888</v>
      </c>
      <c r="J195" s="2403"/>
      <c r="K195" s="2402">
        <v>828</v>
      </c>
      <c r="L195" s="2400" t="s">
        <v>3887</v>
      </c>
      <c r="M195" s="2401" t="s">
        <v>3886</v>
      </c>
      <c r="N195" s="2399" t="s">
        <v>3885</v>
      </c>
      <c r="O195" s="2403"/>
      <c r="P195" s="2402">
        <v>1152</v>
      </c>
      <c r="Q195" s="2400" t="s">
        <v>3884</v>
      </c>
      <c r="R195" s="2401" t="s">
        <v>3883</v>
      </c>
      <c r="S195" s="2399" t="s">
        <v>3882</v>
      </c>
      <c r="T195" s="8"/>
      <c r="U195" s="8"/>
      <c r="V195" s="8"/>
      <c r="W195" s="8"/>
      <c r="X195" s="8"/>
      <c r="Y195" s="8"/>
      <c r="Z195" s="8"/>
      <c r="AA195" s="8"/>
      <c r="AB195" s="8"/>
      <c r="AC195" s="8"/>
      <c r="AD195" s="8"/>
    </row>
    <row r="196" spans="1:30">
      <c r="A196" s="2402">
        <v>181</v>
      </c>
      <c r="B196" s="2400" t="s">
        <v>3881</v>
      </c>
      <c r="C196" s="2401" t="s">
        <v>3880</v>
      </c>
      <c r="D196" s="2399" t="s">
        <v>3879</v>
      </c>
      <c r="E196" s="2403"/>
      <c r="F196" s="2402">
        <v>505</v>
      </c>
      <c r="G196" s="2400" t="s">
        <v>3878</v>
      </c>
      <c r="H196" s="2401" t="s">
        <v>3877</v>
      </c>
      <c r="I196" s="2399" t="s">
        <v>3876</v>
      </c>
      <c r="J196" s="2403"/>
      <c r="K196" s="2402">
        <v>829</v>
      </c>
      <c r="L196" s="2400" t="s">
        <v>3875</v>
      </c>
      <c r="M196" s="2401" t="s">
        <v>3874</v>
      </c>
      <c r="N196" s="2399" t="s">
        <v>3873</v>
      </c>
      <c r="O196" s="2403"/>
      <c r="P196" s="2402">
        <v>1153</v>
      </c>
      <c r="Q196" s="2400" t="s">
        <v>3872</v>
      </c>
      <c r="R196" s="2401" t="s">
        <v>3871</v>
      </c>
      <c r="S196" s="2399" t="s">
        <v>3870</v>
      </c>
      <c r="T196" s="8"/>
      <c r="U196" s="8"/>
      <c r="V196" s="8"/>
      <c r="W196" s="8"/>
      <c r="X196" s="8"/>
      <c r="Y196" s="8"/>
      <c r="Z196" s="8"/>
      <c r="AA196" s="8"/>
      <c r="AB196" s="8"/>
      <c r="AC196" s="8"/>
      <c r="AD196" s="8"/>
    </row>
    <row r="197" spans="1:30">
      <c r="A197" s="2402">
        <v>182</v>
      </c>
      <c r="B197" s="2400" t="s">
        <v>3869</v>
      </c>
      <c r="C197" s="2401" t="s">
        <v>3868</v>
      </c>
      <c r="D197" s="2399" t="s">
        <v>3867</v>
      </c>
      <c r="E197" s="2403"/>
      <c r="F197" s="2402">
        <v>506</v>
      </c>
      <c r="G197" s="2400" t="s">
        <v>3866</v>
      </c>
      <c r="H197" s="2401" t="s">
        <v>3865</v>
      </c>
      <c r="I197" s="2399" t="s">
        <v>3864</v>
      </c>
      <c r="J197" s="2403"/>
      <c r="K197" s="2402">
        <v>830</v>
      </c>
      <c r="L197" s="2400" t="s">
        <v>3863</v>
      </c>
      <c r="M197" s="2401" t="s">
        <v>3862</v>
      </c>
      <c r="N197" s="2399" t="s">
        <v>3861</v>
      </c>
      <c r="O197" s="2403"/>
      <c r="P197" s="2402">
        <v>1154</v>
      </c>
      <c r="Q197" s="2400" t="s">
        <v>3860</v>
      </c>
      <c r="R197" s="2401" t="s">
        <v>3859</v>
      </c>
      <c r="S197" s="2399" t="s">
        <v>3858</v>
      </c>
      <c r="T197" s="8"/>
      <c r="U197" s="8"/>
      <c r="V197" s="8"/>
      <c r="W197" s="8"/>
      <c r="X197" s="8"/>
      <c r="Y197" s="8"/>
      <c r="Z197" s="8"/>
      <c r="AA197" s="8"/>
      <c r="AB197" s="8"/>
      <c r="AC197" s="8"/>
      <c r="AD197" s="8"/>
    </row>
    <row r="198" spans="1:30">
      <c r="A198" s="2402">
        <v>183</v>
      </c>
      <c r="B198" s="2400" t="s">
        <v>3857</v>
      </c>
      <c r="C198" s="2401" t="s">
        <v>3856</v>
      </c>
      <c r="D198" s="2399" t="s">
        <v>3855</v>
      </c>
      <c r="E198" s="2403"/>
      <c r="F198" s="2402">
        <v>507</v>
      </c>
      <c r="G198" s="2400" t="s">
        <v>3854</v>
      </c>
      <c r="H198" s="2401" t="s">
        <v>3853</v>
      </c>
      <c r="I198" s="2399" t="s">
        <v>3852</v>
      </c>
      <c r="J198" s="2403"/>
      <c r="K198" s="2402">
        <v>831</v>
      </c>
      <c r="L198" s="2400" t="s">
        <v>3851</v>
      </c>
      <c r="M198" s="2401" t="s">
        <v>3850</v>
      </c>
      <c r="N198" s="2399" t="s">
        <v>3849</v>
      </c>
      <c r="O198" s="2403"/>
      <c r="P198" s="2402">
        <v>1155</v>
      </c>
      <c r="Q198" s="2400" t="s">
        <v>3848</v>
      </c>
      <c r="R198" s="2401" t="s">
        <v>3847</v>
      </c>
      <c r="S198" s="2399" t="s">
        <v>3846</v>
      </c>
      <c r="T198" s="8"/>
      <c r="U198" s="8"/>
      <c r="V198" s="8"/>
      <c r="W198" s="8"/>
      <c r="X198" s="8"/>
      <c r="Y198" s="8"/>
      <c r="Z198" s="8"/>
      <c r="AA198" s="8"/>
      <c r="AB198" s="8"/>
      <c r="AC198" s="8"/>
      <c r="AD198" s="8"/>
    </row>
    <row r="199" spans="1:30">
      <c r="A199" s="2402">
        <v>184</v>
      </c>
      <c r="B199" s="2400" t="s">
        <v>3845</v>
      </c>
      <c r="C199" s="2401" t="s">
        <v>3844</v>
      </c>
      <c r="D199" s="2399" t="s">
        <v>3843</v>
      </c>
      <c r="E199" s="2403"/>
      <c r="F199" s="2402">
        <v>508</v>
      </c>
      <c r="G199" s="2400" t="s">
        <v>3842</v>
      </c>
      <c r="H199" s="2401" t="s">
        <v>3841</v>
      </c>
      <c r="I199" s="2399" t="s">
        <v>3840</v>
      </c>
      <c r="J199" s="2403"/>
      <c r="K199" s="2402">
        <v>832</v>
      </c>
      <c r="L199" s="2400" t="s">
        <v>3839</v>
      </c>
      <c r="M199" s="2401" t="s">
        <v>3838</v>
      </c>
      <c r="N199" s="2399" t="s">
        <v>3837</v>
      </c>
      <c r="O199" s="2403"/>
      <c r="P199" s="2402">
        <v>1156</v>
      </c>
      <c r="Q199" s="2400" t="s">
        <v>3836</v>
      </c>
      <c r="R199" s="2401" t="s">
        <v>3835</v>
      </c>
      <c r="S199" s="2399" t="s">
        <v>3834</v>
      </c>
      <c r="T199" s="8"/>
      <c r="U199" s="8"/>
      <c r="V199" s="8"/>
      <c r="W199" s="8"/>
      <c r="X199" s="8"/>
      <c r="Y199" s="8"/>
      <c r="Z199" s="8"/>
      <c r="AA199" s="8"/>
      <c r="AB199" s="8"/>
      <c r="AC199" s="8"/>
      <c r="AD199" s="8"/>
    </row>
    <row r="200" spans="1:30">
      <c r="A200" s="2402">
        <v>185</v>
      </c>
      <c r="B200" s="2400" t="s">
        <v>3833</v>
      </c>
      <c r="C200" s="2401" t="s">
        <v>3832</v>
      </c>
      <c r="D200" s="2399" t="s">
        <v>3831</v>
      </c>
      <c r="E200" s="2403"/>
      <c r="F200" s="2402">
        <v>509</v>
      </c>
      <c r="G200" s="2400" t="s">
        <v>3830</v>
      </c>
      <c r="H200" s="2401" t="s">
        <v>3829</v>
      </c>
      <c r="I200" s="2399" t="s">
        <v>3828</v>
      </c>
      <c r="J200" s="2403"/>
      <c r="K200" s="2402">
        <v>833</v>
      </c>
      <c r="L200" s="2400" t="s">
        <v>3817</v>
      </c>
      <c r="M200" s="2401" t="s">
        <v>3816</v>
      </c>
      <c r="N200" s="2399" t="s">
        <v>3827</v>
      </c>
      <c r="O200" s="2403"/>
      <c r="P200" s="2402">
        <v>1157</v>
      </c>
      <c r="Q200" s="2400" t="s">
        <v>3826</v>
      </c>
      <c r="R200" s="2401" t="s">
        <v>3825</v>
      </c>
      <c r="S200" s="2399" t="s">
        <v>3824</v>
      </c>
      <c r="T200" s="8"/>
      <c r="U200" s="8"/>
      <c r="V200" s="8"/>
      <c r="W200" s="8"/>
      <c r="X200" s="8"/>
      <c r="Y200" s="8"/>
      <c r="Z200" s="8"/>
      <c r="AA200" s="8"/>
      <c r="AB200" s="8"/>
      <c r="AC200" s="8"/>
      <c r="AD200" s="8"/>
    </row>
    <row r="201" spans="1:30">
      <c r="A201" s="2402">
        <v>186</v>
      </c>
      <c r="B201" s="2400" t="s">
        <v>3823</v>
      </c>
      <c r="C201" s="2401" t="s">
        <v>3822</v>
      </c>
      <c r="D201" s="2399" t="s">
        <v>3821</v>
      </c>
      <c r="E201" s="2403"/>
      <c r="F201" s="2402">
        <v>510</v>
      </c>
      <c r="G201" s="2400" t="s">
        <v>3820</v>
      </c>
      <c r="H201" s="2401" t="s">
        <v>3819</v>
      </c>
      <c r="I201" s="2399" t="s">
        <v>3818</v>
      </c>
      <c r="J201" s="2403"/>
      <c r="K201" s="2402">
        <v>834</v>
      </c>
      <c r="L201" s="2400" t="s">
        <v>3817</v>
      </c>
      <c r="M201" s="2401" t="s">
        <v>3816</v>
      </c>
      <c r="N201" s="2399" t="s">
        <v>3815</v>
      </c>
      <c r="O201" s="2403"/>
      <c r="P201" s="2402">
        <v>1158</v>
      </c>
      <c r="Q201" s="2400" t="s">
        <v>3814</v>
      </c>
      <c r="R201" s="2401" t="s">
        <v>3813</v>
      </c>
      <c r="S201" s="2399" t="s">
        <v>3812</v>
      </c>
      <c r="T201" s="8"/>
      <c r="U201" s="8"/>
      <c r="V201" s="8"/>
      <c r="W201" s="8"/>
      <c r="X201" s="8"/>
      <c r="Y201" s="8"/>
      <c r="Z201" s="8"/>
      <c r="AA201" s="8"/>
      <c r="AB201" s="8"/>
      <c r="AC201" s="8"/>
      <c r="AD201" s="8"/>
    </row>
    <row r="202" spans="1:30">
      <c r="A202" s="2402">
        <v>187</v>
      </c>
      <c r="B202" s="2400" t="s">
        <v>3811</v>
      </c>
      <c r="C202" s="2401" t="s">
        <v>3810</v>
      </c>
      <c r="D202" s="2399" t="s">
        <v>3809</v>
      </c>
      <c r="E202" s="2403"/>
      <c r="F202" s="2402">
        <v>511</v>
      </c>
      <c r="G202" s="2400" t="s">
        <v>3808</v>
      </c>
      <c r="H202" s="2401" t="s">
        <v>3807</v>
      </c>
      <c r="I202" s="2399" t="s">
        <v>3806</v>
      </c>
      <c r="J202" s="2403"/>
      <c r="K202" s="2402">
        <v>835</v>
      </c>
      <c r="L202" s="2400" t="s">
        <v>3805</v>
      </c>
      <c r="M202" s="2401" t="s">
        <v>3804</v>
      </c>
      <c r="N202" s="2399" t="s">
        <v>3803</v>
      </c>
      <c r="O202" s="2403"/>
      <c r="P202" s="2402">
        <v>1159</v>
      </c>
      <c r="Q202" s="2400" t="s">
        <v>3802</v>
      </c>
      <c r="R202" s="2401" t="s">
        <v>3801</v>
      </c>
      <c r="S202" s="2399" t="s">
        <v>3800</v>
      </c>
      <c r="T202" s="8"/>
      <c r="U202" s="8"/>
      <c r="V202" s="8"/>
      <c r="W202" s="8"/>
      <c r="X202" s="8"/>
      <c r="Y202" s="8"/>
      <c r="Z202" s="8"/>
      <c r="AA202" s="8"/>
      <c r="AB202" s="8"/>
      <c r="AC202" s="8"/>
      <c r="AD202" s="8"/>
    </row>
    <row r="203" spans="1:30">
      <c r="A203" s="2402">
        <v>188</v>
      </c>
      <c r="B203" s="2400" t="s">
        <v>3799</v>
      </c>
      <c r="C203" s="2401" t="s">
        <v>3798</v>
      </c>
      <c r="D203" s="2399" t="s">
        <v>3797</v>
      </c>
      <c r="E203" s="2403"/>
      <c r="F203" s="2402">
        <v>512</v>
      </c>
      <c r="G203" s="2400" t="s">
        <v>3796</v>
      </c>
      <c r="H203" s="2401" t="s">
        <v>3795</v>
      </c>
      <c r="I203" s="2399" t="s">
        <v>3794</v>
      </c>
      <c r="J203" s="2403"/>
      <c r="K203" s="2402">
        <v>836</v>
      </c>
      <c r="L203" s="2400" t="s">
        <v>3793</v>
      </c>
      <c r="M203" s="2401" t="s">
        <v>3792</v>
      </c>
      <c r="N203" s="2399" t="s">
        <v>3791</v>
      </c>
      <c r="O203" s="2403"/>
      <c r="P203" s="2402">
        <v>1160</v>
      </c>
      <c r="Q203" s="2400" t="s">
        <v>3790</v>
      </c>
      <c r="R203" s="2401" t="s">
        <v>3789</v>
      </c>
      <c r="S203" s="2399" t="s">
        <v>3788</v>
      </c>
      <c r="T203" s="8"/>
      <c r="U203" s="8"/>
      <c r="V203" s="8"/>
      <c r="W203" s="8"/>
      <c r="X203" s="8"/>
      <c r="Y203" s="8"/>
      <c r="Z203" s="8"/>
      <c r="AA203" s="8"/>
      <c r="AB203" s="8"/>
      <c r="AC203" s="8"/>
      <c r="AD203" s="8"/>
    </row>
    <row r="204" spans="1:30">
      <c r="A204" s="2402">
        <v>189</v>
      </c>
      <c r="B204" s="2400" t="s">
        <v>3787</v>
      </c>
      <c r="C204" s="2401" t="s">
        <v>3786</v>
      </c>
      <c r="D204" s="2399" t="s">
        <v>3785</v>
      </c>
      <c r="E204" s="2403"/>
      <c r="F204" s="2402">
        <v>513</v>
      </c>
      <c r="G204" s="2400" t="s">
        <v>3784</v>
      </c>
      <c r="H204" s="2401" t="s">
        <v>3783</v>
      </c>
      <c r="I204" s="2399" t="s">
        <v>3782</v>
      </c>
      <c r="J204" s="2403"/>
      <c r="K204" s="2402">
        <v>837</v>
      </c>
      <c r="L204" s="2400" t="s">
        <v>3772</v>
      </c>
      <c r="M204" s="2401" t="s">
        <v>3771</v>
      </c>
      <c r="O204" s="2403"/>
      <c r="P204" s="2402">
        <v>1161</v>
      </c>
      <c r="Q204" s="2400" t="s">
        <v>3781</v>
      </c>
      <c r="R204" s="2401" t="s">
        <v>3780</v>
      </c>
      <c r="S204" s="2399" t="s">
        <v>3779</v>
      </c>
      <c r="T204" s="8"/>
      <c r="U204" s="8"/>
      <c r="V204" s="8"/>
      <c r="W204" s="8"/>
      <c r="X204" s="8"/>
      <c r="Y204" s="8"/>
      <c r="Z204" s="8"/>
      <c r="AA204" s="8"/>
      <c r="AB204" s="8"/>
      <c r="AC204" s="8"/>
      <c r="AD204" s="8"/>
    </row>
    <row r="205" spans="1:30">
      <c r="A205" s="2402">
        <v>190</v>
      </c>
      <c r="B205" s="2400" t="s">
        <v>3778</v>
      </c>
      <c r="C205" s="2401" t="s">
        <v>3777</v>
      </c>
      <c r="D205" s="2399" t="s">
        <v>3776</v>
      </c>
      <c r="E205" s="2403"/>
      <c r="F205" s="2402">
        <v>514</v>
      </c>
      <c r="G205" s="2400" t="s">
        <v>3775</v>
      </c>
      <c r="H205" s="2401" t="s">
        <v>3774</v>
      </c>
      <c r="I205" s="2399" t="s">
        <v>3773</v>
      </c>
      <c r="J205" s="2403"/>
      <c r="K205" s="2402">
        <v>838</v>
      </c>
      <c r="L205" s="2400" t="s">
        <v>3772</v>
      </c>
      <c r="M205" s="2401" t="s">
        <v>3771</v>
      </c>
      <c r="N205" s="2399" t="s">
        <v>3770</v>
      </c>
      <c r="O205" s="2403"/>
      <c r="P205" s="2402">
        <v>1162</v>
      </c>
      <c r="Q205" s="2400" t="s">
        <v>3769</v>
      </c>
      <c r="R205" s="2401" t="s">
        <v>3768</v>
      </c>
      <c r="S205" s="2399" t="s">
        <v>3767</v>
      </c>
      <c r="T205" s="8"/>
      <c r="U205" s="8"/>
      <c r="V205" s="8"/>
      <c r="W205" s="8"/>
      <c r="X205" s="8"/>
      <c r="Y205" s="8"/>
      <c r="Z205" s="8"/>
      <c r="AA205" s="8"/>
      <c r="AB205" s="8"/>
      <c r="AC205" s="8"/>
      <c r="AD205" s="8"/>
    </row>
    <row r="206" spans="1:30">
      <c r="A206" s="2402">
        <v>191</v>
      </c>
      <c r="B206" s="2400" t="s">
        <v>3766</v>
      </c>
      <c r="C206" s="2401" t="s">
        <v>3765</v>
      </c>
      <c r="D206" s="2399" t="s">
        <v>3764</v>
      </c>
      <c r="E206" s="2403"/>
      <c r="F206" s="2402">
        <v>515</v>
      </c>
      <c r="G206" s="2400" t="s">
        <v>3763</v>
      </c>
      <c r="H206" s="2401" t="s">
        <v>3762</v>
      </c>
      <c r="I206" s="2399" t="s">
        <v>3761</v>
      </c>
      <c r="J206" s="2403"/>
      <c r="K206" s="2402">
        <v>839</v>
      </c>
      <c r="L206" s="2400" t="s">
        <v>3760</v>
      </c>
      <c r="M206" s="2401" t="s">
        <v>3759</v>
      </c>
      <c r="N206" s="2399" t="s">
        <v>3758</v>
      </c>
      <c r="O206" s="2403"/>
      <c r="P206" s="2402">
        <v>1163</v>
      </c>
      <c r="Q206" s="2400" t="s">
        <v>3757</v>
      </c>
      <c r="R206" s="2401" t="s">
        <v>3756</v>
      </c>
      <c r="S206" s="2399" t="s">
        <v>3755</v>
      </c>
      <c r="T206" s="8"/>
      <c r="U206" s="8"/>
      <c r="V206" s="8"/>
      <c r="W206" s="8"/>
      <c r="X206" s="8"/>
      <c r="Y206" s="8"/>
      <c r="Z206" s="8"/>
      <c r="AA206" s="8"/>
      <c r="AB206" s="8"/>
      <c r="AC206" s="8"/>
      <c r="AD206" s="8"/>
    </row>
    <row r="207" spans="1:30">
      <c r="A207" s="2402">
        <v>192</v>
      </c>
      <c r="B207" s="2400" t="s">
        <v>3754</v>
      </c>
      <c r="C207" s="2401" t="s">
        <v>3753</v>
      </c>
      <c r="D207" s="2399" t="s">
        <v>3752</v>
      </c>
      <c r="E207" s="2403"/>
      <c r="F207" s="2402">
        <v>516</v>
      </c>
      <c r="G207" s="2400" t="s">
        <v>3751</v>
      </c>
      <c r="H207" s="2401" t="s">
        <v>3750</v>
      </c>
      <c r="I207" s="2399" t="s">
        <v>3749</v>
      </c>
      <c r="J207" s="2403"/>
      <c r="K207" s="2402">
        <v>840</v>
      </c>
      <c r="L207" s="2400" t="s">
        <v>3748</v>
      </c>
      <c r="M207" s="2401" t="s">
        <v>3747</v>
      </c>
      <c r="N207" s="2399" t="s">
        <v>3746</v>
      </c>
      <c r="O207" s="2403"/>
      <c r="P207" s="2402">
        <v>1164</v>
      </c>
      <c r="Q207" s="2400" t="s">
        <v>3745</v>
      </c>
      <c r="R207" s="2401" t="s">
        <v>3744</v>
      </c>
      <c r="S207" s="2399" t="s">
        <v>3743</v>
      </c>
      <c r="T207" s="8"/>
      <c r="U207" s="8"/>
      <c r="V207" s="8"/>
      <c r="W207" s="8"/>
      <c r="X207" s="8"/>
      <c r="Y207" s="8"/>
      <c r="Z207" s="8"/>
      <c r="AA207" s="8"/>
      <c r="AB207" s="8"/>
      <c r="AC207" s="8"/>
      <c r="AD207" s="8"/>
    </row>
    <row r="208" spans="1:30">
      <c r="A208" s="2402">
        <v>193</v>
      </c>
      <c r="B208" s="2400" t="s">
        <v>3742</v>
      </c>
      <c r="C208" s="2401" t="s">
        <v>3741</v>
      </c>
      <c r="D208" s="2399" t="s">
        <v>3740</v>
      </c>
      <c r="E208" s="2403"/>
      <c r="F208" s="2402">
        <v>517</v>
      </c>
      <c r="G208" s="2400" t="s">
        <v>3739</v>
      </c>
      <c r="H208" s="2401" t="s">
        <v>3738</v>
      </c>
      <c r="I208" s="2399" t="s">
        <v>3737</v>
      </c>
      <c r="J208" s="2403"/>
      <c r="K208" s="2402">
        <v>841</v>
      </c>
      <c r="L208" s="2400" t="s">
        <v>3736</v>
      </c>
      <c r="M208" s="2401" t="s">
        <v>3735</v>
      </c>
      <c r="N208" s="2399" t="s">
        <v>3734</v>
      </c>
      <c r="O208" s="2403"/>
      <c r="P208" s="2402">
        <v>1165</v>
      </c>
      <c r="Q208" s="2400" t="s">
        <v>3733</v>
      </c>
      <c r="R208" s="2401" t="s">
        <v>3732</v>
      </c>
      <c r="S208" s="2399" t="s">
        <v>3731</v>
      </c>
      <c r="T208" s="8"/>
      <c r="U208" s="8"/>
      <c r="V208" s="8"/>
      <c r="W208" s="8"/>
      <c r="X208" s="8"/>
      <c r="Y208" s="8"/>
      <c r="Z208" s="8"/>
      <c r="AA208" s="8"/>
      <c r="AB208" s="8"/>
      <c r="AC208" s="8"/>
      <c r="AD208" s="8"/>
    </row>
    <row r="209" spans="1:30">
      <c r="A209" s="2402">
        <v>194</v>
      </c>
      <c r="B209" s="2400" t="s">
        <v>3730</v>
      </c>
      <c r="C209" s="2401" t="s">
        <v>3729</v>
      </c>
      <c r="D209" s="2399" t="s">
        <v>3728</v>
      </c>
      <c r="E209" s="2403"/>
      <c r="F209" s="2402">
        <v>518</v>
      </c>
      <c r="G209" s="2400" t="s">
        <v>3727</v>
      </c>
      <c r="H209" s="2401" t="s">
        <v>3726</v>
      </c>
      <c r="I209" s="2399" t="s">
        <v>3725</v>
      </c>
      <c r="J209" s="2403"/>
      <c r="K209" s="2402">
        <v>842</v>
      </c>
      <c r="L209" s="2400" t="s">
        <v>3724</v>
      </c>
      <c r="M209" s="2401" t="s">
        <v>3723</v>
      </c>
      <c r="N209" s="2399" t="s">
        <v>3722</v>
      </c>
      <c r="O209" s="2403"/>
      <c r="P209" s="2402">
        <v>1166</v>
      </c>
      <c r="Q209" s="2400" t="s">
        <v>3721</v>
      </c>
      <c r="R209" s="2401" t="s">
        <v>3720</v>
      </c>
      <c r="S209" s="2399" t="s">
        <v>3719</v>
      </c>
      <c r="T209" s="8"/>
      <c r="U209" s="8"/>
      <c r="V209" s="8"/>
      <c r="W209" s="8"/>
      <c r="X209" s="8"/>
      <c r="Y209" s="8"/>
      <c r="Z209" s="8"/>
      <c r="AA209" s="8"/>
      <c r="AB209" s="8"/>
      <c r="AC209" s="8"/>
      <c r="AD209" s="8"/>
    </row>
    <row r="210" spans="1:30">
      <c r="A210" s="2402">
        <v>195</v>
      </c>
      <c r="B210" s="2400" t="s">
        <v>3718</v>
      </c>
      <c r="C210" s="2401" t="s">
        <v>3717</v>
      </c>
      <c r="D210" s="2399" t="s">
        <v>3716</v>
      </c>
      <c r="E210" s="2403"/>
      <c r="F210" s="2402">
        <v>519</v>
      </c>
      <c r="G210" s="2400" t="s">
        <v>3715</v>
      </c>
      <c r="H210" s="2401" t="s">
        <v>3714</v>
      </c>
      <c r="I210" s="2399" t="s">
        <v>3713</v>
      </c>
      <c r="J210" s="2403"/>
      <c r="K210" s="2402">
        <v>843</v>
      </c>
      <c r="L210" s="2400" t="s">
        <v>3712</v>
      </c>
      <c r="M210" s="2401" t="s">
        <v>3711</v>
      </c>
      <c r="N210" s="2399" t="s">
        <v>3710</v>
      </c>
      <c r="O210" s="2403"/>
      <c r="P210" s="2402">
        <v>1167</v>
      </c>
      <c r="Q210" s="2400" t="s">
        <v>3709</v>
      </c>
      <c r="R210" s="2401" t="s">
        <v>3708</v>
      </c>
      <c r="S210" s="2399" t="s">
        <v>3707</v>
      </c>
      <c r="T210" s="8"/>
      <c r="U210" s="8"/>
      <c r="V210" s="8"/>
      <c r="W210" s="8"/>
      <c r="X210" s="8"/>
      <c r="Y210" s="8"/>
      <c r="Z210" s="8"/>
      <c r="AA210" s="8"/>
      <c r="AB210" s="8"/>
      <c r="AC210" s="8"/>
      <c r="AD210" s="8"/>
    </row>
    <row r="211" spans="1:30">
      <c r="A211" s="2402">
        <v>196</v>
      </c>
      <c r="B211" s="2400" t="s">
        <v>3706</v>
      </c>
      <c r="C211" s="2401" t="s">
        <v>3705</v>
      </c>
      <c r="D211" s="2399" t="s">
        <v>3704</v>
      </c>
      <c r="E211" s="2403"/>
      <c r="F211" s="2402">
        <v>520</v>
      </c>
      <c r="G211" s="2400" t="s">
        <v>3703</v>
      </c>
      <c r="H211" s="2401" t="s">
        <v>3702</v>
      </c>
      <c r="I211" s="2399" t="s">
        <v>3701</v>
      </c>
      <c r="J211" s="2403"/>
      <c r="K211" s="2402">
        <v>844</v>
      </c>
      <c r="L211" s="2400" t="s">
        <v>3700</v>
      </c>
      <c r="M211" s="2401" t="s">
        <v>3699</v>
      </c>
      <c r="N211" s="2399" t="s">
        <v>3698</v>
      </c>
      <c r="O211" s="2403"/>
      <c r="P211" s="2402">
        <v>1168</v>
      </c>
      <c r="Q211" s="2400" t="s">
        <v>3697</v>
      </c>
      <c r="R211" s="2401" t="s">
        <v>3696</v>
      </c>
      <c r="S211" s="2399" t="s">
        <v>3695</v>
      </c>
      <c r="T211" s="8"/>
      <c r="U211" s="8"/>
      <c r="V211" s="8"/>
      <c r="W211" s="8"/>
      <c r="X211" s="8"/>
      <c r="Y211" s="8"/>
      <c r="Z211" s="8"/>
      <c r="AA211" s="8"/>
      <c r="AB211" s="8"/>
      <c r="AC211" s="8"/>
      <c r="AD211" s="8"/>
    </row>
    <row r="212" spans="1:30">
      <c r="A212" s="2402">
        <v>197</v>
      </c>
      <c r="B212" s="2400" t="s">
        <v>3694</v>
      </c>
      <c r="C212" s="2401" t="s">
        <v>3693</v>
      </c>
      <c r="D212" s="2399" t="s">
        <v>3692</v>
      </c>
      <c r="E212" s="2403"/>
      <c r="F212" s="2402">
        <v>521</v>
      </c>
      <c r="G212" s="2400" t="s">
        <v>3691</v>
      </c>
      <c r="H212" s="2401" t="s">
        <v>3690</v>
      </c>
      <c r="I212" s="2399" t="s">
        <v>3689</v>
      </c>
      <c r="J212" s="2403"/>
      <c r="K212" s="2402">
        <v>845</v>
      </c>
      <c r="L212" s="2400" t="s">
        <v>3688</v>
      </c>
      <c r="M212" s="2401" t="s">
        <v>3687</v>
      </c>
      <c r="N212" s="2399" t="s">
        <v>3686</v>
      </c>
      <c r="O212" s="2403"/>
      <c r="P212" s="2402">
        <v>1169</v>
      </c>
      <c r="Q212" s="2400" t="s">
        <v>3685</v>
      </c>
      <c r="R212" s="2401" t="s">
        <v>3684</v>
      </c>
      <c r="S212" s="2399" t="s">
        <v>3683</v>
      </c>
      <c r="T212" s="8"/>
      <c r="U212" s="8"/>
      <c r="V212" s="8"/>
      <c r="W212" s="8"/>
      <c r="X212" s="8"/>
      <c r="Y212" s="8"/>
      <c r="Z212" s="8"/>
      <c r="AA212" s="8"/>
      <c r="AB212" s="8"/>
      <c r="AC212" s="8"/>
      <c r="AD212" s="8"/>
    </row>
    <row r="213" spans="1:30">
      <c r="A213" s="2402">
        <v>198</v>
      </c>
      <c r="B213" s="2400" t="s">
        <v>3682</v>
      </c>
      <c r="C213" s="2401" t="s">
        <v>3681</v>
      </c>
      <c r="D213" s="2399" t="s">
        <v>3680</v>
      </c>
      <c r="E213" s="2403"/>
      <c r="F213" s="2402">
        <v>522</v>
      </c>
      <c r="G213" s="2400" t="s">
        <v>3679</v>
      </c>
      <c r="H213" s="2401" t="s">
        <v>3678</v>
      </c>
      <c r="I213" s="2399" t="s">
        <v>3677</v>
      </c>
      <c r="J213" s="2403"/>
      <c r="K213" s="2402">
        <v>846</v>
      </c>
      <c r="L213" s="2400" t="s">
        <v>3676</v>
      </c>
      <c r="M213" s="2401" t="s">
        <v>3675</v>
      </c>
      <c r="N213" s="2399" t="s">
        <v>3674</v>
      </c>
      <c r="O213" s="2403"/>
      <c r="P213" s="2402">
        <v>1170</v>
      </c>
      <c r="Q213" s="2400" t="s">
        <v>3673</v>
      </c>
      <c r="R213" s="2401" t="s">
        <v>3672</v>
      </c>
      <c r="S213" s="2399" t="s">
        <v>3671</v>
      </c>
      <c r="T213" s="8"/>
      <c r="U213" s="8"/>
      <c r="V213" s="8"/>
      <c r="W213" s="8"/>
      <c r="X213" s="8"/>
      <c r="Y213" s="8"/>
      <c r="Z213" s="8"/>
      <c r="AA213" s="8"/>
      <c r="AB213" s="8"/>
      <c r="AC213" s="8"/>
      <c r="AD213" s="8"/>
    </row>
    <row r="214" spans="1:30">
      <c r="A214" s="2402">
        <v>199</v>
      </c>
      <c r="B214" s="2400" t="s">
        <v>3670</v>
      </c>
      <c r="C214" s="2401" t="s">
        <v>3669</v>
      </c>
      <c r="D214" s="2399" t="s">
        <v>3668</v>
      </c>
      <c r="E214" s="2403"/>
      <c r="F214" s="2402">
        <v>523</v>
      </c>
      <c r="G214" s="2400" t="s">
        <v>3667</v>
      </c>
      <c r="H214" s="2401" t="s">
        <v>3666</v>
      </c>
      <c r="I214" s="2399" t="s">
        <v>3665</v>
      </c>
      <c r="J214" s="2403"/>
      <c r="K214" s="2402">
        <v>847</v>
      </c>
      <c r="L214" s="2400" t="s">
        <v>3664</v>
      </c>
      <c r="M214" s="2401" t="s">
        <v>3663</v>
      </c>
      <c r="N214" s="2399" t="s">
        <v>3662</v>
      </c>
      <c r="O214" s="2403"/>
      <c r="P214" s="2402">
        <v>1171</v>
      </c>
      <c r="Q214" s="2400" t="s">
        <v>3661</v>
      </c>
      <c r="R214" s="2401" t="s">
        <v>3660</v>
      </c>
      <c r="S214" s="2399" t="s">
        <v>3659</v>
      </c>
      <c r="T214" s="8"/>
      <c r="U214" s="8"/>
      <c r="V214" s="8"/>
      <c r="W214" s="8"/>
      <c r="X214" s="8"/>
      <c r="Y214" s="8"/>
      <c r="Z214" s="8"/>
      <c r="AA214" s="8"/>
      <c r="AB214" s="8"/>
      <c r="AC214" s="8"/>
      <c r="AD214" s="8"/>
    </row>
    <row r="215" spans="1:30">
      <c r="A215" s="2402">
        <v>200</v>
      </c>
      <c r="B215" s="2400" t="s">
        <v>3658</v>
      </c>
      <c r="C215" s="2401" t="s">
        <v>3657</v>
      </c>
      <c r="D215" s="2399" t="s">
        <v>3656</v>
      </c>
      <c r="E215" s="2403"/>
      <c r="F215" s="2402">
        <v>524</v>
      </c>
      <c r="G215" s="2400" t="s">
        <v>3655</v>
      </c>
      <c r="H215" s="2401" t="s">
        <v>3654</v>
      </c>
      <c r="I215" s="2399" t="s">
        <v>3653</v>
      </c>
      <c r="J215" s="2403"/>
      <c r="K215" s="2402">
        <v>848</v>
      </c>
      <c r="L215" s="2400" t="s">
        <v>3652</v>
      </c>
      <c r="M215" s="2401" t="s">
        <v>3651</v>
      </c>
      <c r="N215" s="2399" t="s">
        <v>3650</v>
      </c>
      <c r="O215" s="2403"/>
      <c r="P215" s="2402">
        <v>1172</v>
      </c>
      <c r="Q215" s="2400" t="s">
        <v>3649</v>
      </c>
      <c r="R215" s="2401" t="s">
        <v>3648</v>
      </c>
      <c r="S215" s="2399" t="s">
        <v>3647</v>
      </c>
      <c r="T215" s="8"/>
      <c r="U215" s="8"/>
      <c r="V215" s="8"/>
      <c r="W215" s="8"/>
      <c r="X215" s="8"/>
      <c r="Y215" s="8"/>
      <c r="Z215" s="8"/>
      <c r="AA215" s="8"/>
      <c r="AB215" s="8"/>
      <c r="AC215" s="8"/>
      <c r="AD215" s="8"/>
    </row>
    <row r="216" spans="1:30">
      <c r="A216" s="2402">
        <v>201</v>
      </c>
      <c r="B216" s="2400" t="s">
        <v>3646</v>
      </c>
      <c r="C216" s="2401" t="s">
        <v>3645</v>
      </c>
      <c r="D216" s="2399" t="s">
        <v>3644</v>
      </c>
      <c r="E216" s="2403"/>
      <c r="F216" s="2402">
        <v>525</v>
      </c>
      <c r="G216" s="2400" t="s">
        <v>3643</v>
      </c>
      <c r="H216" s="2401" t="s">
        <v>3642</v>
      </c>
      <c r="I216" s="2399" t="s">
        <v>3641</v>
      </c>
      <c r="J216" s="2403"/>
      <c r="K216" s="2402">
        <v>849</v>
      </c>
      <c r="L216" s="2400" t="s">
        <v>3640</v>
      </c>
      <c r="M216" s="2401" t="s">
        <v>3639</v>
      </c>
      <c r="N216" s="2399" t="s">
        <v>3638</v>
      </c>
      <c r="O216" s="2403"/>
      <c r="P216" s="2402">
        <v>1173</v>
      </c>
      <c r="Q216" s="2400" t="s">
        <v>3637</v>
      </c>
      <c r="R216" s="2401" t="s">
        <v>3636</v>
      </c>
      <c r="S216" s="2399" t="s">
        <v>3635</v>
      </c>
      <c r="T216" s="8"/>
      <c r="U216" s="8"/>
      <c r="V216" s="8"/>
      <c r="W216" s="8"/>
      <c r="X216" s="8"/>
      <c r="Y216" s="8"/>
      <c r="Z216" s="8"/>
      <c r="AA216" s="8"/>
      <c r="AB216" s="8"/>
      <c r="AC216" s="8"/>
      <c r="AD216" s="8"/>
    </row>
    <row r="217" spans="1:30">
      <c r="A217" s="2402">
        <v>202</v>
      </c>
      <c r="B217" s="2400" t="s">
        <v>3634</v>
      </c>
      <c r="C217" s="2401" t="s">
        <v>3633</v>
      </c>
      <c r="D217" s="2399" t="s">
        <v>3632</v>
      </c>
      <c r="E217" s="2403"/>
      <c r="F217" s="2402">
        <v>526</v>
      </c>
      <c r="G217" s="2400" t="s">
        <v>3631</v>
      </c>
      <c r="H217" s="2401" t="s">
        <v>3630</v>
      </c>
      <c r="I217" s="2399" t="s">
        <v>3629</v>
      </c>
      <c r="J217" s="2403"/>
      <c r="K217" s="2402">
        <v>850</v>
      </c>
      <c r="L217" s="2400" t="s">
        <v>3628</v>
      </c>
      <c r="M217" s="2401" t="s">
        <v>3627</v>
      </c>
      <c r="N217" s="2399" t="s">
        <v>3626</v>
      </c>
      <c r="O217" s="2403"/>
      <c r="P217" s="2402">
        <v>1174</v>
      </c>
      <c r="Q217" s="2400" t="s">
        <v>3625</v>
      </c>
      <c r="R217" s="2401" t="s">
        <v>3624</v>
      </c>
      <c r="S217" s="2399" t="s">
        <v>3623</v>
      </c>
      <c r="T217" s="8"/>
      <c r="U217" s="8"/>
      <c r="V217" s="8"/>
      <c r="W217" s="8"/>
      <c r="X217" s="8"/>
      <c r="Y217" s="8"/>
      <c r="Z217" s="8"/>
      <c r="AA217" s="8"/>
      <c r="AB217" s="8"/>
      <c r="AC217" s="8"/>
      <c r="AD217" s="8"/>
    </row>
    <row r="218" spans="1:30">
      <c r="A218" s="2402">
        <v>203</v>
      </c>
      <c r="B218" s="2400" t="s">
        <v>3622</v>
      </c>
      <c r="C218" s="2401" t="s">
        <v>3621</v>
      </c>
      <c r="D218" s="2399" t="s">
        <v>3620</v>
      </c>
      <c r="E218" s="2403"/>
      <c r="F218" s="2402">
        <v>527</v>
      </c>
      <c r="G218" s="2400" t="s">
        <v>3619</v>
      </c>
      <c r="H218" s="2401" t="s">
        <v>3618</v>
      </c>
      <c r="I218" s="2399" t="s">
        <v>3617</v>
      </c>
      <c r="J218" s="2403"/>
      <c r="K218" s="2402">
        <v>851</v>
      </c>
      <c r="L218" s="2400" t="s">
        <v>3616</v>
      </c>
      <c r="M218" s="2401" t="s">
        <v>3615</v>
      </c>
      <c r="N218" s="2399" t="s">
        <v>3614</v>
      </c>
      <c r="O218" s="2403"/>
      <c r="P218" s="2402">
        <v>1175</v>
      </c>
      <c r="Q218" s="2400" t="s">
        <v>3613</v>
      </c>
      <c r="R218" s="2401" t="s">
        <v>3612</v>
      </c>
      <c r="S218" s="2399" t="s">
        <v>3611</v>
      </c>
      <c r="T218" s="8"/>
      <c r="U218" s="8"/>
      <c r="V218" s="8"/>
      <c r="W218" s="8"/>
      <c r="X218" s="8"/>
      <c r="Y218" s="8"/>
      <c r="Z218" s="8"/>
      <c r="AA218" s="8"/>
      <c r="AB218" s="8"/>
      <c r="AC218" s="8"/>
      <c r="AD218" s="8"/>
    </row>
    <row r="219" spans="1:30">
      <c r="A219" s="2402">
        <v>204</v>
      </c>
      <c r="B219" s="2400" t="s">
        <v>3610</v>
      </c>
      <c r="C219" s="2401" t="s">
        <v>3609</v>
      </c>
      <c r="D219" s="2399" t="s">
        <v>3608</v>
      </c>
      <c r="E219" s="2403"/>
      <c r="F219" s="2402">
        <v>528</v>
      </c>
      <c r="G219" s="2400" t="s">
        <v>3607</v>
      </c>
      <c r="H219" s="2401" t="s">
        <v>3606</v>
      </c>
      <c r="I219" s="2399" t="s">
        <v>3605</v>
      </c>
      <c r="J219" s="2403"/>
      <c r="K219" s="2402">
        <v>852</v>
      </c>
      <c r="L219" s="2400" t="s">
        <v>3604</v>
      </c>
      <c r="M219" s="2401" t="s">
        <v>3603</v>
      </c>
      <c r="N219" s="2399" t="s">
        <v>3602</v>
      </c>
      <c r="O219" s="2403"/>
      <c r="P219" s="2402">
        <v>1176</v>
      </c>
      <c r="Q219" s="2400" t="s">
        <v>3601</v>
      </c>
      <c r="R219" s="2401" t="s">
        <v>3600</v>
      </c>
      <c r="S219" s="2399" t="s">
        <v>3599</v>
      </c>
      <c r="T219" s="8"/>
      <c r="U219" s="8"/>
      <c r="V219" s="8"/>
      <c r="W219" s="8"/>
      <c r="X219" s="8"/>
      <c r="Y219" s="8"/>
      <c r="Z219" s="8"/>
      <c r="AA219" s="8"/>
      <c r="AB219" s="8"/>
      <c r="AC219" s="8"/>
      <c r="AD219" s="8"/>
    </row>
    <row r="220" spans="1:30">
      <c r="A220" s="2402">
        <v>205</v>
      </c>
      <c r="B220" s="2400" t="s">
        <v>3598</v>
      </c>
      <c r="C220" s="2401" t="s">
        <v>3597</v>
      </c>
      <c r="D220" s="2399" t="s">
        <v>3596</v>
      </c>
      <c r="E220" s="2403"/>
      <c r="F220" s="2402">
        <v>529</v>
      </c>
      <c r="G220" s="2400" t="s">
        <v>3595</v>
      </c>
      <c r="H220" s="2401" t="s">
        <v>3594</v>
      </c>
      <c r="I220" s="2399" t="s">
        <v>3593</v>
      </c>
      <c r="J220" s="2403"/>
      <c r="K220" s="2402">
        <v>853</v>
      </c>
      <c r="L220" s="2400" t="s">
        <v>3592</v>
      </c>
      <c r="M220" s="2401" t="s">
        <v>3591</v>
      </c>
      <c r="N220" s="2399" t="s">
        <v>3590</v>
      </c>
      <c r="O220" s="2403"/>
      <c r="P220" s="2402">
        <v>1177</v>
      </c>
      <c r="Q220" s="2400" t="s">
        <v>3589</v>
      </c>
      <c r="R220" s="2401" t="s">
        <v>3588</v>
      </c>
      <c r="S220" s="2399" t="s">
        <v>3587</v>
      </c>
      <c r="T220" s="8"/>
      <c r="U220" s="8"/>
      <c r="V220" s="8"/>
      <c r="W220" s="8"/>
      <c r="X220" s="8"/>
      <c r="Y220" s="8"/>
      <c r="Z220" s="8"/>
      <c r="AA220" s="8"/>
      <c r="AB220" s="8"/>
      <c r="AC220" s="8"/>
      <c r="AD220" s="8"/>
    </row>
    <row r="221" spans="1:30">
      <c r="A221" s="2402">
        <v>206</v>
      </c>
      <c r="B221" s="2400" t="s">
        <v>3586</v>
      </c>
      <c r="C221" s="2401" t="s">
        <v>3585</v>
      </c>
      <c r="D221" s="2399" t="s">
        <v>3584</v>
      </c>
      <c r="E221" s="2403"/>
      <c r="F221" s="2402">
        <v>530</v>
      </c>
      <c r="G221" s="2400" t="s">
        <v>3583</v>
      </c>
      <c r="H221" s="2401" t="s">
        <v>3582</v>
      </c>
      <c r="I221" s="2399" t="s">
        <v>3581</v>
      </c>
      <c r="J221" s="2403"/>
      <c r="K221" s="2402">
        <v>854</v>
      </c>
      <c r="L221" s="2400" t="s">
        <v>3580</v>
      </c>
      <c r="M221" s="2401" t="s">
        <v>3579</v>
      </c>
      <c r="N221" s="2399" t="s">
        <v>3578</v>
      </c>
      <c r="O221" s="2403"/>
      <c r="P221" s="2402">
        <v>1178</v>
      </c>
      <c r="Q221" s="2400" t="s">
        <v>3577</v>
      </c>
      <c r="R221" s="2401" t="s">
        <v>3576</v>
      </c>
      <c r="S221" s="2399" t="s">
        <v>3575</v>
      </c>
      <c r="T221" s="8"/>
      <c r="U221" s="8"/>
      <c r="V221" s="8"/>
      <c r="W221" s="8"/>
      <c r="X221" s="8"/>
      <c r="Y221" s="8"/>
      <c r="Z221" s="8"/>
      <c r="AA221" s="8"/>
      <c r="AB221" s="8"/>
      <c r="AC221" s="8"/>
      <c r="AD221" s="8"/>
    </row>
    <row r="222" spans="1:30">
      <c r="A222" s="2402">
        <v>207</v>
      </c>
      <c r="B222" s="2400" t="s">
        <v>3574</v>
      </c>
      <c r="C222" s="2401" t="s">
        <v>3573</v>
      </c>
      <c r="D222" s="2399" t="s">
        <v>3572</v>
      </c>
      <c r="E222" s="2403"/>
      <c r="F222" s="2402">
        <v>531</v>
      </c>
      <c r="G222" s="2400" t="s">
        <v>3571</v>
      </c>
      <c r="H222" s="2401" t="s">
        <v>3570</v>
      </c>
      <c r="I222" s="2399" t="s">
        <v>3569</v>
      </c>
      <c r="J222" s="2403"/>
      <c r="K222" s="2402">
        <v>855</v>
      </c>
      <c r="L222" s="2400" t="s">
        <v>3568</v>
      </c>
      <c r="M222" s="2401" t="s">
        <v>3567</v>
      </c>
      <c r="N222" s="2399" t="s">
        <v>3566</v>
      </c>
      <c r="O222" s="2403"/>
      <c r="P222" s="2402">
        <v>1179</v>
      </c>
      <c r="Q222" s="2400" t="s">
        <v>3565</v>
      </c>
      <c r="R222" s="2401" t="s">
        <v>3564</v>
      </c>
      <c r="S222" s="2399" t="s">
        <v>3563</v>
      </c>
      <c r="T222" s="8"/>
      <c r="U222" s="8"/>
      <c r="V222" s="8"/>
      <c r="W222" s="8"/>
      <c r="X222" s="8"/>
      <c r="Y222" s="8"/>
      <c r="Z222" s="8"/>
      <c r="AA222" s="8"/>
      <c r="AB222" s="8"/>
      <c r="AC222" s="8"/>
      <c r="AD222" s="8"/>
    </row>
    <row r="223" spans="1:30">
      <c r="A223" s="2402">
        <v>208</v>
      </c>
      <c r="B223" s="2400" t="s">
        <v>3562</v>
      </c>
      <c r="C223" s="2401" t="s">
        <v>3561</v>
      </c>
      <c r="D223" s="2399" t="s">
        <v>3560</v>
      </c>
      <c r="E223" s="2403"/>
      <c r="F223" s="2402">
        <v>532</v>
      </c>
      <c r="G223" s="2400" t="s">
        <v>3559</v>
      </c>
      <c r="H223" s="2401" t="s">
        <v>3558</v>
      </c>
      <c r="I223" s="2399" t="s">
        <v>3557</v>
      </c>
      <c r="J223" s="2403"/>
      <c r="K223" s="2402">
        <v>856</v>
      </c>
      <c r="L223" s="2400" t="s">
        <v>3556</v>
      </c>
      <c r="M223" s="2401" t="s">
        <v>3555</v>
      </c>
      <c r="N223" s="2399" t="s">
        <v>3543</v>
      </c>
      <c r="O223" s="2403"/>
      <c r="P223" s="2402">
        <v>1180</v>
      </c>
      <c r="Q223" s="2400" t="s">
        <v>3554</v>
      </c>
      <c r="R223" s="2401" t="s">
        <v>3553</v>
      </c>
      <c r="S223" s="2399" t="s">
        <v>3552</v>
      </c>
      <c r="T223" s="8"/>
      <c r="U223" s="8"/>
      <c r="V223" s="8"/>
      <c r="W223" s="8"/>
      <c r="X223" s="8"/>
      <c r="Y223" s="8"/>
      <c r="Z223" s="8"/>
      <c r="AA223" s="8"/>
      <c r="AB223" s="8"/>
      <c r="AC223" s="8"/>
      <c r="AD223" s="8"/>
    </row>
    <row r="224" spans="1:30">
      <c r="A224" s="2402">
        <v>209</v>
      </c>
      <c r="B224" s="2400" t="s">
        <v>3551</v>
      </c>
      <c r="C224" s="2401" t="s">
        <v>3550</v>
      </c>
      <c r="D224" s="2399" t="s">
        <v>3549</v>
      </c>
      <c r="E224" s="2403"/>
      <c r="F224" s="2402">
        <v>533</v>
      </c>
      <c r="G224" s="2400" t="s">
        <v>3548</v>
      </c>
      <c r="H224" s="2401" t="s">
        <v>3547</v>
      </c>
      <c r="I224" s="2399" t="s">
        <v>3546</v>
      </c>
      <c r="J224" s="2403"/>
      <c r="K224" s="2402">
        <v>857</v>
      </c>
      <c r="L224" s="2400" t="s">
        <v>3545</v>
      </c>
      <c r="M224" s="2401" t="s">
        <v>3544</v>
      </c>
      <c r="N224" s="2399" t="s">
        <v>3543</v>
      </c>
      <c r="O224" s="2403"/>
      <c r="P224" s="2402">
        <v>1181</v>
      </c>
      <c r="Q224" s="2400" t="s">
        <v>3542</v>
      </c>
      <c r="R224" s="2401" t="s">
        <v>3541</v>
      </c>
      <c r="S224" s="2399" t="s">
        <v>3540</v>
      </c>
      <c r="T224" s="8"/>
      <c r="U224" s="8"/>
      <c r="V224" s="8"/>
      <c r="W224" s="8"/>
      <c r="X224" s="8"/>
      <c r="Y224" s="8"/>
      <c r="Z224" s="8"/>
      <c r="AA224" s="8"/>
      <c r="AB224" s="8"/>
      <c r="AC224" s="8"/>
      <c r="AD224" s="8"/>
    </row>
    <row r="225" spans="1:30">
      <c r="A225" s="2402">
        <v>210</v>
      </c>
      <c r="B225" s="2400" t="s">
        <v>3539</v>
      </c>
      <c r="C225" s="2401" t="s">
        <v>3538</v>
      </c>
      <c r="D225" s="2399" t="s">
        <v>3537</v>
      </c>
      <c r="E225" s="2403"/>
      <c r="F225" s="2402">
        <v>534</v>
      </c>
      <c r="G225" s="2400" t="s">
        <v>3536</v>
      </c>
      <c r="H225" s="2401" t="s">
        <v>3535</v>
      </c>
      <c r="I225" s="2399" t="s">
        <v>3534</v>
      </c>
      <c r="J225" s="2403"/>
      <c r="K225" s="2402">
        <v>858</v>
      </c>
      <c r="L225" s="2400" t="s">
        <v>3533</v>
      </c>
      <c r="M225" s="2401" t="s">
        <v>3532</v>
      </c>
      <c r="N225" s="2399" t="s">
        <v>3531</v>
      </c>
      <c r="O225" s="2403"/>
      <c r="P225" s="2402">
        <v>1182</v>
      </c>
      <c r="Q225" s="2400" t="s">
        <v>3530</v>
      </c>
      <c r="R225" s="2401" t="s">
        <v>3529</v>
      </c>
      <c r="S225" s="2399" t="s">
        <v>3528</v>
      </c>
      <c r="T225" s="8"/>
      <c r="U225" s="8"/>
      <c r="V225" s="8"/>
      <c r="W225" s="8"/>
      <c r="X225" s="8"/>
      <c r="Y225" s="8"/>
      <c r="Z225" s="8"/>
      <c r="AA225" s="8"/>
      <c r="AB225" s="8"/>
      <c r="AC225" s="8"/>
      <c r="AD225" s="8"/>
    </row>
    <row r="226" spans="1:30">
      <c r="A226" s="2402">
        <v>211</v>
      </c>
      <c r="B226" s="2400" t="s">
        <v>3527</v>
      </c>
      <c r="C226" s="2401" t="s">
        <v>3526</v>
      </c>
      <c r="D226" s="2399" t="s">
        <v>3525</v>
      </c>
      <c r="E226" s="2403"/>
      <c r="F226" s="2402">
        <v>535</v>
      </c>
      <c r="G226" s="2400" t="s">
        <v>3524</v>
      </c>
      <c r="H226" s="2401" t="s">
        <v>3523</v>
      </c>
      <c r="I226" s="2399" t="s">
        <v>3522</v>
      </c>
      <c r="J226" s="2403"/>
      <c r="K226" s="2402">
        <v>859</v>
      </c>
      <c r="L226" s="2400" t="s">
        <v>3521</v>
      </c>
      <c r="M226" s="2401" t="s">
        <v>3520</v>
      </c>
      <c r="N226" s="2399" t="s">
        <v>3519</v>
      </c>
      <c r="O226" s="2403"/>
      <c r="P226" s="2402">
        <v>1183</v>
      </c>
      <c r="Q226" s="2400" t="s">
        <v>3518</v>
      </c>
      <c r="R226" s="2401" t="s">
        <v>3517</v>
      </c>
      <c r="S226" s="2399" t="s">
        <v>3516</v>
      </c>
      <c r="T226" s="8"/>
      <c r="U226" s="8"/>
      <c r="V226" s="8"/>
      <c r="W226" s="8"/>
      <c r="X226" s="8"/>
      <c r="Y226" s="8"/>
      <c r="Z226" s="8"/>
      <c r="AA226" s="8"/>
      <c r="AB226" s="8"/>
      <c r="AC226" s="8"/>
      <c r="AD226" s="8"/>
    </row>
    <row r="227" spans="1:30">
      <c r="A227" s="2402">
        <v>212</v>
      </c>
      <c r="B227" s="2400" t="s">
        <v>3515</v>
      </c>
      <c r="C227" s="2401" t="s">
        <v>3514</v>
      </c>
      <c r="D227" s="2399" t="s">
        <v>3513</v>
      </c>
      <c r="E227" s="2403"/>
      <c r="F227" s="2402">
        <v>536</v>
      </c>
      <c r="G227" s="2400" t="s">
        <v>3512</v>
      </c>
      <c r="H227" s="2401" t="s">
        <v>3511</v>
      </c>
      <c r="I227" s="2399" t="s">
        <v>3510</v>
      </c>
      <c r="J227" s="2403"/>
      <c r="K227" s="2402">
        <v>860</v>
      </c>
      <c r="L227" s="2400" t="s">
        <v>3509</v>
      </c>
      <c r="M227" s="2401" t="s">
        <v>3508</v>
      </c>
      <c r="N227" s="2399" t="s">
        <v>3507</v>
      </c>
      <c r="O227" s="2403"/>
      <c r="P227" s="2402">
        <v>1184</v>
      </c>
      <c r="Q227" s="2400" t="s">
        <v>3506</v>
      </c>
      <c r="R227" s="2401" t="s">
        <v>3505</v>
      </c>
      <c r="S227" s="2399" t="s">
        <v>3504</v>
      </c>
      <c r="T227" s="8"/>
      <c r="U227" s="8"/>
      <c r="V227" s="8"/>
      <c r="W227" s="8"/>
      <c r="X227" s="8"/>
      <c r="Y227" s="8"/>
      <c r="Z227" s="8"/>
      <c r="AA227" s="8"/>
      <c r="AB227" s="8"/>
      <c r="AC227" s="8"/>
      <c r="AD227" s="8"/>
    </row>
    <row r="228" spans="1:30">
      <c r="A228" s="2402">
        <v>213</v>
      </c>
      <c r="B228" s="2400" t="s">
        <v>3503</v>
      </c>
      <c r="C228" s="2401" t="s">
        <v>3502</v>
      </c>
      <c r="D228" s="2399" t="s">
        <v>3501</v>
      </c>
      <c r="E228" s="2403"/>
      <c r="F228" s="2402">
        <v>537</v>
      </c>
      <c r="G228" s="2400" t="s">
        <v>3500</v>
      </c>
      <c r="H228" s="2401" t="s">
        <v>3499</v>
      </c>
      <c r="I228" s="2399" t="s">
        <v>3498</v>
      </c>
      <c r="J228" s="2403"/>
      <c r="K228" s="2402">
        <v>861</v>
      </c>
      <c r="L228" s="2400" t="s">
        <v>3497</v>
      </c>
      <c r="M228" s="2401" t="s">
        <v>3496</v>
      </c>
      <c r="N228" s="2399" t="s">
        <v>3495</v>
      </c>
      <c r="O228" s="2403"/>
      <c r="P228" s="2402">
        <v>1185</v>
      </c>
      <c r="Q228" s="2400" t="s">
        <v>3494</v>
      </c>
      <c r="R228" s="2401" t="s">
        <v>3493</v>
      </c>
      <c r="S228" s="2399" t="s">
        <v>3492</v>
      </c>
      <c r="T228" s="8"/>
      <c r="U228" s="8"/>
      <c r="V228" s="8"/>
      <c r="W228" s="8"/>
      <c r="X228" s="8"/>
      <c r="Y228" s="8"/>
      <c r="Z228" s="8"/>
      <c r="AA228" s="8"/>
      <c r="AB228" s="8"/>
      <c r="AC228" s="8"/>
      <c r="AD228" s="8"/>
    </row>
    <row r="229" spans="1:30">
      <c r="A229" s="2402">
        <v>214</v>
      </c>
      <c r="B229" s="2400" t="s">
        <v>3491</v>
      </c>
      <c r="C229" s="2401" t="s">
        <v>3490</v>
      </c>
      <c r="D229" s="2399" t="s">
        <v>3489</v>
      </c>
      <c r="E229" s="2403"/>
      <c r="F229" s="2402">
        <v>538</v>
      </c>
      <c r="G229" s="2400" t="s">
        <v>3488</v>
      </c>
      <c r="H229" s="2401" t="s">
        <v>3487</v>
      </c>
      <c r="I229" s="2399" t="s">
        <v>3486</v>
      </c>
      <c r="J229" s="2403"/>
      <c r="K229" s="2402">
        <v>862</v>
      </c>
      <c r="L229" s="2400" t="s">
        <v>3485</v>
      </c>
      <c r="M229" s="2401" t="s">
        <v>3484</v>
      </c>
      <c r="N229" s="2399" t="s">
        <v>3483</v>
      </c>
      <c r="O229" s="2403"/>
      <c r="P229" s="2402">
        <v>1186</v>
      </c>
      <c r="Q229" s="2400" t="s">
        <v>3482</v>
      </c>
      <c r="R229" s="2401" t="s">
        <v>3481</v>
      </c>
      <c r="S229" s="2399" t="s">
        <v>3480</v>
      </c>
      <c r="T229" s="8"/>
      <c r="U229" s="8"/>
      <c r="V229" s="8"/>
      <c r="W229" s="8"/>
      <c r="X229" s="8"/>
      <c r="Y229" s="8"/>
      <c r="Z229" s="8"/>
      <c r="AA229" s="8"/>
      <c r="AB229" s="8"/>
      <c r="AC229" s="8"/>
      <c r="AD229" s="8"/>
    </row>
    <row r="230" spans="1:30">
      <c r="A230" s="2402">
        <v>215</v>
      </c>
      <c r="B230" s="2400" t="s">
        <v>3479</v>
      </c>
      <c r="C230" s="2401" t="s">
        <v>3478</v>
      </c>
      <c r="D230" s="2399" t="s">
        <v>3477</v>
      </c>
      <c r="E230" s="2403"/>
      <c r="F230" s="2402">
        <v>539</v>
      </c>
      <c r="G230" s="2400" t="s">
        <v>3476</v>
      </c>
      <c r="H230" s="2401" t="s">
        <v>3475</v>
      </c>
      <c r="I230" s="2399" t="s">
        <v>3474</v>
      </c>
      <c r="J230" s="2403"/>
      <c r="K230" s="2402">
        <v>863</v>
      </c>
      <c r="L230" s="2400" t="s">
        <v>3473</v>
      </c>
      <c r="M230" s="2401" t="s">
        <v>3472</v>
      </c>
      <c r="N230" s="2399" t="s">
        <v>3471</v>
      </c>
      <c r="O230" s="2403"/>
      <c r="P230" s="2402">
        <v>1187</v>
      </c>
      <c r="Q230" s="2400" t="s">
        <v>3470</v>
      </c>
      <c r="R230" s="2401" t="s">
        <v>3469</v>
      </c>
      <c r="S230" s="2399" t="s">
        <v>3468</v>
      </c>
      <c r="T230" s="8"/>
      <c r="U230" s="8"/>
      <c r="V230" s="8"/>
      <c r="W230" s="8"/>
      <c r="X230" s="8"/>
      <c r="Y230" s="8"/>
      <c r="Z230" s="8"/>
      <c r="AA230" s="8"/>
      <c r="AB230" s="8"/>
      <c r="AC230" s="8"/>
      <c r="AD230" s="8"/>
    </row>
    <row r="231" spans="1:30">
      <c r="A231" s="2402">
        <v>216</v>
      </c>
      <c r="B231" s="2400" t="s">
        <v>3467</v>
      </c>
      <c r="C231" s="2401" t="s">
        <v>3466</v>
      </c>
      <c r="D231" s="2399" t="s">
        <v>3465</v>
      </c>
      <c r="E231" s="2403"/>
      <c r="F231" s="2402">
        <v>540</v>
      </c>
      <c r="G231" s="2400" t="s">
        <v>3464</v>
      </c>
      <c r="H231" s="2401" t="s">
        <v>3463</v>
      </c>
      <c r="I231" s="2399" t="s">
        <v>3462</v>
      </c>
      <c r="J231" s="2403"/>
      <c r="K231" s="2402">
        <v>864</v>
      </c>
      <c r="L231" s="2400" t="s">
        <v>3461</v>
      </c>
      <c r="M231" s="2401" t="s">
        <v>3460</v>
      </c>
      <c r="N231" s="2399" t="s">
        <v>3459</v>
      </c>
      <c r="O231" s="2403"/>
      <c r="P231" s="2402">
        <v>1188</v>
      </c>
      <c r="Q231" s="2400" t="s">
        <v>3458</v>
      </c>
      <c r="R231" s="2401" t="s">
        <v>3457</v>
      </c>
      <c r="S231" s="2399" t="s">
        <v>3456</v>
      </c>
      <c r="T231" s="8"/>
      <c r="U231" s="8"/>
      <c r="V231" s="8"/>
      <c r="W231" s="8"/>
      <c r="X231" s="8"/>
      <c r="Y231" s="8"/>
      <c r="Z231" s="8"/>
      <c r="AA231" s="8"/>
      <c r="AB231" s="8"/>
      <c r="AC231" s="8"/>
      <c r="AD231" s="8"/>
    </row>
    <row r="232" spans="1:30">
      <c r="A232" s="2402">
        <v>217</v>
      </c>
      <c r="B232" s="2400" t="s">
        <v>3455</v>
      </c>
      <c r="C232" s="2401" t="s">
        <v>3454</v>
      </c>
      <c r="D232" s="2399" t="s">
        <v>3453</v>
      </c>
      <c r="E232" s="2403"/>
      <c r="F232" s="2402">
        <v>541</v>
      </c>
      <c r="G232" s="2400" t="s">
        <v>3452</v>
      </c>
      <c r="H232" s="2401" t="s">
        <v>3451</v>
      </c>
      <c r="I232" s="2399" t="s">
        <v>3450</v>
      </c>
      <c r="J232" s="2403"/>
      <c r="K232" s="2402">
        <v>865</v>
      </c>
      <c r="L232" s="2400" t="s">
        <v>3449</v>
      </c>
      <c r="M232" s="2401" t="s">
        <v>3448</v>
      </c>
      <c r="N232" s="2399" t="s">
        <v>3447</v>
      </c>
      <c r="O232" s="2403"/>
      <c r="P232" s="2402">
        <v>1189</v>
      </c>
      <c r="Q232" s="2400" t="s">
        <v>3446</v>
      </c>
      <c r="R232" s="2401" t="s">
        <v>3445</v>
      </c>
      <c r="S232" s="2399" t="s">
        <v>3444</v>
      </c>
      <c r="T232" s="8"/>
      <c r="U232" s="8"/>
      <c r="V232" s="8"/>
      <c r="W232" s="8"/>
      <c r="X232" s="8"/>
      <c r="Y232" s="8"/>
      <c r="Z232" s="8"/>
      <c r="AA232" s="8"/>
      <c r="AB232" s="8"/>
      <c r="AC232" s="8"/>
      <c r="AD232" s="8"/>
    </row>
    <row r="233" spans="1:30">
      <c r="A233" s="2402">
        <v>218</v>
      </c>
      <c r="B233" s="2400" t="s">
        <v>3443</v>
      </c>
      <c r="C233" s="2401" t="s">
        <v>3442</v>
      </c>
      <c r="D233" s="2399" t="s">
        <v>3441</v>
      </c>
      <c r="E233" s="2403"/>
      <c r="F233" s="2402">
        <v>542</v>
      </c>
      <c r="G233" s="2400" t="s">
        <v>3440</v>
      </c>
      <c r="H233" s="2401" t="s">
        <v>3439</v>
      </c>
      <c r="I233" s="2399" t="s">
        <v>3438</v>
      </c>
      <c r="J233" s="2403"/>
      <c r="K233" s="2402">
        <v>866</v>
      </c>
      <c r="L233" s="2400" t="s">
        <v>3437</v>
      </c>
      <c r="M233" s="2401" t="s">
        <v>3436</v>
      </c>
      <c r="N233" s="2399" t="s">
        <v>3435</v>
      </c>
      <c r="O233" s="2403"/>
      <c r="P233" s="2402">
        <v>1190</v>
      </c>
      <c r="Q233" s="2400" t="s">
        <v>3434</v>
      </c>
      <c r="R233" s="2401" t="s">
        <v>3433</v>
      </c>
      <c r="S233" s="2399" t="s">
        <v>3432</v>
      </c>
      <c r="T233" s="8"/>
      <c r="U233" s="8"/>
      <c r="V233" s="8"/>
      <c r="W233" s="8"/>
      <c r="X233" s="8"/>
      <c r="Y233" s="8"/>
      <c r="Z233" s="8"/>
      <c r="AA233" s="8"/>
      <c r="AB233" s="8"/>
      <c r="AC233" s="8"/>
      <c r="AD233" s="8"/>
    </row>
    <row r="234" spans="1:30">
      <c r="A234" s="2402">
        <v>219</v>
      </c>
      <c r="B234" s="2400" t="s">
        <v>3431</v>
      </c>
      <c r="C234" s="2401" t="s">
        <v>3430</v>
      </c>
      <c r="D234" s="2399" t="s">
        <v>3429</v>
      </c>
      <c r="E234" s="2403"/>
      <c r="F234" s="2402">
        <v>543</v>
      </c>
      <c r="G234" s="2400" t="s">
        <v>3428</v>
      </c>
      <c r="H234" s="2401" t="s">
        <v>3427</v>
      </c>
      <c r="I234" s="2399" t="s">
        <v>3426</v>
      </c>
      <c r="J234" s="2403"/>
      <c r="K234" s="2402">
        <v>867</v>
      </c>
      <c r="L234" s="2400" t="s">
        <v>3425</v>
      </c>
      <c r="M234" s="2401" t="s">
        <v>3424</v>
      </c>
      <c r="N234" s="2399" t="s">
        <v>3423</v>
      </c>
      <c r="O234" s="2403"/>
      <c r="P234" s="2402">
        <v>1191</v>
      </c>
      <c r="Q234" s="2400" t="s">
        <v>3422</v>
      </c>
      <c r="R234" s="2401" t="s">
        <v>3421</v>
      </c>
      <c r="S234" s="2399" t="s">
        <v>3420</v>
      </c>
      <c r="T234" s="8"/>
      <c r="U234" s="8"/>
      <c r="V234" s="8"/>
      <c r="W234" s="8"/>
      <c r="X234" s="8"/>
      <c r="Y234" s="8"/>
      <c r="Z234" s="8"/>
      <c r="AA234" s="8"/>
      <c r="AB234" s="8"/>
      <c r="AC234" s="8"/>
      <c r="AD234" s="8"/>
    </row>
    <row r="235" spans="1:30">
      <c r="A235" s="2402">
        <v>220</v>
      </c>
      <c r="B235" s="2400" t="s">
        <v>3419</v>
      </c>
      <c r="C235" s="2401" t="s">
        <v>3418</v>
      </c>
      <c r="D235" s="2399" t="s">
        <v>3417</v>
      </c>
      <c r="E235" s="2403"/>
      <c r="F235" s="2402">
        <v>544</v>
      </c>
      <c r="G235" s="2400" t="s">
        <v>3416</v>
      </c>
      <c r="H235" s="2401" t="s">
        <v>3415</v>
      </c>
      <c r="I235" s="2399" t="s">
        <v>3414</v>
      </c>
      <c r="J235" s="2403"/>
      <c r="K235" s="2402">
        <v>868</v>
      </c>
      <c r="L235" s="2400" t="s">
        <v>3413</v>
      </c>
      <c r="M235" s="2401" t="s">
        <v>3412</v>
      </c>
      <c r="N235" s="2399" t="s">
        <v>3411</v>
      </c>
      <c r="O235" s="2403"/>
      <c r="P235" s="2402">
        <v>1192</v>
      </c>
      <c r="Q235" s="2400" t="s">
        <v>3410</v>
      </c>
      <c r="R235" s="2401" t="s">
        <v>3409</v>
      </c>
      <c r="S235" s="2399" t="s">
        <v>3408</v>
      </c>
      <c r="T235" s="8"/>
      <c r="U235" s="8"/>
      <c r="V235" s="8"/>
      <c r="W235" s="8"/>
      <c r="X235" s="8"/>
      <c r="Y235" s="8"/>
      <c r="Z235" s="8"/>
      <c r="AA235" s="8"/>
      <c r="AB235" s="8"/>
      <c r="AC235" s="8"/>
      <c r="AD235" s="8"/>
    </row>
    <row r="236" spans="1:30">
      <c r="A236" s="2402">
        <v>221</v>
      </c>
      <c r="B236" s="2400" t="s">
        <v>3407</v>
      </c>
      <c r="C236" s="2401" t="s">
        <v>3406</v>
      </c>
      <c r="D236" s="2399" t="s">
        <v>3405</v>
      </c>
      <c r="E236" s="2403"/>
      <c r="F236" s="2402">
        <v>545</v>
      </c>
      <c r="G236" s="2400" t="s">
        <v>3404</v>
      </c>
      <c r="H236" s="2401" t="s">
        <v>3403</v>
      </c>
      <c r="I236" s="2399" t="s">
        <v>3402</v>
      </c>
      <c r="J236" s="2403"/>
      <c r="K236" s="2402">
        <v>869</v>
      </c>
      <c r="L236" s="2400" t="s">
        <v>3401</v>
      </c>
      <c r="M236" s="2401" t="s">
        <v>3400</v>
      </c>
      <c r="N236" s="2399" t="s">
        <v>3399</v>
      </c>
      <c r="O236" s="2403"/>
      <c r="P236" s="2402">
        <v>1193</v>
      </c>
      <c r="Q236" s="2400" t="s">
        <v>3398</v>
      </c>
      <c r="R236" s="2401" t="s">
        <v>3397</v>
      </c>
      <c r="S236" s="2399" t="s">
        <v>3396</v>
      </c>
      <c r="T236" s="8"/>
      <c r="U236" s="8"/>
      <c r="V236" s="8"/>
      <c r="W236" s="8"/>
      <c r="X236" s="8"/>
      <c r="Y236" s="8"/>
      <c r="Z236" s="8"/>
      <c r="AA236" s="8"/>
      <c r="AB236" s="8"/>
      <c r="AC236" s="8"/>
      <c r="AD236" s="8"/>
    </row>
    <row r="237" spans="1:30">
      <c r="A237" s="2402">
        <v>222</v>
      </c>
      <c r="B237" s="2400" t="s">
        <v>3395</v>
      </c>
      <c r="C237" s="2401" t="s">
        <v>3394</v>
      </c>
      <c r="D237" s="2399" t="s">
        <v>3393</v>
      </c>
      <c r="E237" s="2403"/>
      <c r="F237" s="2402">
        <v>546</v>
      </c>
      <c r="G237" s="2400" t="s">
        <v>3392</v>
      </c>
      <c r="H237" s="2401" t="s">
        <v>3391</v>
      </c>
      <c r="I237" s="2399" t="s">
        <v>3390</v>
      </c>
      <c r="J237" s="2403"/>
      <c r="K237" s="2402">
        <v>870</v>
      </c>
      <c r="L237" s="2400" t="s">
        <v>3389</v>
      </c>
      <c r="M237" s="2401" t="s">
        <v>3388</v>
      </c>
      <c r="N237" s="2399" t="s">
        <v>3387</v>
      </c>
      <c r="O237" s="2403"/>
      <c r="P237" s="2402">
        <v>1194</v>
      </c>
      <c r="Q237" s="2400" t="s">
        <v>3386</v>
      </c>
      <c r="R237" s="2401" t="s">
        <v>3385</v>
      </c>
      <c r="S237" s="2399" t="s">
        <v>3384</v>
      </c>
      <c r="T237" s="8"/>
      <c r="U237" s="8"/>
      <c r="V237" s="8"/>
      <c r="W237" s="8"/>
      <c r="X237" s="8"/>
      <c r="Y237" s="8"/>
      <c r="Z237" s="8"/>
      <c r="AA237" s="8"/>
      <c r="AB237" s="8"/>
      <c r="AC237" s="8"/>
      <c r="AD237" s="8"/>
    </row>
    <row r="238" spans="1:30">
      <c r="A238" s="2402">
        <v>223</v>
      </c>
      <c r="B238" s="2400" t="s">
        <v>3383</v>
      </c>
      <c r="C238" s="2401" t="s">
        <v>3382</v>
      </c>
      <c r="D238" s="2399" t="s">
        <v>3381</v>
      </c>
      <c r="E238" s="2403"/>
      <c r="F238" s="2402">
        <v>547</v>
      </c>
      <c r="G238" s="2400" t="s">
        <v>3380</v>
      </c>
      <c r="H238" s="2401" t="s">
        <v>3379</v>
      </c>
      <c r="I238" s="2399" t="s">
        <v>3378</v>
      </c>
      <c r="J238" s="2403"/>
      <c r="K238" s="2402">
        <v>871</v>
      </c>
      <c r="L238" s="2400" t="s">
        <v>3377</v>
      </c>
      <c r="M238" s="2401" t="s">
        <v>3376</v>
      </c>
      <c r="N238" s="2399" t="s">
        <v>3375</v>
      </c>
      <c r="O238" s="2403"/>
      <c r="P238" s="2402">
        <v>1195</v>
      </c>
      <c r="Q238" s="2400" t="s">
        <v>3374</v>
      </c>
      <c r="R238" s="2401" t="s">
        <v>3373</v>
      </c>
      <c r="S238" s="2399" t="s">
        <v>3372</v>
      </c>
      <c r="T238" s="8"/>
      <c r="U238" s="8"/>
      <c r="V238" s="8"/>
      <c r="W238" s="8"/>
      <c r="X238" s="8"/>
      <c r="Y238" s="8"/>
      <c r="Z238" s="8"/>
      <c r="AA238" s="8"/>
      <c r="AB238" s="8"/>
      <c r="AC238" s="8"/>
      <c r="AD238" s="8"/>
    </row>
    <row r="239" spans="1:30">
      <c r="A239" s="2402">
        <v>224</v>
      </c>
      <c r="B239" s="2400" t="s">
        <v>3371</v>
      </c>
      <c r="C239" s="2401" t="s">
        <v>3370</v>
      </c>
      <c r="D239" s="2399" t="s">
        <v>3369</v>
      </c>
      <c r="E239" s="2403"/>
      <c r="F239" s="2402">
        <v>548</v>
      </c>
      <c r="G239" s="2400" t="s">
        <v>3368</v>
      </c>
      <c r="H239" s="2401" t="s">
        <v>3367</v>
      </c>
      <c r="I239" s="2399" t="s">
        <v>3366</v>
      </c>
      <c r="J239" s="2403"/>
      <c r="K239" s="2402">
        <v>872</v>
      </c>
      <c r="L239" s="2400" t="s">
        <v>3365</v>
      </c>
      <c r="M239" s="2401" t="s">
        <v>3364</v>
      </c>
      <c r="N239" s="2399" t="s">
        <v>3363</v>
      </c>
      <c r="O239" s="2403"/>
      <c r="P239" s="2402">
        <v>1196</v>
      </c>
      <c r="Q239" s="2400" t="s">
        <v>3362</v>
      </c>
      <c r="R239" s="2401" t="s">
        <v>3361</v>
      </c>
      <c r="S239" s="2399" t="s">
        <v>3360</v>
      </c>
      <c r="T239" s="8"/>
      <c r="U239" s="8"/>
      <c r="V239" s="8"/>
      <c r="W239" s="8"/>
      <c r="X239" s="8"/>
      <c r="Y239" s="8"/>
      <c r="Z239" s="8"/>
      <c r="AA239" s="8"/>
      <c r="AB239" s="8"/>
      <c r="AC239" s="8"/>
      <c r="AD239" s="8"/>
    </row>
    <row r="240" spans="1:30">
      <c r="A240" s="2402">
        <v>225</v>
      </c>
      <c r="B240" s="2400" t="s">
        <v>3359</v>
      </c>
      <c r="C240" s="2401" t="s">
        <v>3358</v>
      </c>
      <c r="D240" s="2399" t="s">
        <v>3357</v>
      </c>
      <c r="E240" s="2403"/>
      <c r="F240" s="2402">
        <v>549</v>
      </c>
      <c r="G240" s="2400" t="s">
        <v>3356</v>
      </c>
      <c r="H240" s="2401" t="s">
        <v>3355</v>
      </c>
      <c r="I240" s="2399" t="s">
        <v>3354</v>
      </c>
      <c r="J240" s="2403"/>
      <c r="K240" s="2402">
        <v>873</v>
      </c>
      <c r="L240" s="2400" t="s">
        <v>3353</v>
      </c>
      <c r="M240" s="2401" t="s">
        <v>3352</v>
      </c>
      <c r="N240" s="2399" t="s">
        <v>3351</v>
      </c>
      <c r="O240" s="2403"/>
      <c r="P240" s="2402">
        <v>1197</v>
      </c>
      <c r="Q240" s="2400" t="s">
        <v>3350</v>
      </c>
      <c r="R240" s="2401" t="s">
        <v>3349</v>
      </c>
      <c r="S240" s="2399" t="s">
        <v>3348</v>
      </c>
      <c r="T240" s="8"/>
      <c r="U240" s="8"/>
      <c r="V240" s="8"/>
      <c r="W240" s="8"/>
      <c r="X240" s="8"/>
      <c r="Y240" s="8"/>
      <c r="Z240" s="8"/>
      <c r="AA240" s="8"/>
      <c r="AB240" s="8"/>
      <c r="AC240" s="8"/>
      <c r="AD240" s="8"/>
    </row>
    <row r="241" spans="1:30">
      <c r="A241" s="2402">
        <v>226</v>
      </c>
      <c r="B241" s="2400" t="s">
        <v>3347</v>
      </c>
      <c r="C241" s="2401" t="s">
        <v>3346</v>
      </c>
      <c r="D241" s="2399" t="s">
        <v>3345</v>
      </c>
      <c r="E241" s="2403"/>
      <c r="F241" s="2402">
        <v>550</v>
      </c>
      <c r="G241" s="2400" t="s">
        <v>3344</v>
      </c>
      <c r="H241" s="2401" t="s">
        <v>3343</v>
      </c>
      <c r="I241" s="2399" t="s">
        <v>3342</v>
      </c>
      <c r="J241" s="2403"/>
      <c r="K241" s="2402">
        <v>874</v>
      </c>
      <c r="L241" s="2400" t="s">
        <v>3341</v>
      </c>
      <c r="M241" s="2401" t="s">
        <v>3340</v>
      </c>
      <c r="N241" s="2399" t="s">
        <v>3339</v>
      </c>
      <c r="O241" s="2403"/>
      <c r="P241" s="2402">
        <v>1198</v>
      </c>
      <c r="Q241" s="2400" t="s">
        <v>3338</v>
      </c>
      <c r="R241" s="2401" t="s">
        <v>3337</v>
      </c>
      <c r="S241" s="2399" t="s">
        <v>3336</v>
      </c>
      <c r="T241" s="8"/>
      <c r="U241" s="8"/>
      <c r="V241" s="8"/>
      <c r="W241" s="8"/>
      <c r="X241" s="8"/>
      <c r="Y241" s="8"/>
      <c r="Z241" s="8"/>
      <c r="AA241" s="8"/>
      <c r="AB241" s="8"/>
      <c r="AC241" s="8"/>
      <c r="AD241" s="8"/>
    </row>
    <row r="242" spans="1:30">
      <c r="A242" s="2402">
        <v>227</v>
      </c>
      <c r="B242" s="2400" t="s">
        <v>3335</v>
      </c>
      <c r="C242" s="2401" t="s">
        <v>3334</v>
      </c>
      <c r="D242" s="2399" t="s">
        <v>3333</v>
      </c>
      <c r="E242" s="2403"/>
      <c r="F242" s="2402">
        <v>551</v>
      </c>
      <c r="G242" s="2400" t="s">
        <v>3332</v>
      </c>
      <c r="H242" s="2401" t="s">
        <v>3331</v>
      </c>
      <c r="I242" s="2399" t="s">
        <v>3330</v>
      </c>
      <c r="J242" s="2403"/>
      <c r="K242" s="2402">
        <v>875</v>
      </c>
      <c r="L242" s="2400" t="s">
        <v>3329</v>
      </c>
      <c r="M242" s="2401" t="s">
        <v>3328</v>
      </c>
      <c r="N242" s="2399" t="s">
        <v>3327</v>
      </c>
      <c r="O242" s="2403"/>
      <c r="P242" s="2402">
        <v>1199</v>
      </c>
      <c r="Q242" s="2400" t="s">
        <v>3326</v>
      </c>
      <c r="R242" s="2401" t="s">
        <v>3325</v>
      </c>
      <c r="S242" s="2399" t="s">
        <v>3324</v>
      </c>
      <c r="T242" s="8"/>
      <c r="U242" s="8"/>
      <c r="V242" s="8"/>
      <c r="W242" s="8"/>
      <c r="X242" s="8"/>
      <c r="Y242" s="8"/>
      <c r="Z242" s="8"/>
      <c r="AA242" s="8"/>
      <c r="AB242" s="8"/>
      <c r="AC242" s="8"/>
      <c r="AD242" s="8"/>
    </row>
    <row r="243" spans="1:30">
      <c r="A243" s="2402">
        <v>228</v>
      </c>
      <c r="B243" s="2400" t="s">
        <v>3323</v>
      </c>
      <c r="C243" s="2401" t="s">
        <v>3322</v>
      </c>
      <c r="D243" s="2399" t="s">
        <v>3321</v>
      </c>
      <c r="E243" s="2403"/>
      <c r="F243" s="2402">
        <v>552</v>
      </c>
      <c r="G243" s="2400" t="s">
        <v>3320</v>
      </c>
      <c r="H243" s="2401" t="s">
        <v>3319</v>
      </c>
      <c r="I243" s="2399" t="s">
        <v>3318</v>
      </c>
      <c r="J243" s="2403"/>
      <c r="K243" s="2402">
        <v>876</v>
      </c>
      <c r="L243" s="2400" t="s">
        <v>3317</v>
      </c>
      <c r="M243" s="2401" t="s">
        <v>3316</v>
      </c>
      <c r="N243" s="2399" t="s">
        <v>3295</v>
      </c>
      <c r="O243" s="2403"/>
      <c r="P243" s="2402">
        <v>1200</v>
      </c>
      <c r="Q243" s="2400" t="s">
        <v>3315</v>
      </c>
      <c r="R243" s="2401" t="s">
        <v>3314</v>
      </c>
      <c r="S243" s="2399" t="s">
        <v>489</v>
      </c>
      <c r="T243" s="8"/>
      <c r="U243" s="8"/>
      <c r="V243" s="8"/>
      <c r="W243" s="8"/>
      <c r="X243" s="8"/>
      <c r="Y243" s="8"/>
      <c r="Z243" s="8"/>
      <c r="AA243" s="8"/>
      <c r="AB243" s="8"/>
      <c r="AC243" s="8"/>
      <c r="AD243" s="8"/>
    </row>
    <row r="244" spans="1:30">
      <c r="A244" s="2402">
        <v>229</v>
      </c>
      <c r="B244" s="2400" t="s">
        <v>3313</v>
      </c>
      <c r="C244" s="2401" t="s">
        <v>3312</v>
      </c>
      <c r="D244" s="2399" t="s">
        <v>3311</v>
      </c>
      <c r="E244" s="2403"/>
      <c r="F244" s="2402">
        <v>553</v>
      </c>
      <c r="G244" s="2400" t="s">
        <v>3310</v>
      </c>
      <c r="H244" s="2401" t="s">
        <v>3309</v>
      </c>
      <c r="I244" s="2399" t="s">
        <v>3308</v>
      </c>
      <c r="J244" s="2403"/>
      <c r="K244" s="2402">
        <v>877</v>
      </c>
      <c r="L244" s="2400" t="s">
        <v>3307</v>
      </c>
      <c r="M244" s="2401" t="s">
        <v>3306</v>
      </c>
      <c r="N244" s="2399" t="s">
        <v>3187</v>
      </c>
      <c r="O244" s="2403"/>
      <c r="P244" s="2402">
        <v>1201</v>
      </c>
      <c r="Q244" s="2400" t="s">
        <v>3305</v>
      </c>
      <c r="R244" s="2401" t="s">
        <v>3304</v>
      </c>
      <c r="S244" s="2399" t="s">
        <v>3158</v>
      </c>
      <c r="T244" s="8"/>
      <c r="U244" s="8"/>
      <c r="V244" s="8"/>
      <c r="W244" s="8"/>
      <c r="X244" s="8"/>
      <c r="Y244" s="8"/>
      <c r="Z244" s="8"/>
      <c r="AA244" s="8"/>
      <c r="AB244" s="8"/>
      <c r="AC244" s="8"/>
      <c r="AD244" s="8"/>
    </row>
    <row r="245" spans="1:30">
      <c r="A245" s="2402">
        <v>230</v>
      </c>
      <c r="B245" s="2400" t="s">
        <v>3303</v>
      </c>
      <c r="C245" s="2401" t="s">
        <v>3302</v>
      </c>
      <c r="D245" s="2399" t="s">
        <v>3301</v>
      </c>
      <c r="E245" s="2403"/>
      <c r="F245" s="2402">
        <v>554</v>
      </c>
      <c r="G245" s="2400" t="s">
        <v>3300</v>
      </c>
      <c r="H245" s="2401" t="s">
        <v>3299</v>
      </c>
      <c r="I245" s="2399" t="s">
        <v>3298</v>
      </c>
      <c r="J245" s="2403"/>
      <c r="K245" s="2402">
        <v>878</v>
      </c>
      <c r="L245" s="2400" t="s">
        <v>3297</v>
      </c>
      <c r="M245" s="2401" t="s">
        <v>3296</v>
      </c>
      <c r="N245" s="2399" t="s">
        <v>3295</v>
      </c>
      <c r="O245" s="2403"/>
      <c r="P245" s="2402">
        <v>1202</v>
      </c>
      <c r="Q245" s="2400" t="s">
        <v>3294</v>
      </c>
      <c r="R245" s="2401" t="s">
        <v>3293</v>
      </c>
      <c r="S245" s="2399" t="s">
        <v>3292</v>
      </c>
      <c r="T245" s="8"/>
      <c r="U245" s="8"/>
      <c r="V245" s="8"/>
      <c r="W245" s="8"/>
      <c r="X245" s="8"/>
      <c r="Y245" s="8"/>
      <c r="Z245" s="8"/>
      <c r="AA245" s="8"/>
      <c r="AB245" s="8"/>
      <c r="AC245" s="8"/>
      <c r="AD245" s="8"/>
    </row>
    <row r="246" spans="1:30">
      <c r="A246" s="2402">
        <v>231</v>
      </c>
      <c r="B246" s="2400" t="s">
        <v>3291</v>
      </c>
      <c r="C246" s="2401" t="s">
        <v>3290</v>
      </c>
      <c r="D246" s="2399" t="s">
        <v>3289</v>
      </c>
      <c r="E246" s="2403"/>
      <c r="F246" s="2402">
        <v>555</v>
      </c>
      <c r="G246" s="2400" t="s">
        <v>3288</v>
      </c>
      <c r="H246" s="2401" t="s">
        <v>3287</v>
      </c>
      <c r="I246" s="2399" t="s">
        <v>3286</v>
      </c>
      <c r="J246" s="2403"/>
      <c r="K246" s="2402">
        <v>879</v>
      </c>
      <c r="L246" s="2400" t="s">
        <v>3285</v>
      </c>
      <c r="M246" s="2401" t="s">
        <v>3284</v>
      </c>
      <c r="N246" s="2399" t="s">
        <v>3283</v>
      </c>
      <c r="O246" s="2403"/>
      <c r="P246" s="2402">
        <v>1203</v>
      </c>
      <c r="Q246" s="2400" t="s">
        <v>3282</v>
      </c>
      <c r="R246" s="2401" t="s">
        <v>3281</v>
      </c>
      <c r="S246" s="2399" t="s">
        <v>3280</v>
      </c>
      <c r="T246" s="8"/>
      <c r="U246" s="8"/>
      <c r="V246" s="8"/>
      <c r="W246" s="8"/>
      <c r="X246" s="8"/>
      <c r="Y246" s="8"/>
      <c r="Z246" s="8"/>
      <c r="AA246" s="8"/>
      <c r="AB246" s="8"/>
      <c r="AC246" s="8"/>
      <c r="AD246" s="8"/>
    </row>
    <row r="247" spans="1:30">
      <c r="A247" s="2402">
        <v>232</v>
      </c>
      <c r="B247" s="2400" t="s">
        <v>3279</v>
      </c>
      <c r="C247" s="2401" t="s">
        <v>3278</v>
      </c>
      <c r="D247" s="2399" t="s">
        <v>3277</v>
      </c>
      <c r="E247" s="2403"/>
      <c r="F247" s="2402">
        <v>556</v>
      </c>
      <c r="G247" s="2400" t="s">
        <v>3276</v>
      </c>
      <c r="H247" s="2401" t="s">
        <v>3275</v>
      </c>
      <c r="I247" s="2399" t="s">
        <v>3274</v>
      </c>
      <c r="J247" s="2403"/>
      <c r="K247" s="2402">
        <v>880</v>
      </c>
      <c r="L247" s="2400" t="s">
        <v>3273</v>
      </c>
      <c r="M247" s="2401" t="s">
        <v>3272</v>
      </c>
      <c r="N247" s="2399" t="s">
        <v>3271</v>
      </c>
      <c r="O247" s="2403"/>
      <c r="P247" s="2402">
        <v>1204</v>
      </c>
      <c r="Q247" s="2400" t="s">
        <v>3270</v>
      </c>
      <c r="R247" s="2401" t="s">
        <v>3269</v>
      </c>
      <c r="S247" s="2399" t="s">
        <v>3268</v>
      </c>
      <c r="T247" s="8"/>
      <c r="U247" s="8"/>
      <c r="V247" s="8"/>
      <c r="W247" s="8"/>
      <c r="X247" s="8"/>
      <c r="Y247" s="8"/>
      <c r="Z247" s="8"/>
      <c r="AA247" s="8"/>
      <c r="AB247" s="8"/>
      <c r="AC247" s="8"/>
      <c r="AD247" s="8"/>
    </row>
    <row r="248" spans="1:30">
      <c r="A248" s="2402">
        <v>233</v>
      </c>
      <c r="B248" s="2400" t="s">
        <v>3267</v>
      </c>
      <c r="C248" s="2401" t="s">
        <v>3266</v>
      </c>
      <c r="D248" s="2399" t="s">
        <v>3265</v>
      </c>
      <c r="E248" s="2403"/>
      <c r="F248" s="2402">
        <v>557</v>
      </c>
      <c r="G248" s="2400" t="s">
        <v>3264</v>
      </c>
      <c r="H248" s="2401" t="s">
        <v>3263</v>
      </c>
      <c r="I248" s="2399" t="s">
        <v>3262</v>
      </c>
      <c r="J248" s="2403"/>
      <c r="K248" s="2402">
        <v>881</v>
      </c>
      <c r="L248" s="2400" t="s">
        <v>3261</v>
      </c>
      <c r="M248" s="2401" t="s">
        <v>3260</v>
      </c>
      <c r="N248" s="2399" t="s">
        <v>3259</v>
      </c>
      <c r="O248" s="2403"/>
      <c r="P248" s="2402">
        <v>1205</v>
      </c>
      <c r="Q248" s="2400" t="s">
        <v>3258</v>
      </c>
      <c r="R248" s="2401" t="s">
        <v>3257</v>
      </c>
      <c r="S248" s="2399" t="s">
        <v>3256</v>
      </c>
      <c r="T248" s="8"/>
      <c r="U248" s="8"/>
      <c r="V248" s="8"/>
      <c r="W248" s="8"/>
      <c r="X248" s="8"/>
      <c r="Y248" s="8"/>
      <c r="Z248" s="8"/>
      <c r="AA248" s="8"/>
      <c r="AB248" s="8"/>
      <c r="AC248" s="8"/>
      <c r="AD248" s="8"/>
    </row>
    <row r="249" spans="1:30">
      <c r="A249" s="2402">
        <v>234</v>
      </c>
      <c r="B249" s="2400" t="s">
        <v>3255</v>
      </c>
      <c r="C249" s="2401" t="s">
        <v>3254</v>
      </c>
      <c r="D249" s="2399" t="s">
        <v>3253</v>
      </c>
      <c r="E249" s="2403"/>
      <c r="F249" s="2402">
        <v>558</v>
      </c>
      <c r="G249" s="2400" t="s">
        <v>3252</v>
      </c>
      <c r="H249" s="2401" t="s">
        <v>3251</v>
      </c>
      <c r="I249" s="2399" t="s">
        <v>3250</v>
      </c>
      <c r="J249" s="2403"/>
      <c r="K249" s="2402">
        <v>882</v>
      </c>
      <c r="L249" s="2400" t="s">
        <v>3249</v>
      </c>
      <c r="M249" s="2401" t="s">
        <v>3248</v>
      </c>
      <c r="N249" s="2399" t="s">
        <v>3247</v>
      </c>
      <c r="O249" s="2403"/>
      <c r="P249" s="2402">
        <v>1206</v>
      </c>
      <c r="Q249" s="2400" t="s">
        <v>3246</v>
      </c>
      <c r="R249" s="2401" t="s">
        <v>3245</v>
      </c>
      <c r="S249" s="2399" t="s">
        <v>3244</v>
      </c>
      <c r="T249" s="8"/>
      <c r="U249" s="8"/>
      <c r="V249" s="8"/>
      <c r="W249" s="8"/>
      <c r="X249" s="8"/>
      <c r="Y249" s="8"/>
      <c r="Z249" s="8"/>
      <c r="AA249" s="8"/>
      <c r="AB249" s="8"/>
      <c r="AC249" s="8"/>
      <c r="AD249" s="8"/>
    </row>
    <row r="250" spans="1:30">
      <c r="A250" s="2402">
        <v>235</v>
      </c>
      <c r="B250" s="2400" t="s">
        <v>3243</v>
      </c>
      <c r="C250" s="2401" t="s">
        <v>3242</v>
      </c>
      <c r="D250" s="2399" t="s">
        <v>3241</v>
      </c>
      <c r="E250" s="2403"/>
      <c r="F250" s="2402">
        <v>559</v>
      </c>
      <c r="G250" s="2400" t="s">
        <v>3240</v>
      </c>
      <c r="H250" s="2401" t="s">
        <v>3239</v>
      </c>
      <c r="I250" s="2399" t="s">
        <v>3238</v>
      </c>
      <c r="J250" s="2403"/>
      <c r="K250" s="2402">
        <v>883</v>
      </c>
      <c r="L250" s="2400" t="s">
        <v>3237</v>
      </c>
      <c r="M250" s="2401" t="s">
        <v>3236</v>
      </c>
      <c r="N250" s="2399" t="s">
        <v>3235</v>
      </c>
      <c r="O250" s="2403"/>
      <c r="P250" s="2402">
        <v>1207</v>
      </c>
      <c r="Q250" s="2400" t="s">
        <v>3234</v>
      </c>
      <c r="R250" s="2401" t="s">
        <v>3233</v>
      </c>
      <c r="S250" s="2399" t="s">
        <v>3232</v>
      </c>
      <c r="T250" s="8"/>
      <c r="U250" s="8"/>
      <c r="V250" s="8"/>
      <c r="W250" s="8"/>
      <c r="X250" s="8"/>
      <c r="Y250" s="8"/>
      <c r="Z250" s="8"/>
      <c r="AA250" s="8"/>
      <c r="AB250" s="8"/>
      <c r="AC250" s="8"/>
      <c r="AD250" s="8"/>
    </row>
    <row r="251" spans="1:30">
      <c r="A251" s="2402">
        <v>236</v>
      </c>
      <c r="B251" s="2400" t="s">
        <v>3231</v>
      </c>
      <c r="C251" s="2401" t="s">
        <v>3230</v>
      </c>
      <c r="D251" s="2399" t="s">
        <v>3229</v>
      </c>
      <c r="E251" s="2403"/>
      <c r="F251" s="2402">
        <v>560</v>
      </c>
      <c r="G251" s="2400" t="s">
        <v>3228</v>
      </c>
      <c r="H251" s="2401" t="s">
        <v>3227</v>
      </c>
      <c r="I251" s="2399" t="s">
        <v>3226</v>
      </c>
      <c r="J251" s="2403"/>
      <c r="K251" s="2402">
        <v>884</v>
      </c>
      <c r="L251" s="2400" t="s">
        <v>3225</v>
      </c>
      <c r="M251" s="2401" t="s">
        <v>3224</v>
      </c>
      <c r="N251" s="2399" t="s">
        <v>3223</v>
      </c>
      <c r="O251" s="2403"/>
      <c r="P251" s="2402">
        <v>1208</v>
      </c>
      <c r="Q251" s="2400" t="s">
        <v>3222</v>
      </c>
      <c r="R251" s="2401" t="s">
        <v>3221</v>
      </c>
      <c r="S251" s="2399" t="s">
        <v>3220</v>
      </c>
      <c r="T251" s="8"/>
      <c r="U251" s="8"/>
      <c r="V251" s="8"/>
      <c r="W251" s="8"/>
      <c r="X251" s="8"/>
      <c r="Y251" s="8"/>
      <c r="Z251" s="8"/>
      <c r="AA251" s="8"/>
      <c r="AB251" s="8"/>
      <c r="AC251" s="8"/>
      <c r="AD251" s="8"/>
    </row>
    <row r="252" spans="1:30">
      <c r="A252" s="2402">
        <v>237</v>
      </c>
      <c r="B252" s="2400" t="s">
        <v>3219</v>
      </c>
      <c r="C252" s="2401" t="s">
        <v>3218</v>
      </c>
      <c r="D252" s="2399" t="s">
        <v>3217</v>
      </c>
      <c r="E252" s="2403"/>
      <c r="F252" s="2402">
        <v>561</v>
      </c>
      <c r="G252" s="2400" t="s">
        <v>3216</v>
      </c>
      <c r="H252" s="2401" t="s">
        <v>3215</v>
      </c>
      <c r="I252" s="2399" t="s">
        <v>3214</v>
      </c>
      <c r="J252" s="2403"/>
      <c r="K252" s="2402">
        <v>885</v>
      </c>
      <c r="L252" s="2400" t="s">
        <v>3213</v>
      </c>
      <c r="M252" s="2401" t="s">
        <v>3212</v>
      </c>
      <c r="N252" s="2399" t="s">
        <v>3211</v>
      </c>
      <c r="O252" s="2403"/>
      <c r="P252" s="2402">
        <v>1209</v>
      </c>
      <c r="Q252" s="2400" t="s">
        <v>3210</v>
      </c>
      <c r="R252" s="2401" t="s">
        <v>3209</v>
      </c>
      <c r="S252" s="2399" t="s">
        <v>3208</v>
      </c>
      <c r="T252" s="8"/>
      <c r="U252" s="8"/>
      <c r="V252" s="8"/>
      <c r="W252" s="8"/>
      <c r="X252" s="8"/>
      <c r="Y252" s="8"/>
      <c r="Z252" s="8"/>
      <c r="AA252" s="8"/>
      <c r="AB252" s="8"/>
      <c r="AC252" s="8"/>
      <c r="AD252" s="8"/>
    </row>
    <row r="253" spans="1:30">
      <c r="A253" s="2402">
        <v>238</v>
      </c>
      <c r="B253" s="2400" t="s">
        <v>3207</v>
      </c>
      <c r="C253" s="2401" t="s">
        <v>3206</v>
      </c>
      <c r="D253" s="2399" t="s">
        <v>3205</v>
      </c>
      <c r="E253" s="2403"/>
      <c r="F253" s="2402">
        <v>562</v>
      </c>
      <c r="G253" s="2400" t="s">
        <v>3204</v>
      </c>
      <c r="H253" s="2401" t="s">
        <v>3203</v>
      </c>
      <c r="I253" s="2399" t="s">
        <v>3202</v>
      </c>
      <c r="J253" s="2403"/>
      <c r="K253" s="2402">
        <v>886</v>
      </c>
      <c r="L253" s="2400" t="s">
        <v>3201</v>
      </c>
      <c r="M253" s="2401" t="s">
        <v>3200</v>
      </c>
      <c r="N253" s="2399" t="s">
        <v>3199</v>
      </c>
      <c r="O253" s="2403"/>
      <c r="P253" s="2402">
        <v>1210</v>
      </c>
      <c r="Q253" s="2400" t="s">
        <v>3198</v>
      </c>
      <c r="R253" s="2401" t="s">
        <v>3197</v>
      </c>
      <c r="S253" s="2399" t="s">
        <v>3196</v>
      </c>
      <c r="T253" s="8"/>
      <c r="U253" s="8"/>
      <c r="V253" s="8"/>
      <c r="W253" s="8"/>
      <c r="X253" s="8"/>
      <c r="Y253" s="8"/>
      <c r="Z253" s="8"/>
      <c r="AA253" s="8"/>
      <c r="AB253" s="8"/>
      <c r="AC253" s="8"/>
      <c r="AD253" s="8"/>
    </row>
    <row r="254" spans="1:30">
      <c r="A254" s="2402">
        <v>239</v>
      </c>
      <c r="B254" s="2400" t="s">
        <v>3195</v>
      </c>
      <c r="C254" s="2401" t="s">
        <v>3194</v>
      </c>
      <c r="D254" s="2399" t="s">
        <v>3193</v>
      </c>
      <c r="E254" s="2403"/>
      <c r="F254" s="2402">
        <v>563</v>
      </c>
      <c r="G254" s="2400" t="s">
        <v>3192</v>
      </c>
      <c r="H254" s="2401" t="s">
        <v>3191</v>
      </c>
      <c r="I254" s="2399" t="s">
        <v>3190</v>
      </c>
      <c r="J254" s="2403"/>
      <c r="K254" s="2402">
        <v>887</v>
      </c>
      <c r="L254" s="2400" t="s">
        <v>3189</v>
      </c>
      <c r="M254" s="2401" t="s">
        <v>3188</v>
      </c>
      <c r="N254" s="2399" t="s">
        <v>3187</v>
      </c>
      <c r="O254" s="2403"/>
      <c r="P254" s="2402">
        <v>1211</v>
      </c>
      <c r="Q254" s="2400" t="s">
        <v>3186</v>
      </c>
      <c r="R254" s="2401" t="s">
        <v>3185</v>
      </c>
      <c r="S254" s="2399" t="s">
        <v>3184</v>
      </c>
      <c r="T254" s="8"/>
      <c r="U254" s="8"/>
      <c r="V254" s="8"/>
      <c r="W254" s="8"/>
      <c r="X254" s="8"/>
      <c r="Y254" s="8"/>
      <c r="Z254" s="8"/>
      <c r="AA254" s="8"/>
      <c r="AB254" s="8"/>
      <c r="AC254" s="8"/>
      <c r="AD254" s="8"/>
    </row>
    <row r="255" spans="1:30">
      <c r="A255" s="2402">
        <v>240</v>
      </c>
      <c r="B255" s="2400" t="s">
        <v>3183</v>
      </c>
      <c r="C255" s="2401" t="s">
        <v>3182</v>
      </c>
      <c r="D255" s="2399" t="s">
        <v>3181</v>
      </c>
      <c r="E255" s="2403"/>
      <c r="F255" s="2402">
        <v>564</v>
      </c>
      <c r="G255" s="2400" t="s">
        <v>3180</v>
      </c>
      <c r="H255" s="2401" t="s">
        <v>3179</v>
      </c>
      <c r="I255" s="2399" t="s">
        <v>3178</v>
      </c>
      <c r="J255" s="2403"/>
      <c r="K255" s="2402">
        <v>888</v>
      </c>
      <c r="L255" s="2400" t="s">
        <v>3177</v>
      </c>
      <c r="M255" s="2401" t="s">
        <v>3176</v>
      </c>
      <c r="N255" s="2399" t="s">
        <v>3175</v>
      </c>
      <c r="O255" s="2403"/>
      <c r="P255" s="2402">
        <v>1212</v>
      </c>
      <c r="Q255" s="2400" t="s">
        <v>3174</v>
      </c>
      <c r="R255" s="2401" t="s">
        <v>3173</v>
      </c>
      <c r="S255" s="2399" t="s">
        <v>257</v>
      </c>
      <c r="T255" s="8"/>
      <c r="U255" s="8"/>
      <c r="V255" s="8"/>
      <c r="W255" s="8"/>
      <c r="X255" s="8"/>
      <c r="Y255" s="8"/>
      <c r="Z255" s="8"/>
      <c r="AA255" s="8"/>
      <c r="AB255" s="8"/>
      <c r="AC255" s="8"/>
      <c r="AD255" s="8"/>
    </row>
    <row r="256" spans="1:30">
      <c r="A256" s="2402">
        <v>241</v>
      </c>
      <c r="B256" s="2400" t="s">
        <v>3172</v>
      </c>
      <c r="C256" s="2401" t="s">
        <v>3171</v>
      </c>
      <c r="D256" s="2399" t="s">
        <v>3170</v>
      </c>
      <c r="E256" s="2403"/>
      <c r="F256" s="2402">
        <v>565</v>
      </c>
      <c r="G256" s="2400" t="s">
        <v>3169</v>
      </c>
      <c r="H256" s="2401" t="s">
        <v>3168</v>
      </c>
      <c r="I256" s="2399" t="s">
        <v>3167</v>
      </c>
      <c r="J256" s="2403"/>
      <c r="K256" s="2402">
        <v>889</v>
      </c>
      <c r="L256" s="2400" t="s">
        <v>3166</v>
      </c>
      <c r="M256" s="2401" t="s">
        <v>3165</v>
      </c>
      <c r="N256" s="2399" t="s">
        <v>3164</v>
      </c>
      <c r="O256" s="2403"/>
      <c r="P256" s="2402">
        <v>1213</v>
      </c>
      <c r="Q256" s="2400" t="s">
        <v>3163</v>
      </c>
      <c r="R256" s="2401" t="s">
        <v>3162</v>
      </c>
      <c r="S256" s="2399" t="s">
        <v>3161</v>
      </c>
      <c r="T256" s="8"/>
      <c r="U256" s="8"/>
      <c r="V256" s="8"/>
      <c r="W256" s="8"/>
      <c r="X256" s="8"/>
      <c r="Y256" s="8"/>
      <c r="Z256" s="8"/>
      <c r="AA256" s="8"/>
      <c r="AB256" s="8"/>
      <c r="AC256" s="8"/>
      <c r="AD256" s="8"/>
    </row>
    <row r="257" spans="1:30">
      <c r="A257" s="2402">
        <v>242</v>
      </c>
      <c r="B257" s="2400" t="s">
        <v>3160</v>
      </c>
      <c r="C257" s="2401" t="s">
        <v>3159</v>
      </c>
      <c r="D257" s="2399" t="s">
        <v>3158</v>
      </c>
      <c r="E257" s="2403"/>
      <c r="F257" s="2402">
        <v>566</v>
      </c>
      <c r="G257" s="2400" t="s">
        <v>3157</v>
      </c>
      <c r="H257" s="2401" t="s">
        <v>3156</v>
      </c>
      <c r="I257" s="2399" t="s">
        <v>3155</v>
      </c>
      <c r="J257" s="2403"/>
      <c r="K257" s="2402">
        <v>890</v>
      </c>
      <c r="L257" s="2400" t="s">
        <v>3154</v>
      </c>
      <c r="M257" s="2401" t="s">
        <v>3153</v>
      </c>
      <c r="N257" s="2399" t="s">
        <v>3152</v>
      </c>
      <c r="O257" s="2403"/>
      <c r="P257" s="2402">
        <v>1214</v>
      </c>
      <c r="Q257" s="2400" t="s">
        <v>3151</v>
      </c>
      <c r="R257" s="2401" t="s">
        <v>3150</v>
      </c>
      <c r="S257" s="2399" t="s">
        <v>3149</v>
      </c>
      <c r="T257" s="8"/>
      <c r="U257" s="8"/>
      <c r="V257" s="8"/>
      <c r="W257" s="8"/>
      <c r="X257" s="8"/>
      <c r="Y257" s="8"/>
      <c r="Z257" s="8"/>
      <c r="AA257" s="8"/>
      <c r="AB257" s="8"/>
      <c r="AC257" s="8"/>
      <c r="AD257" s="8"/>
    </row>
    <row r="258" spans="1:30">
      <c r="A258" s="2402">
        <v>243</v>
      </c>
      <c r="B258" s="2400" t="s">
        <v>3148</v>
      </c>
      <c r="C258" s="2401" t="s">
        <v>3147</v>
      </c>
      <c r="D258" s="2399" t="s">
        <v>3146</v>
      </c>
      <c r="E258" s="2403"/>
      <c r="F258" s="2402">
        <v>567</v>
      </c>
      <c r="G258" s="2400" t="s">
        <v>3145</v>
      </c>
      <c r="H258" s="2401" t="s">
        <v>3144</v>
      </c>
      <c r="I258" s="2399" t="s">
        <v>3143</v>
      </c>
      <c r="J258" s="2403"/>
      <c r="K258" s="2402">
        <v>891</v>
      </c>
      <c r="L258" s="2400" t="s">
        <v>3142</v>
      </c>
      <c r="M258" s="2401" t="s">
        <v>3141</v>
      </c>
      <c r="N258" s="2399" t="s">
        <v>3140</v>
      </c>
      <c r="O258" s="2403"/>
      <c r="P258" s="2402">
        <v>1215</v>
      </c>
      <c r="Q258" s="2400" t="s">
        <v>3139</v>
      </c>
      <c r="R258" s="2401" t="s">
        <v>3138</v>
      </c>
      <c r="S258" s="2399" t="s">
        <v>3137</v>
      </c>
      <c r="T258" s="8"/>
      <c r="U258" s="8"/>
      <c r="V258" s="8"/>
      <c r="W258" s="8"/>
      <c r="X258" s="8"/>
      <c r="Y258" s="8"/>
      <c r="Z258" s="8"/>
      <c r="AA258" s="8"/>
      <c r="AB258" s="8"/>
      <c r="AC258" s="8"/>
      <c r="AD258" s="8"/>
    </row>
    <row r="259" spans="1:30">
      <c r="A259" s="2402">
        <v>244</v>
      </c>
      <c r="B259" s="2400" t="s">
        <v>3136</v>
      </c>
      <c r="C259" s="2401" t="s">
        <v>3135</v>
      </c>
      <c r="D259" s="2399" t="s">
        <v>3134</v>
      </c>
      <c r="E259" s="2403"/>
      <c r="F259" s="2402">
        <v>568</v>
      </c>
      <c r="G259" s="2400" t="s">
        <v>3133</v>
      </c>
      <c r="H259" s="2401" t="s">
        <v>3132</v>
      </c>
      <c r="I259" s="2399" t="s">
        <v>3131</v>
      </c>
      <c r="J259" s="2403"/>
      <c r="K259" s="2402">
        <v>892</v>
      </c>
      <c r="L259" s="2400" t="s">
        <v>3130</v>
      </c>
      <c r="M259" s="2401" t="s">
        <v>3129</v>
      </c>
      <c r="N259" s="2399" t="s">
        <v>3128</v>
      </c>
      <c r="O259" s="2403"/>
      <c r="P259" s="2402">
        <v>1216</v>
      </c>
      <c r="Q259" s="2400" t="s">
        <v>3127</v>
      </c>
      <c r="R259" s="2401" t="s">
        <v>3126</v>
      </c>
      <c r="S259" s="2399" t="s">
        <v>3125</v>
      </c>
      <c r="T259" s="8"/>
      <c r="U259" s="8"/>
      <c r="V259" s="8"/>
      <c r="W259" s="8"/>
      <c r="X259" s="8"/>
      <c r="Y259" s="8"/>
      <c r="Z259" s="8"/>
      <c r="AA259" s="8"/>
      <c r="AB259" s="8"/>
      <c r="AC259" s="8"/>
      <c r="AD259" s="8"/>
    </row>
    <row r="260" spans="1:30">
      <c r="A260" s="2402">
        <v>245</v>
      </c>
      <c r="B260" s="2400" t="s">
        <v>3124</v>
      </c>
      <c r="C260" s="2401" t="s">
        <v>3123</v>
      </c>
      <c r="D260" s="2399" t="s">
        <v>3122</v>
      </c>
      <c r="E260" s="2403"/>
      <c r="F260" s="2402">
        <v>569</v>
      </c>
      <c r="G260" s="2400" t="s">
        <v>3121</v>
      </c>
      <c r="H260" s="2401" t="s">
        <v>3120</v>
      </c>
      <c r="I260" s="2399" t="s">
        <v>3119</v>
      </c>
      <c r="J260" s="2403"/>
      <c r="K260" s="2402">
        <v>893</v>
      </c>
      <c r="L260" s="2400" t="s">
        <v>3118</v>
      </c>
      <c r="M260" s="2401" t="s">
        <v>3117</v>
      </c>
      <c r="N260" s="2399" t="s">
        <v>3116</v>
      </c>
      <c r="O260" s="2403"/>
      <c r="P260" s="2402">
        <v>1217</v>
      </c>
      <c r="Q260" s="2400" t="s">
        <v>3115</v>
      </c>
      <c r="R260" s="2401" t="s">
        <v>3114</v>
      </c>
      <c r="S260" s="2399" t="s">
        <v>3113</v>
      </c>
      <c r="T260" s="8"/>
      <c r="U260" s="8"/>
      <c r="V260" s="8"/>
      <c r="W260" s="8"/>
      <c r="X260" s="8"/>
      <c r="Y260" s="8"/>
      <c r="Z260" s="8"/>
      <c r="AA260" s="8"/>
      <c r="AB260" s="8"/>
      <c r="AC260" s="8"/>
      <c r="AD260" s="8"/>
    </row>
    <row r="261" spans="1:30">
      <c r="A261" s="2402">
        <v>246</v>
      </c>
      <c r="B261" s="2400" t="s">
        <v>3112</v>
      </c>
      <c r="C261" s="2401" t="s">
        <v>3111</v>
      </c>
      <c r="D261" s="2399" t="s">
        <v>3110</v>
      </c>
      <c r="E261" s="2403"/>
      <c r="F261" s="2402">
        <v>570</v>
      </c>
      <c r="G261" s="2400" t="s">
        <v>3109</v>
      </c>
      <c r="H261" s="2401" t="s">
        <v>3108</v>
      </c>
      <c r="I261" s="2399" t="s">
        <v>3107</v>
      </c>
      <c r="J261" s="2403"/>
      <c r="K261" s="2402">
        <v>894</v>
      </c>
      <c r="L261" s="2400" t="s">
        <v>3106</v>
      </c>
      <c r="M261" s="2401" t="s">
        <v>3105</v>
      </c>
      <c r="N261" s="2399" t="s">
        <v>3104</v>
      </c>
      <c r="O261" s="2403"/>
      <c r="P261" s="2402">
        <v>1218</v>
      </c>
      <c r="Q261" s="2400" t="s">
        <v>3103</v>
      </c>
      <c r="R261" s="2401" t="s">
        <v>3102</v>
      </c>
      <c r="S261" s="2399" t="s">
        <v>3101</v>
      </c>
      <c r="T261" s="8"/>
      <c r="U261" s="8"/>
      <c r="V261" s="8"/>
      <c r="W261" s="8"/>
      <c r="X261" s="8"/>
      <c r="Y261" s="8"/>
      <c r="Z261" s="8"/>
      <c r="AA261" s="8"/>
      <c r="AB261" s="8"/>
      <c r="AC261" s="8"/>
      <c r="AD261" s="8"/>
    </row>
    <row r="262" spans="1:30">
      <c r="A262" s="2402">
        <v>247</v>
      </c>
      <c r="B262" s="2400" t="s">
        <v>3100</v>
      </c>
      <c r="C262" s="2401" t="s">
        <v>3099</v>
      </c>
      <c r="D262" s="2399" t="s">
        <v>3098</v>
      </c>
      <c r="E262" s="2403"/>
      <c r="F262" s="2402">
        <v>571</v>
      </c>
      <c r="G262" s="2400" t="s">
        <v>3097</v>
      </c>
      <c r="H262" s="2401" t="s">
        <v>3096</v>
      </c>
      <c r="I262" s="2399" t="s">
        <v>3095</v>
      </c>
      <c r="J262" s="2403"/>
      <c r="K262" s="2402">
        <v>895</v>
      </c>
      <c r="L262" s="2400" t="s">
        <v>3094</v>
      </c>
      <c r="M262" s="2401" t="s">
        <v>3093</v>
      </c>
      <c r="N262" s="2399" t="s">
        <v>3092</v>
      </c>
      <c r="O262" s="2403"/>
      <c r="P262" s="2402">
        <v>1219</v>
      </c>
      <c r="Q262" s="2400" t="s">
        <v>3091</v>
      </c>
      <c r="R262" s="2401" t="s">
        <v>3090</v>
      </c>
      <c r="S262" s="2399" t="s">
        <v>3089</v>
      </c>
      <c r="T262" s="8"/>
      <c r="U262" s="8"/>
      <c r="V262" s="8"/>
      <c r="W262" s="8"/>
      <c r="X262" s="8"/>
      <c r="Y262" s="8"/>
      <c r="Z262" s="8"/>
      <c r="AA262" s="8"/>
      <c r="AB262" s="8"/>
      <c r="AC262" s="8"/>
      <c r="AD262" s="8"/>
    </row>
    <row r="263" spans="1:30">
      <c r="A263" s="2402">
        <v>248</v>
      </c>
      <c r="B263" s="2400" t="s">
        <v>3088</v>
      </c>
      <c r="C263" s="2401" t="s">
        <v>3087</v>
      </c>
      <c r="D263" s="2399" t="s">
        <v>3086</v>
      </c>
      <c r="E263" s="2403"/>
      <c r="F263" s="2402">
        <v>572</v>
      </c>
      <c r="G263" s="2400" t="s">
        <v>3085</v>
      </c>
      <c r="H263" s="2401" t="s">
        <v>3084</v>
      </c>
      <c r="I263" s="2399" t="s">
        <v>3083</v>
      </c>
      <c r="J263" s="2403"/>
      <c r="K263" s="2402">
        <v>896</v>
      </c>
      <c r="L263" s="2400" t="s">
        <v>3082</v>
      </c>
      <c r="M263" s="2401" t="s">
        <v>3081</v>
      </c>
      <c r="N263" s="2399" t="s">
        <v>3080</v>
      </c>
      <c r="O263" s="2403"/>
      <c r="P263" s="2402">
        <v>1220</v>
      </c>
      <c r="Q263" s="2400" t="s">
        <v>3079</v>
      </c>
      <c r="R263" s="2401" t="s">
        <v>3078</v>
      </c>
      <c r="S263" s="2399" t="s">
        <v>2430</v>
      </c>
      <c r="T263" s="8"/>
      <c r="U263" s="8"/>
      <c r="V263" s="8"/>
      <c r="W263" s="8"/>
      <c r="X263" s="8"/>
      <c r="Y263" s="8"/>
      <c r="Z263" s="8"/>
      <c r="AA263" s="8"/>
      <c r="AB263" s="8"/>
      <c r="AC263" s="8"/>
      <c r="AD263" s="8"/>
    </row>
    <row r="264" spans="1:30">
      <c r="A264" s="2402">
        <v>249</v>
      </c>
      <c r="B264" s="2400" t="s">
        <v>3077</v>
      </c>
      <c r="C264" s="2401" t="s">
        <v>3076</v>
      </c>
      <c r="D264" s="2399" t="s">
        <v>3075</v>
      </c>
      <c r="E264" s="2403"/>
      <c r="F264" s="2402">
        <v>573</v>
      </c>
      <c r="G264" s="2400" t="s">
        <v>3074</v>
      </c>
      <c r="H264" s="2401" t="s">
        <v>3073</v>
      </c>
      <c r="I264" s="2399" t="s">
        <v>3072</v>
      </c>
      <c r="J264" s="2403"/>
      <c r="K264" s="2402">
        <v>897</v>
      </c>
      <c r="L264" s="2400" t="s">
        <v>3071</v>
      </c>
      <c r="M264" s="2401" t="s">
        <v>3070</v>
      </c>
      <c r="N264" s="2399" t="s">
        <v>3069</v>
      </c>
      <c r="O264" s="2403"/>
      <c r="P264" s="2402">
        <v>1221</v>
      </c>
      <c r="Q264" s="2400" t="s">
        <v>3068</v>
      </c>
      <c r="R264" s="2401" t="s">
        <v>3067</v>
      </c>
      <c r="S264" s="2399" t="s">
        <v>3066</v>
      </c>
      <c r="T264" s="8"/>
      <c r="U264" s="8"/>
      <c r="V264" s="8"/>
      <c r="W264" s="8"/>
      <c r="X264" s="8"/>
      <c r="Y264" s="8"/>
      <c r="Z264" s="8"/>
      <c r="AA264" s="8"/>
      <c r="AB264" s="8"/>
      <c r="AC264" s="8"/>
      <c r="AD264" s="8"/>
    </row>
    <row r="265" spans="1:30">
      <c r="A265" s="2402">
        <v>250</v>
      </c>
      <c r="B265" s="2400" t="s">
        <v>3065</v>
      </c>
      <c r="C265" s="2401" t="s">
        <v>3064</v>
      </c>
      <c r="D265" s="2399" t="s">
        <v>3063</v>
      </c>
      <c r="E265" s="2403"/>
      <c r="F265" s="2402">
        <v>574</v>
      </c>
      <c r="G265" s="2400" t="s">
        <v>3062</v>
      </c>
      <c r="H265" s="2401" t="s">
        <v>3061</v>
      </c>
      <c r="I265" s="2399" t="s">
        <v>3060</v>
      </c>
      <c r="J265" s="2403"/>
      <c r="K265" s="2402">
        <v>898</v>
      </c>
      <c r="L265" s="2400" t="s">
        <v>3059</v>
      </c>
      <c r="M265" s="2401" t="s">
        <v>3058</v>
      </c>
      <c r="N265" s="2399" t="s">
        <v>3057</v>
      </c>
      <c r="O265" s="2403"/>
      <c r="P265" s="2402">
        <v>1222</v>
      </c>
      <c r="Q265" s="2400" t="s">
        <v>3056</v>
      </c>
      <c r="R265" s="2401" t="s">
        <v>3055</v>
      </c>
      <c r="T265" s="8"/>
      <c r="U265" s="8"/>
      <c r="V265" s="8"/>
      <c r="W265" s="8"/>
      <c r="X265" s="8"/>
      <c r="Y265" s="8"/>
      <c r="Z265" s="8"/>
      <c r="AA265" s="8"/>
      <c r="AB265" s="8"/>
      <c r="AC265" s="8"/>
      <c r="AD265" s="8"/>
    </row>
    <row r="266" spans="1:30">
      <c r="A266" s="2402">
        <v>251</v>
      </c>
      <c r="B266" s="2400" t="s">
        <v>3054</v>
      </c>
      <c r="C266" s="2401" t="s">
        <v>3053</v>
      </c>
      <c r="D266" s="2399" t="s">
        <v>3052</v>
      </c>
      <c r="E266" s="2403"/>
      <c r="F266" s="2402">
        <v>575</v>
      </c>
      <c r="G266" s="2400" t="s">
        <v>3051</v>
      </c>
      <c r="H266" s="2401" t="s">
        <v>3050</v>
      </c>
      <c r="I266" s="2399" t="s">
        <v>3049</v>
      </c>
      <c r="J266" s="2403"/>
      <c r="K266" s="2402">
        <v>899</v>
      </c>
      <c r="L266" s="2400" t="s">
        <v>3048</v>
      </c>
      <c r="M266" s="2401" t="s">
        <v>3047</v>
      </c>
      <c r="N266" s="2399" t="s">
        <v>3046</v>
      </c>
      <c r="O266" s="2403"/>
      <c r="P266" s="2402">
        <v>1223</v>
      </c>
      <c r="Q266" s="2400" t="s">
        <v>3045</v>
      </c>
      <c r="R266" s="2401" t="s">
        <v>3044</v>
      </c>
      <c r="S266" s="2399" t="s">
        <v>3043</v>
      </c>
      <c r="T266" s="8"/>
      <c r="U266" s="8"/>
      <c r="V266" s="8"/>
      <c r="W266" s="8"/>
      <c r="X266" s="8"/>
      <c r="Y266" s="8"/>
      <c r="Z266" s="8"/>
      <c r="AA266" s="8"/>
      <c r="AB266" s="8"/>
      <c r="AC266" s="8"/>
      <c r="AD266" s="8"/>
    </row>
    <row r="267" spans="1:30">
      <c r="A267" s="2402">
        <v>252</v>
      </c>
      <c r="B267" s="2400" t="s">
        <v>3042</v>
      </c>
      <c r="C267" s="2401" t="s">
        <v>3041</v>
      </c>
      <c r="D267" s="2399" t="s">
        <v>3040</v>
      </c>
      <c r="E267" s="2403"/>
      <c r="F267" s="2402">
        <v>576</v>
      </c>
      <c r="G267" s="2400" t="s">
        <v>3039</v>
      </c>
      <c r="H267" s="2401" t="s">
        <v>3038</v>
      </c>
      <c r="I267" s="2399" t="s">
        <v>3037</v>
      </c>
      <c r="J267" s="2403"/>
      <c r="K267" s="2402">
        <v>900</v>
      </c>
      <c r="L267" s="2400" t="s">
        <v>3036</v>
      </c>
      <c r="M267" s="2401" t="s">
        <v>3035</v>
      </c>
      <c r="N267" s="2399" t="s">
        <v>3034</v>
      </c>
      <c r="O267" s="2403"/>
      <c r="P267" s="2402">
        <v>1224</v>
      </c>
      <c r="Q267" s="2400" t="s">
        <v>3033</v>
      </c>
      <c r="R267" s="2401" t="s">
        <v>3032</v>
      </c>
      <c r="S267" s="2399" t="s">
        <v>3031</v>
      </c>
      <c r="T267" s="8"/>
      <c r="U267" s="8"/>
      <c r="V267" s="8"/>
      <c r="W267" s="8"/>
      <c r="X267" s="8"/>
      <c r="Y267" s="8"/>
      <c r="Z267" s="8"/>
      <c r="AA267" s="8"/>
      <c r="AB267" s="8"/>
      <c r="AC267" s="8"/>
      <c r="AD267" s="8"/>
    </row>
    <row r="268" spans="1:30">
      <c r="A268" s="2402">
        <v>253</v>
      </c>
      <c r="B268" s="2400" t="s">
        <v>3030</v>
      </c>
      <c r="C268" s="2401" t="s">
        <v>3029</v>
      </c>
      <c r="D268" s="2399" t="s">
        <v>3028</v>
      </c>
      <c r="E268" s="2403"/>
      <c r="F268" s="2402">
        <v>577</v>
      </c>
      <c r="G268" s="2400" t="s">
        <v>3027</v>
      </c>
      <c r="H268" s="2401" t="s">
        <v>3026</v>
      </c>
      <c r="I268" s="2399" t="s">
        <v>3025</v>
      </c>
      <c r="J268" s="2403"/>
      <c r="K268" s="2402">
        <v>901</v>
      </c>
      <c r="L268" s="2400" t="s">
        <v>3024</v>
      </c>
      <c r="M268" s="2401" t="s">
        <v>3023</v>
      </c>
      <c r="N268" s="2399" t="s">
        <v>3022</v>
      </c>
      <c r="O268" s="2403"/>
      <c r="P268" s="2402">
        <v>1225</v>
      </c>
      <c r="Q268" s="2400" t="s">
        <v>3021</v>
      </c>
      <c r="R268" s="2401" t="s">
        <v>3020</v>
      </c>
      <c r="S268" s="2399" t="s">
        <v>3019</v>
      </c>
      <c r="T268" s="8"/>
      <c r="U268" s="8"/>
      <c r="V268" s="8"/>
      <c r="W268" s="8"/>
      <c r="X268" s="8"/>
      <c r="Y268" s="8"/>
      <c r="Z268" s="8"/>
      <c r="AA268" s="8"/>
      <c r="AB268" s="8"/>
      <c r="AC268" s="8"/>
      <c r="AD268" s="8"/>
    </row>
    <row r="269" spans="1:30">
      <c r="A269" s="2402">
        <v>254</v>
      </c>
      <c r="B269" s="2400" t="s">
        <v>3018</v>
      </c>
      <c r="C269" s="2401" t="s">
        <v>3017</v>
      </c>
      <c r="D269" s="2399" t="s">
        <v>3016</v>
      </c>
      <c r="E269" s="2403"/>
      <c r="F269" s="2402">
        <v>578</v>
      </c>
      <c r="G269" s="2400" t="s">
        <v>3015</v>
      </c>
      <c r="H269" s="2401" t="s">
        <v>3014</v>
      </c>
      <c r="I269" s="2399" t="s">
        <v>3013</v>
      </c>
      <c r="J269" s="2403"/>
      <c r="K269" s="2402">
        <v>902</v>
      </c>
      <c r="L269" s="2400" t="s">
        <v>3012</v>
      </c>
      <c r="M269" s="2401" t="s">
        <v>3011</v>
      </c>
      <c r="N269" s="2399" t="s">
        <v>3010</v>
      </c>
      <c r="O269" s="2403"/>
      <c r="P269" s="2402">
        <v>1226</v>
      </c>
      <c r="Q269" s="2400" t="s">
        <v>3009</v>
      </c>
      <c r="R269" s="2401" t="s">
        <v>3008</v>
      </c>
      <c r="S269" s="2399" t="s">
        <v>3007</v>
      </c>
      <c r="T269" s="8"/>
      <c r="U269" s="8"/>
      <c r="V269" s="8"/>
      <c r="W269" s="8"/>
      <c r="X269" s="8"/>
      <c r="Y269" s="8"/>
      <c r="Z269" s="8"/>
      <c r="AA269" s="8"/>
      <c r="AB269" s="8"/>
      <c r="AC269" s="8"/>
      <c r="AD269" s="8"/>
    </row>
    <row r="270" spans="1:30">
      <c r="A270" s="2402">
        <v>255</v>
      </c>
      <c r="B270" s="2400" t="s">
        <v>3006</v>
      </c>
      <c r="C270" s="2401" t="s">
        <v>3005</v>
      </c>
      <c r="D270" s="2399" t="s">
        <v>3004</v>
      </c>
      <c r="E270" s="2403"/>
      <c r="F270" s="2402">
        <v>579</v>
      </c>
      <c r="G270" s="2400" t="s">
        <v>3003</v>
      </c>
      <c r="H270" s="2401" t="s">
        <v>3002</v>
      </c>
      <c r="I270" s="2399" t="s">
        <v>3001</v>
      </c>
      <c r="J270" s="2403"/>
      <c r="K270" s="2402">
        <v>903</v>
      </c>
      <c r="L270" s="2400" t="s">
        <v>3000</v>
      </c>
      <c r="M270" s="2401" t="s">
        <v>2999</v>
      </c>
      <c r="N270" s="2399" t="s">
        <v>2998</v>
      </c>
      <c r="O270" s="2403"/>
      <c r="P270" s="2402">
        <v>1227</v>
      </c>
      <c r="Q270" s="2400" t="s">
        <v>2997</v>
      </c>
      <c r="R270" s="2401" t="s">
        <v>2996</v>
      </c>
      <c r="S270" s="2399" t="s">
        <v>2995</v>
      </c>
      <c r="T270" s="8"/>
      <c r="U270" s="8"/>
      <c r="V270" s="8"/>
      <c r="W270" s="8"/>
      <c r="X270" s="8"/>
      <c r="Y270" s="8"/>
      <c r="Z270" s="8"/>
      <c r="AA270" s="8"/>
      <c r="AB270" s="8"/>
      <c r="AC270" s="8"/>
      <c r="AD270" s="8"/>
    </row>
    <row r="271" spans="1:30">
      <c r="A271" s="2402">
        <v>256</v>
      </c>
      <c r="B271" s="2400" t="s">
        <v>2994</v>
      </c>
      <c r="C271" s="2401" t="s">
        <v>2993</v>
      </c>
      <c r="D271" s="2399" t="s">
        <v>2992</v>
      </c>
      <c r="E271" s="2403"/>
      <c r="F271" s="2402">
        <v>580</v>
      </c>
      <c r="G271" s="2400" t="s">
        <v>2991</v>
      </c>
      <c r="H271" s="2401" t="s">
        <v>2990</v>
      </c>
      <c r="I271" s="2399" t="s">
        <v>2989</v>
      </c>
      <c r="J271" s="2403"/>
      <c r="K271" s="2402">
        <v>904</v>
      </c>
      <c r="L271" s="2400" t="s">
        <v>2988</v>
      </c>
      <c r="M271" s="2401" t="s">
        <v>2987</v>
      </c>
      <c r="N271" s="2399" t="s">
        <v>2986</v>
      </c>
      <c r="O271" s="2403"/>
      <c r="P271" s="2402">
        <v>1228</v>
      </c>
      <c r="Q271" s="2400" t="s">
        <v>2985</v>
      </c>
      <c r="R271" s="2401" t="s">
        <v>2984</v>
      </c>
      <c r="S271" s="2399" t="s">
        <v>2983</v>
      </c>
      <c r="T271" s="8"/>
      <c r="U271" s="8"/>
      <c r="V271" s="8"/>
      <c r="W271" s="8"/>
      <c r="X271" s="8"/>
      <c r="Y271" s="8"/>
      <c r="Z271" s="8"/>
      <c r="AA271" s="8"/>
      <c r="AB271" s="8"/>
      <c r="AC271" s="8"/>
      <c r="AD271" s="8"/>
    </row>
    <row r="272" spans="1:30">
      <c r="A272" s="2402">
        <v>257</v>
      </c>
      <c r="B272" s="2400" t="s">
        <v>2982</v>
      </c>
      <c r="C272" s="2401" t="s">
        <v>2981</v>
      </c>
      <c r="D272" s="2399" t="s">
        <v>2980</v>
      </c>
      <c r="E272" s="2403"/>
      <c r="F272" s="2402">
        <v>581</v>
      </c>
      <c r="G272" s="2400" t="s">
        <v>2979</v>
      </c>
      <c r="H272" s="2404" t="s">
        <v>2978</v>
      </c>
      <c r="I272" s="2399" t="s">
        <v>2977</v>
      </c>
      <c r="J272" s="2403"/>
      <c r="K272" s="2402">
        <v>905</v>
      </c>
      <c r="L272" s="2400" t="s">
        <v>2976</v>
      </c>
      <c r="M272" s="2401" t="s">
        <v>2975</v>
      </c>
      <c r="N272" s="2399" t="s">
        <v>2974</v>
      </c>
      <c r="O272" s="2403"/>
      <c r="P272" s="2402">
        <v>1229</v>
      </c>
      <c r="Q272" s="2400" t="s">
        <v>2973</v>
      </c>
      <c r="R272" s="2401" t="s">
        <v>2972</v>
      </c>
      <c r="S272" s="2399" t="s">
        <v>2971</v>
      </c>
      <c r="T272" s="8"/>
      <c r="U272" s="8"/>
      <c r="V272" s="8"/>
      <c r="W272" s="8"/>
      <c r="X272" s="8"/>
      <c r="Y272" s="8"/>
      <c r="Z272" s="8"/>
      <c r="AA272" s="8"/>
      <c r="AB272" s="8"/>
      <c r="AC272" s="8"/>
      <c r="AD272" s="8"/>
    </row>
    <row r="273" spans="1:30">
      <c r="A273" s="2402">
        <v>258</v>
      </c>
      <c r="B273" s="2400" t="s">
        <v>2970</v>
      </c>
      <c r="C273" s="2401" t="s">
        <v>2969</v>
      </c>
      <c r="D273" s="2399" t="s">
        <v>2968</v>
      </c>
      <c r="E273" s="2403"/>
      <c r="F273" s="2402">
        <v>582</v>
      </c>
      <c r="G273" s="2400" t="s">
        <v>2967</v>
      </c>
      <c r="H273" s="2401" t="s">
        <v>2966</v>
      </c>
      <c r="I273" s="2399" t="s">
        <v>2965</v>
      </c>
      <c r="J273" s="2403"/>
      <c r="K273" s="2402">
        <v>906</v>
      </c>
      <c r="L273" s="2400" t="s">
        <v>2964</v>
      </c>
      <c r="M273" s="2401" t="s">
        <v>2963</v>
      </c>
      <c r="N273" s="2399" t="s">
        <v>2962</v>
      </c>
      <c r="O273" s="2403"/>
      <c r="P273" s="2402">
        <v>1230</v>
      </c>
      <c r="Q273" s="2400" t="s">
        <v>2961</v>
      </c>
      <c r="R273" s="2401" t="s">
        <v>2960</v>
      </c>
      <c r="S273" s="2399" t="s">
        <v>2959</v>
      </c>
      <c r="T273" s="8"/>
      <c r="U273" s="8"/>
      <c r="V273" s="8"/>
      <c r="W273" s="8"/>
      <c r="X273" s="8"/>
      <c r="Y273" s="8"/>
      <c r="Z273" s="8"/>
      <c r="AA273" s="8"/>
      <c r="AB273" s="8"/>
      <c r="AC273" s="8"/>
      <c r="AD273" s="8"/>
    </row>
    <row r="274" spans="1:30">
      <c r="A274" s="2402">
        <v>259</v>
      </c>
      <c r="B274" s="2400" t="s">
        <v>2958</v>
      </c>
      <c r="C274" s="2401" t="s">
        <v>2957</v>
      </c>
      <c r="D274" s="2399" t="s">
        <v>2956</v>
      </c>
      <c r="E274" s="2403"/>
      <c r="F274" s="2402">
        <v>583</v>
      </c>
      <c r="G274" s="2400" t="s">
        <v>2955</v>
      </c>
      <c r="H274" s="2401" t="s">
        <v>2954</v>
      </c>
      <c r="I274" s="2399" t="s">
        <v>2953</v>
      </c>
      <c r="J274" s="2403"/>
      <c r="K274" s="2402">
        <v>907</v>
      </c>
      <c r="L274" s="2400" t="s">
        <v>2952</v>
      </c>
      <c r="M274" s="2401" t="s">
        <v>2951</v>
      </c>
      <c r="N274" s="2399" t="s">
        <v>2950</v>
      </c>
      <c r="O274" s="2403"/>
      <c r="P274" s="2402">
        <v>1231</v>
      </c>
      <c r="Q274" s="2400" t="s">
        <v>2949</v>
      </c>
      <c r="R274" s="2401" t="s">
        <v>2948</v>
      </c>
      <c r="S274" s="2399" t="s">
        <v>2947</v>
      </c>
      <c r="T274" s="8"/>
      <c r="U274" s="8"/>
      <c r="V274" s="8"/>
      <c r="W274" s="8"/>
      <c r="X274" s="8"/>
      <c r="Y274" s="8"/>
      <c r="Z274" s="8"/>
      <c r="AA274" s="8"/>
      <c r="AB274" s="8"/>
      <c r="AC274" s="8"/>
      <c r="AD274" s="8"/>
    </row>
    <row r="275" spans="1:30">
      <c r="A275" s="2402">
        <v>260</v>
      </c>
      <c r="B275" s="2400" t="s">
        <v>2946</v>
      </c>
      <c r="C275" s="2401" t="s">
        <v>2945</v>
      </c>
      <c r="D275" s="2399" t="s">
        <v>2944</v>
      </c>
      <c r="E275" s="2403"/>
      <c r="F275" s="2402">
        <v>584</v>
      </c>
      <c r="G275" s="2400" t="s">
        <v>2943</v>
      </c>
      <c r="H275" s="2401" t="s">
        <v>2942</v>
      </c>
      <c r="I275" s="2399" t="s">
        <v>2941</v>
      </c>
      <c r="J275" s="2403"/>
      <c r="K275" s="2402">
        <v>908</v>
      </c>
      <c r="L275" s="2400" t="s">
        <v>2940</v>
      </c>
      <c r="M275" s="2401" t="s">
        <v>2939</v>
      </c>
      <c r="N275" s="2399" t="s">
        <v>2938</v>
      </c>
      <c r="O275" s="2403"/>
      <c r="P275" s="2402">
        <v>1232</v>
      </c>
      <c r="Q275" s="2400" t="s">
        <v>2937</v>
      </c>
      <c r="R275" s="2401" t="s">
        <v>2936</v>
      </c>
      <c r="S275" s="2399" t="s">
        <v>2935</v>
      </c>
      <c r="T275" s="8"/>
      <c r="U275" s="8"/>
      <c r="V275" s="8"/>
      <c r="W275" s="8"/>
      <c r="X275" s="8"/>
      <c r="Y275" s="8"/>
      <c r="Z275" s="8"/>
      <c r="AA275" s="8"/>
      <c r="AB275" s="8"/>
      <c r="AC275" s="8"/>
      <c r="AD275" s="8"/>
    </row>
    <row r="276" spans="1:30">
      <c r="A276" s="2402">
        <v>261</v>
      </c>
      <c r="B276" s="2400" t="s">
        <v>2934</v>
      </c>
      <c r="C276" s="2401" t="s">
        <v>2933</v>
      </c>
      <c r="D276" s="2399" t="s">
        <v>2932</v>
      </c>
      <c r="E276" s="2403"/>
      <c r="F276" s="2402">
        <v>585</v>
      </c>
      <c r="G276" s="2400" t="s">
        <v>2931</v>
      </c>
      <c r="H276" s="2401" t="s">
        <v>2930</v>
      </c>
      <c r="I276" s="2399" t="s">
        <v>2929</v>
      </c>
      <c r="J276" s="2403"/>
      <c r="K276" s="2402">
        <v>909</v>
      </c>
      <c r="L276" s="2400" t="s">
        <v>2928</v>
      </c>
      <c r="M276" s="2401" t="s">
        <v>2927</v>
      </c>
      <c r="N276" s="2399" t="s">
        <v>2926</v>
      </c>
      <c r="O276" s="2403"/>
      <c r="P276" s="2402">
        <v>1233</v>
      </c>
      <c r="Q276" s="2400" t="s">
        <v>2925</v>
      </c>
      <c r="R276" s="2401" t="s">
        <v>2924</v>
      </c>
      <c r="S276" s="2399" t="s">
        <v>2923</v>
      </c>
      <c r="T276" s="8"/>
      <c r="U276" s="8"/>
      <c r="V276" s="8"/>
      <c r="W276" s="8"/>
      <c r="X276" s="8"/>
      <c r="Y276" s="8"/>
      <c r="Z276" s="8"/>
      <c r="AA276" s="8"/>
      <c r="AB276" s="8"/>
      <c r="AC276" s="8"/>
      <c r="AD276" s="8"/>
    </row>
    <row r="277" spans="1:30">
      <c r="A277" s="2402">
        <v>262</v>
      </c>
      <c r="B277" s="2400" t="s">
        <v>2922</v>
      </c>
      <c r="C277" s="2401" t="s">
        <v>2921</v>
      </c>
      <c r="D277" s="2399" t="s">
        <v>2920</v>
      </c>
      <c r="E277" s="2403"/>
      <c r="F277" s="2402">
        <v>586</v>
      </c>
      <c r="G277" s="2400" t="s">
        <v>2919</v>
      </c>
      <c r="H277" s="2401" t="s">
        <v>2918</v>
      </c>
      <c r="I277" s="2399" t="s">
        <v>2917</v>
      </c>
      <c r="J277" s="2403"/>
      <c r="K277" s="2402">
        <v>910</v>
      </c>
      <c r="L277" s="2400" t="s">
        <v>2916</v>
      </c>
      <c r="M277" s="2401" t="s">
        <v>2915</v>
      </c>
      <c r="N277" s="2399" t="s">
        <v>2914</v>
      </c>
      <c r="O277" s="2403"/>
      <c r="P277" s="2402">
        <v>1234</v>
      </c>
      <c r="Q277" s="2400" t="s">
        <v>2913</v>
      </c>
      <c r="R277" s="2401" t="s">
        <v>2912</v>
      </c>
      <c r="S277" s="2399" t="s">
        <v>2911</v>
      </c>
      <c r="T277" s="8"/>
      <c r="U277" s="8"/>
      <c r="V277" s="8"/>
      <c r="W277" s="8"/>
      <c r="X277" s="8"/>
      <c r="Y277" s="8"/>
      <c r="Z277" s="8"/>
      <c r="AA277" s="8"/>
      <c r="AB277" s="8"/>
      <c r="AC277" s="8"/>
      <c r="AD277" s="8"/>
    </row>
    <row r="278" spans="1:30">
      <c r="A278" s="2402">
        <v>263</v>
      </c>
      <c r="B278" s="2400" t="s">
        <v>2910</v>
      </c>
      <c r="C278" s="2401" t="s">
        <v>2909</v>
      </c>
      <c r="D278" s="2399" t="s">
        <v>2908</v>
      </c>
      <c r="E278" s="2403"/>
      <c r="F278" s="2402">
        <v>587</v>
      </c>
      <c r="G278" s="2400" t="s">
        <v>2907</v>
      </c>
      <c r="H278" s="2401" t="s">
        <v>2906</v>
      </c>
      <c r="I278" s="2399" t="s">
        <v>2905</v>
      </c>
      <c r="J278" s="2403"/>
      <c r="K278" s="2402">
        <v>911</v>
      </c>
      <c r="L278" s="2400" t="s">
        <v>2904</v>
      </c>
      <c r="M278" s="2401" t="s">
        <v>2903</v>
      </c>
      <c r="N278" s="2399" t="s">
        <v>2902</v>
      </c>
      <c r="O278" s="2403"/>
      <c r="P278" s="2402">
        <v>1235</v>
      </c>
      <c r="Q278" s="2400" t="s">
        <v>2901</v>
      </c>
      <c r="R278" s="2401" t="s">
        <v>2900</v>
      </c>
      <c r="S278" s="2399" t="s">
        <v>2899</v>
      </c>
      <c r="T278" s="8"/>
      <c r="U278" s="8"/>
      <c r="V278" s="8"/>
      <c r="W278" s="8"/>
      <c r="X278" s="8"/>
      <c r="Y278" s="8"/>
      <c r="Z278" s="8"/>
      <c r="AA278" s="8"/>
      <c r="AB278" s="8"/>
      <c r="AC278" s="8"/>
      <c r="AD278" s="8"/>
    </row>
    <row r="279" spans="1:30">
      <c r="A279" s="2402">
        <v>264</v>
      </c>
      <c r="B279" s="2400" t="s">
        <v>2898</v>
      </c>
      <c r="C279" s="2401" t="s">
        <v>2897</v>
      </c>
      <c r="D279" s="2399" t="s">
        <v>2896</v>
      </c>
      <c r="E279" s="2403"/>
      <c r="F279" s="2402">
        <v>588</v>
      </c>
      <c r="G279" s="2400" t="s">
        <v>2895</v>
      </c>
      <c r="H279" s="2401" t="s">
        <v>2894</v>
      </c>
      <c r="I279" s="2399" t="s">
        <v>2893</v>
      </c>
      <c r="J279" s="2403"/>
      <c r="K279" s="2402">
        <v>912</v>
      </c>
      <c r="L279" s="2400" t="s">
        <v>2892</v>
      </c>
      <c r="M279" s="2401" t="s">
        <v>2891</v>
      </c>
      <c r="N279" s="2399" t="s">
        <v>2890</v>
      </c>
      <c r="O279" s="2403"/>
      <c r="P279" s="2402">
        <v>1236</v>
      </c>
      <c r="Q279" s="2400" t="s">
        <v>2889</v>
      </c>
      <c r="R279" s="2401" t="s">
        <v>2888</v>
      </c>
      <c r="S279" s="2399" t="s">
        <v>2887</v>
      </c>
      <c r="T279" s="8"/>
      <c r="U279" s="8"/>
      <c r="V279" s="8"/>
      <c r="W279" s="8"/>
      <c r="X279" s="8"/>
      <c r="Y279" s="8"/>
      <c r="Z279" s="8"/>
      <c r="AA279" s="8"/>
      <c r="AB279" s="8"/>
      <c r="AC279" s="8"/>
      <c r="AD279" s="8"/>
    </row>
    <row r="280" spans="1:30">
      <c r="A280" s="2402">
        <v>265</v>
      </c>
      <c r="B280" s="2400" t="s">
        <v>2886</v>
      </c>
      <c r="C280" s="2401" t="s">
        <v>2885</v>
      </c>
      <c r="D280" s="2399" t="s">
        <v>2884</v>
      </c>
      <c r="E280" s="2403"/>
      <c r="F280" s="2402">
        <v>589</v>
      </c>
      <c r="G280" s="2400" t="s">
        <v>2883</v>
      </c>
      <c r="H280" s="2401" t="s">
        <v>2882</v>
      </c>
      <c r="I280" s="2399" t="s">
        <v>2881</v>
      </c>
      <c r="J280" s="2403"/>
      <c r="K280" s="2402">
        <v>913</v>
      </c>
      <c r="L280" s="2400" t="s">
        <v>2880</v>
      </c>
      <c r="M280" s="2401" t="s">
        <v>2879</v>
      </c>
      <c r="N280" s="2399" t="s">
        <v>2878</v>
      </c>
      <c r="O280" s="2403"/>
      <c r="P280" s="2402">
        <v>1237</v>
      </c>
      <c r="Q280" s="2400" t="s">
        <v>2877</v>
      </c>
      <c r="R280" s="2401" t="s">
        <v>2876</v>
      </c>
      <c r="S280" s="2399" t="s">
        <v>2875</v>
      </c>
      <c r="T280" s="8"/>
      <c r="U280" s="8"/>
      <c r="V280" s="8"/>
      <c r="W280" s="8"/>
      <c r="X280" s="8"/>
      <c r="Y280" s="8"/>
      <c r="Z280" s="8"/>
      <c r="AA280" s="8"/>
      <c r="AB280" s="8"/>
      <c r="AC280" s="8"/>
      <c r="AD280" s="8"/>
    </row>
    <row r="281" spans="1:30">
      <c r="A281" s="2402">
        <v>266</v>
      </c>
      <c r="B281" s="2400" t="s">
        <v>2874</v>
      </c>
      <c r="C281" s="2401" t="s">
        <v>2873</v>
      </c>
      <c r="D281" s="2399" t="s">
        <v>2872</v>
      </c>
      <c r="E281" s="2403"/>
      <c r="F281" s="2402">
        <v>590</v>
      </c>
      <c r="G281" s="2400" t="s">
        <v>2871</v>
      </c>
      <c r="H281" s="2401" t="s">
        <v>2870</v>
      </c>
      <c r="I281" s="2399" t="s">
        <v>2869</v>
      </c>
      <c r="J281" s="2403"/>
      <c r="K281" s="2402">
        <v>914</v>
      </c>
      <c r="L281" s="2400" t="s">
        <v>2868</v>
      </c>
      <c r="M281" s="2401" t="s">
        <v>2867</v>
      </c>
      <c r="N281" s="2399" t="s">
        <v>2866</v>
      </c>
      <c r="O281" s="2403"/>
      <c r="P281" s="2402">
        <v>1238</v>
      </c>
      <c r="Q281" s="2400" t="s">
        <v>2865</v>
      </c>
      <c r="R281" s="2401" t="s">
        <v>2864</v>
      </c>
      <c r="S281" s="2399" t="s">
        <v>2863</v>
      </c>
      <c r="T281" s="8"/>
      <c r="U281" s="8"/>
      <c r="V281" s="8"/>
      <c r="W281" s="8"/>
      <c r="X281" s="8"/>
      <c r="Y281" s="8"/>
      <c r="Z281" s="8"/>
      <c r="AA281" s="8"/>
      <c r="AB281" s="8"/>
      <c r="AC281" s="8"/>
      <c r="AD281" s="8"/>
    </row>
    <row r="282" spans="1:30">
      <c r="A282" s="2402">
        <v>267</v>
      </c>
      <c r="B282" s="2400" t="s">
        <v>2862</v>
      </c>
      <c r="C282" s="2401" t="s">
        <v>2861</v>
      </c>
      <c r="D282" s="2399" t="s">
        <v>2860</v>
      </c>
      <c r="E282" s="2403"/>
      <c r="F282" s="2402">
        <v>591</v>
      </c>
      <c r="G282" s="2400" t="s">
        <v>2859</v>
      </c>
      <c r="H282" s="2401" t="s">
        <v>2858</v>
      </c>
      <c r="I282" s="2399" t="s">
        <v>2857</v>
      </c>
      <c r="J282" s="2403"/>
      <c r="K282" s="2402">
        <v>915</v>
      </c>
      <c r="L282" s="2400" t="s">
        <v>2856</v>
      </c>
      <c r="M282" s="2401" t="s">
        <v>2855</v>
      </c>
      <c r="N282" s="2399" t="s">
        <v>2854</v>
      </c>
      <c r="O282" s="2403"/>
      <c r="P282" s="2402">
        <v>1239</v>
      </c>
      <c r="Q282" s="2400" t="s">
        <v>2853</v>
      </c>
      <c r="R282" s="2401" t="s">
        <v>2852</v>
      </c>
      <c r="S282" s="2399" t="s">
        <v>2851</v>
      </c>
      <c r="T282" s="8"/>
      <c r="U282" s="8"/>
      <c r="V282" s="8"/>
      <c r="W282" s="8"/>
      <c r="X282" s="8"/>
      <c r="Y282" s="8"/>
      <c r="Z282" s="8"/>
      <c r="AA282" s="8"/>
      <c r="AB282" s="8"/>
      <c r="AC282" s="8"/>
      <c r="AD282" s="8"/>
    </row>
    <row r="283" spans="1:30">
      <c r="A283" s="2402">
        <v>268</v>
      </c>
      <c r="B283" s="2400" t="s">
        <v>2850</v>
      </c>
      <c r="C283" s="2401" t="s">
        <v>2849</v>
      </c>
      <c r="D283" s="2399" t="s">
        <v>2848</v>
      </c>
      <c r="E283" s="2403"/>
      <c r="F283" s="2402">
        <v>592</v>
      </c>
      <c r="G283" s="2400" t="s">
        <v>2847</v>
      </c>
      <c r="H283" s="2401" t="s">
        <v>2846</v>
      </c>
      <c r="I283" s="2399" t="s">
        <v>2845</v>
      </c>
      <c r="J283" s="2403"/>
      <c r="K283" s="2402">
        <v>916</v>
      </c>
      <c r="L283" s="2400" t="s">
        <v>2844</v>
      </c>
      <c r="M283" s="2401" t="s">
        <v>2843</v>
      </c>
      <c r="N283" s="2399" t="s">
        <v>2842</v>
      </c>
      <c r="O283" s="2403"/>
      <c r="P283" s="2402">
        <v>1240</v>
      </c>
      <c r="Q283" s="2400" t="s">
        <v>2841</v>
      </c>
      <c r="R283" s="2401" t="s">
        <v>2840</v>
      </c>
      <c r="S283" s="2399" t="s">
        <v>2839</v>
      </c>
      <c r="T283" s="8"/>
      <c r="U283" s="8"/>
      <c r="V283" s="8"/>
      <c r="W283" s="8"/>
      <c r="X283" s="8"/>
      <c r="Y283" s="8"/>
      <c r="Z283" s="8"/>
      <c r="AA283" s="8"/>
      <c r="AB283" s="8"/>
      <c r="AC283" s="8"/>
      <c r="AD283" s="8"/>
    </row>
    <row r="284" spans="1:30">
      <c r="A284" s="2402">
        <v>269</v>
      </c>
      <c r="B284" s="2400" t="s">
        <v>2838</v>
      </c>
      <c r="C284" s="2401" t="s">
        <v>2837</v>
      </c>
      <c r="D284" s="2399" t="s">
        <v>2836</v>
      </c>
      <c r="E284" s="2403"/>
      <c r="F284" s="2402">
        <v>593</v>
      </c>
      <c r="G284" s="2400" t="s">
        <v>2835</v>
      </c>
      <c r="H284" s="2401" t="s">
        <v>2834</v>
      </c>
      <c r="I284" s="2399" t="s">
        <v>2833</v>
      </c>
      <c r="J284" s="2403"/>
      <c r="K284" s="2402">
        <v>917</v>
      </c>
      <c r="L284" s="2400" t="s">
        <v>2832</v>
      </c>
      <c r="M284" s="2401" t="s">
        <v>2831</v>
      </c>
      <c r="N284" s="2399" t="s">
        <v>2830</v>
      </c>
      <c r="O284" s="2403"/>
      <c r="P284" s="2402">
        <v>1241</v>
      </c>
      <c r="Q284" s="2400" t="s">
        <v>2829</v>
      </c>
      <c r="R284" s="2401" t="s">
        <v>2828</v>
      </c>
      <c r="S284" s="2399" t="s">
        <v>2827</v>
      </c>
      <c r="T284" s="8"/>
      <c r="U284" s="8"/>
      <c r="V284" s="8"/>
      <c r="W284" s="8"/>
      <c r="X284" s="8"/>
      <c r="Y284" s="8"/>
      <c r="Z284" s="8"/>
      <c r="AA284" s="8"/>
      <c r="AB284" s="8"/>
      <c r="AC284" s="8"/>
      <c r="AD284" s="8"/>
    </row>
    <row r="285" spans="1:30">
      <c r="A285" s="2402">
        <v>270</v>
      </c>
      <c r="B285" s="2400" t="s">
        <v>2826</v>
      </c>
      <c r="C285" s="2401" t="s">
        <v>2825</v>
      </c>
      <c r="D285" s="2399" t="s">
        <v>2824</v>
      </c>
      <c r="E285" s="2403"/>
      <c r="F285" s="2402">
        <v>594</v>
      </c>
      <c r="G285" s="2400" t="s">
        <v>2823</v>
      </c>
      <c r="H285" s="2401" t="s">
        <v>2822</v>
      </c>
      <c r="I285" s="2399" t="s">
        <v>2821</v>
      </c>
      <c r="J285" s="2403"/>
      <c r="K285" s="2402">
        <v>918</v>
      </c>
      <c r="L285" s="2400" t="s">
        <v>2820</v>
      </c>
      <c r="M285" s="2401" t="s">
        <v>2819</v>
      </c>
      <c r="N285" s="2399" t="s">
        <v>2818</v>
      </c>
      <c r="O285" s="2403"/>
      <c r="P285" s="2402">
        <v>1242</v>
      </c>
      <c r="Q285" s="2400" t="s">
        <v>2817</v>
      </c>
      <c r="R285" s="2401" t="s">
        <v>2816</v>
      </c>
      <c r="S285" s="2399" t="s">
        <v>2815</v>
      </c>
      <c r="T285" s="8"/>
      <c r="U285" s="8"/>
      <c r="V285" s="8"/>
      <c r="W285" s="8"/>
      <c r="X285" s="8"/>
      <c r="Y285" s="8"/>
      <c r="Z285" s="8"/>
      <c r="AA285" s="8"/>
      <c r="AB285" s="8"/>
      <c r="AC285" s="8"/>
      <c r="AD285" s="8"/>
    </row>
    <row r="286" spans="1:30">
      <c r="A286" s="2402">
        <v>271</v>
      </c>
      <c r="B286" s="2400" t="s">
        <v>2814</v>
      </c>
      <c r="C286" s="2401" t="s">
        <v>2813</v>
      </c>
      <c r="D286" s="2399" t="s">
        <v>2812</v>
      </c>
      <c r="E286" s="2403"/>
      <c r="F286" s="2402">
        <v>595</v>
      </c>
      <c r="G286" s="2400" t="s">
        <v>2811</v>
      </c>
      <c r="H286" s="2401" t="s">
        <v>2810</v>
      </c>
      <c r="I286" s="2399" t="s">
        <v>2809</v>
      </c>
      <c r="J286" s="2403"/>
      <c r="K286" s="2402">
        <v>919</v>
      </c>
      <c r="L286" s="2400" t="s">
        <v>2808</v>
      </c>
      <c r="M286" s="2401" t="s">
        <v>2807</v>
      </c>
      <c r="N286" s="2399" t="s">
        <v>2806</v>
      </c>
      <c r="O286" s="2403"/>
      <c r="P286" s="2402">
        <v>1243</v>
      </c>
      <c r="Q286" s="2400" t="s">
        <v>2805</v>
      </c>
      <c r="R286" s="2401" t="s">
        <v>2804</v>
      </c>
      <c r="S286" s="2399" t="s">
        <v>2803</v>
      </c>
      <c r="T286" s="8"/>
      <c r="U286" s="8"/>
      <c r="V286" s="8"/>
      <c r="W286" s="8"/>
      <c r="X286" s="8"/>
      <c r="Y286" s="8"/>
      <c r="Z286" s="8"/>
      <c r="AA286" s="8"/>
      <c r="AB286" s="8"/>
      <c r="AC286" s="8"/>
      <c r="AD286" s="8"/>
    </row>
    <row r="287" spans="1:30">
      <c r="A287" s="2402">
        <v>272</v>
      </c>
      <c r="B287" s="2400" t="s">
        <v>2802</v>
      </c>
      <c r="C287" s="2401" t="s">
        <v>2801</v>
      </c>
      <c r="D287" s="2399" t="s">
        <v>2800</v>
      </c>
      <c r="E287" s="2403"/>
      <c r="F287" s="2402">
        <v>596</v>
      </c>
      <c r="G287" s="2400" t="s">
        <v>2799</v>
      </c>
      <c r="H287" s="2401" t="s">
        <v>2798</v>
      </c>
      <c r="I287" s="2399" t="s">
        <v>2797</v>
      </c>
      <c r="J287" s="2403"/>
      <c r="K287" s="2402">
        <v>920</v>
      </c>
      <c r="L287" s="2400" t="s">
        <v>2796</v>
      </c>
      <c r="M287" s="2401" t="s">
        <v>2795</v>
      </c>
      <c r="N287" s="2399" t="s">
        <v>2794</v>
      </c>
      <c r="O287" s="2403"/>
      <c r="P287" s="2402">
        <v>1244</v>
      </c>
      <c r="Q287" s="2400" t="s">
        <v>2793</v>
      </c>
      <c r="R287" s="2401" t="s">
        <v>2792</v>
      </c>
      <c r="S287" s="2399" t="s">
        <v>2791</v>
      </c>
      <c r="T287" s="8"/>
      <c r="U287" s="8"/>
      <c r="V287" s="8"/>
      <c r="W287" s="8"/>
      <c r="X287" s="8"/>
      <c r="Y287" s="8"/>
      <c r="Z287" s="8"/>
      <c r="AA287" s="8"/>
      <c r="AB287" s="8"/>
      <c r="AC287" s="8"/>
      <c r="AD287" s="8"/>
    </row>
    <row r="288" spans="1:30">
      <c r="A288" s="2402">
        <v>273</v>
      </c>
      <c r="B288" s="2400" t="s">
        <v>2790</v>
      </c>
      <c r="C288" s="2401" t="s">
        <v>2789</v>
      </c>
      <c r="D288" s="2399" t="s">
        <v>2788</v>
      </c>
      <c r="E288" s="2403"/>
      <c r="F288" s="2402">
        <v>597</v>
      </c>
      <c r="G288" s="2400" t="s">
        <v>2787</v>
      </c>
      <c r="H288" s="2401" t="s">
        <v>2786</v>
      </c>
      <c r="I288" s="2399" t="s">
        <v>2785</v>
      </c>
      <c r="J288" s="2403"/>
      <c r="K288" s="2402">
        <v>921</v>
      </c>
      <c r="L288" s="2400" t="s">
        <v>2784</v>
      </c>
      <c r="M288" s="2401" t="s">
        <v>2783</v>
      </c>
      <c r="N288" s="2399" t="s">
        <v>2782</v>
      </c>
      <c r="O288" s="2403"/>
      <c r="P288" s="2402">
        <v>1245</v>
      </c>
      <c r="Q288" s="2400" t="s">
        <v>2781</v>
      </c>
      <c r="R288" s="2401" t="s">
        <v>2780</v>
      </c>
      <c r="S288" s="2399" t="s">
        <v>2779</v>
      </c>
      <c r="T288" s="8"/>
      <c r="U288" s="8"/>
      <c r="V288" s="8"/>
      <c r="W288" s="8"/>
      <c r="X288" s="8"/>
      <c r="Y288" s="8"/>
      <c r="Z288" s="8"/>
      <c r="AA288" s="8"/>
      <c r="AB288" s="8"/>
      <c r="AC288" s="8"/>
      <c r="AD288" s="8"/>
    </row>
    <row r="289" spans="1:30">
      <c r="A289" s="2402">
        <v>274</v>
      </c>
      <c r="B289" s="2400" t="s">
        <v>2778</v>
      </c>
      <c r="C289" s="2401" t="s">
        <v>2777</v>
      </c>
      <c r="D289" s="2399" t="s">
        <v>2776</v>
      </c>
      <c r="E289" s="2403"/>
      <c r="F289" s="2402">
        <v>598</v>
      </c>
      <c r="G289" s="2400" t="s">
        <v>2775</v>
      </c>
      <c r="H289" s="2401" t="s">
        <v>2774</v>
      </c>
      <c r="I289" s="2399" t="s">
        <v>2773</v>
      </c>
      <c r="J289" s="2403"/>
      <c r="K289" s="2402">
        <v>922</v>
      </c>
      <c r="L289" s="2400" t="s">
        <v>2772</v>
      </c>
      <c r="M289" s="2401" t="s">
        <v>2771</v>
      </c>
      <c r="N289" s="2399" t="s">
        <v>2770</v>
      </c>
      <c r="O289" s="2403"/>
      <c r="P289" s="2402">
        <v>1246</v>
      </c>
      <c r="Q289" s="2400" t="s">
        <v>2769</v>
      </c>
      <c r="R289" s="2401" t="s">
        <v>2768</v>
      </c>
      <c r="S289" s="2399" t="s">
        <v>2767</v>
      </c>
      <c r="T289" s="8"/>
      <c r="U289" s="8"/>
      <c r="V289" s="8"/>
      <c r="W289" s="8"/>
      <c r="X289" s="8"/>
      <c r="Y289" s="8"/>
      <c r="Z289" s="8"/>
      <c r="AA289" s="8"/>
      <c r="AB289" s="8"/>
      <c r="AC289" s="8"/>
      <c r="AD289" s="8"/>
    </row>
    <row r="290" spans="1:30">
      <c r="A290" s="2402">
        <v>275</v>
      </c>
      <c r="B290" s="2400" t="s">
        <v>2766</v>
      </c>
      <c r="C290" s="2401" t="s">
        <v>2765</v>
      </c>
      <c r="D290" s="2399" t="s">
        <v>2764</v>
      </c>
      <c r="E290" s="2403"/>
      <c r="F290" s="2402">
        <v>599</v>
      </c>
      <c r="G290" s="2400" t="s">
        <v>2763</v>
      </c>
      <c r="H290" s="2401" t="s">
        <v>2762</v>
      </c>
      <c r="I290" s="2399" t="s">
        <v>2761</v>
      </c>
      <c r="J290" s="2403"/>
      <c r="K290" s="2402">
        <v>923</v>
      </c>
      <c r="L290" s="2400" t="s">
        <v>2760</v>
      </c>
      <c r="M290" s="2401" t="s">
        <v>2759</v>
      </c>
      <c r="N290" s="2399" t="s">
        <v>2758</v>
      </c>
      <c r="O290" s="2403"/>
      <c r="P290" s="2402">
        <v>1247</v>
      </c>
      <c r="Q290" s="2400" t="s">
        <v>2757</v>
      </c>
      <c r="R290" s="2401" t="s">
        <v>2756</v>
      </c>
      <c r="S290" s="2399" t="s">
        <v>2755</v>
      </c>
      <c r="T290" s="8"/>
      <c r="U290" s="8"/>
      <c r="V290" s="8"/>
      <c r="W290" s="8"/>
      <c r="X290" s="8"/>
      <c r="Y290" s="8"/>
      <c r="Z290" s="8"/>
      <c r="AA290" s="8"/>
      <c r="AB290" s="8"/>
      <c r="AC290" s="8"/>
      <c r="AD290" s="8"/>
    </row>
    <row r="291" spans="1:30">
      <c r="A291" s="2402">
        <v>276</v>
      </c>
      <c r="B291" s="2400" t="s">
        <v>2754</v>
      </c>
      <c r="C291" s="2401" t="s">
        <v>2753</v>
      </c>
      <c r="D291" s="2399" t="s">
        <v>2752</v>
      </c>
      <c r="E291" s="2403"/>
      <c r="F291" s="2402">
        <v>600</v>
      </c>
      <c r="G291" s="2400" t="s">
        <v>2751</v>
      </c>
      <c r="H291" s="2401" t="s">
        <v>2750</v>
      </c>
      <c r="I291" s="2399" t="s">
        <v>2749</v>
      </c>
      <c r="J291" s="2403"/>
      <c r="K291" s="2402">
        <v>924</v>
      </c>
      <c r="L291" s="2400" t="s">
        <v>2748</v>
      </c>
      <c r="M291" s="2401" t="s">
        <v>2747</v>
      </c>
      <c r="N291" s="2399" t="s">
        <v>2746</v>
      </c>
      <c r="O291" s="2403"/>
      <c r="P291" s="2402">
        <v>1248</v>
      </c>
      <c r="Q291" s="2400" t="s">
        <v>2745</v>
      </c>
      <c r="R291" s="2401" t="s">
        <v>2744</v>
      </c>
      <c r="S291" s="2399" t="s">
        <v>2743</v>
      </c>
      <c r="T291" s="8"/>
      <c r="U291" s="8"/>
      <c r="V291" s="8"/>
      <c r="W291" s="8"/>
      <c r="X291" s="8"/>
      <c r="Y291" s="8"/>
      <c r="Z291" s="8"/>
      <c r="AA291" s="8"/>
      <c r="AB291" s="8"/>
      <c r="AC291" s="8"/>
      <c r="AD291" s="8"/>
    </row>
    <row r="292" spans="1:30">
      <c r="A292" s="2402">
        <v>277</v>
      </c>
      <c r="B292" s="2400" t="s">
        <v>2742</v>
      </c>
      <c r="C292" s="2401" t="s">
        <v>2741</v>
      </c>
      <c r="D292" s="2399" t="s">
        <v>2740</v>
      </c>
      <c r="E292" s="2403"/>
      <c r="F292" s="2402">
        <v>601</v>
      </c>
      <c r="G292" s="2400" t="s">
        <v>2739</v>
      </c>
      <c r="H292" s="2401" t="s">
        <v>2738</v>
      </c>
      <c r="I292" s="2399" t="s">
        <v>2737</v>
      </c>
      <c r="J292" s="2403"/>
      <c r="K292" s="2402">
        <v>925</v>
      </c>
      <c r="L292" s="2400" t="s">
        <v>2736</v>
      </c>
      <c r="M292" s="2401" t="s">
        <v>2735</v>
      </c>
      <c r="N292" s="2399" t="s">
        <v>2734</v>
      </c>
      <c r="O292" s="2403"/>
      <c r="P292" s="2402">
        <v>1249</v>
      </c>
      <c r="Q292" s="2400" t="s">
        <v>2733</v>
      </c>
      <c r="R292" s="2401" t="s">
        <v>2732</v>
      </c>
      <c r="S292" s="2399" t="s">
        <v>2731</v>
      </c>
      <c r="T292" s="8"/>
      <c r="U292" s="8"/>
      <c r="V292" s="8"/>
      <c r="W292" s="8"/>
      <c r="X292" s="8"/>
      <c r="Y292" s="8"/>
      <c r="Z292" s="8"/>
      <c r="AA292" s="8"/>
      <c r="AB292" s="8"/>
      <c r="AC292" s="8"/>
      <c r="AD292" s="8"/>
    </row>
    <row r="293" spans="1:30">
      <c r="A293" s="2402">
        <v>278</v>
      </c>
      <c r="B293" s="2400" t="s">
        <v>2730</v>
      </c>
      <c r="C293" s="2401" t="s">
        <v>2729</v>
      </c>
      <c r="D293" s="2399" t="s">
        <v>2728</v>
      </c>
      <c r="E293" s="2403"/>
      <c r="F293" s="2402">
        <v>602</v>
      </c>
      <c r="G293" s="2400" t="s">
        <v>2727</v>
      </c>
      <c r="H293" s="2401" t="s">
        <v>2726</v>
      </c>
      <c r="I293" s="2399" t="s">
        <v>2725</v>
      </c>
      <c r="J293" s="2403"/>
      <c r="K293" s="2402">
        <v>926</v>
      </c>
      <c r="L293" s="2400" t="s">
        <v>2724</v>
      </c>
      <c r="M293" s="2401" t="s">
        <v>2723</v>
      </c>
      <c r="N293" s="2399" t="s">
        <v>2722</v>
      </c>
      <c r="O293" s="2403"/>
      <c r="P293" s="2402">
        <v>1250</v>
      </c>
      <c r="Q293" s="2400" t="s">
        <v>2721</v>
      </c>
      <c r="R293" s="2401" t="s">
        <v>2720</v>
      </c>
      <c r="S293" s="2399" t="s">
        <v>2719</v>
      </c>
      <c r="T293" s="8"/>
      <c r="U293" s="8"/>
      <c r="V293" s="8"/>
      <c r="W293" s="8"/>
      <c r="X293" s="8"/>
      <c r="Y293" s="8"/>
      <c r="Z293" s="8"/>
      <c r="AA293" s="8"/>
      <c r="AB293" s="8"/>
      <c r="AC293" s="8"/>
      <c r="AD293" s="8"/>
    </row>
    <row r="294" spans="1:30">
      <c r="A294" s="2402">
        <v>279</v>
      </c>
      <c r="B294" s="2400" t="s">
        <v>2718</v>
      </c>
      <c r="C294" s="2401" t="s">
        <v>2717</v>
      </c>
      <c r="D294" s="2399" t="s">
        <v>2716</v>
      </c>
      <c r="E294" s="2403"/>
      <c r="F294" s="2402">
        <v>603</v>
      </c>
      <c r="G294" s="2400" t="s">
        <v>2715</v>
      </c>
      <c r="H294" s="2401" t="s">
        <v>2714</v>
      </c>
      <c r="I294" s="2399" t="s">
        <v>2713</v>
      </c>
      <c r="J294" s="2403"/>
      <c r="K294" s="2402">
        <v>927</v>
      </c>
      <c r="L294" s="2400" t="s">
        <v>2712</v>
      </c>
      <c r="M294" s="2401" t="s">
        <v>2711</v>
      </c>
      <c r="N294" s="2399" t="s">
        <v>2710</v>
      </c>
      <c r="O294" s="2403"/>
      <c r="P294" s="2402">
        <v>1251</v>
      </c>
      <c r="Q294" s="2400" t="s">
        <v>2709</v>
      </c>
      <c r="R294" s="2401" t="s">
        <v>2708</v>
      </c>
      <c r="S294" s="2399" t="s">
        <v>2707</v>
      </c>
      <c r="T294" s="8"/>
      <c r="U294" s="8"/>
      <c r="V294" s="8"/>
      <c r="W294" s="8"/>
      <c r="X294" s="8"/>
      <c r="Y294" s="8"/>
      <c r="Z294" s="8"/>
      <c r="AA294" s="8"/>
      <c r="AB294" s="8"/>
      <c r="AC294" s="8"/>
      <c r="AD294" s="8"/>
    </row>
    <row r="295" spans="1:30">
      <c r="A295" s="2402">
        <v>280</v>
      </c>
      <c r="B295" s="2400" t="s">
        <v>2706</v>
      </c>
      <c r="C295" s="2401" t="s">
        <v>2705</v>
      </c>
      <c r="D295" s="2399" t="s">
        <v>2704</v>
      </c>
      <c r="E295" s="2403"/>
      <c r="F295" s="2402">
        <v>604</v>
      </c>
      <c r="G295" s="2400" t="s">
        <v>2703</v>
      </c>
      <c r="H295" s="2401" t="s">
        <v>2702</v>
      </c>
      <c r="I295" s="2399" t="s">
        <v>2701</v>
      </c>
      <c r="J295" s="2403"/>
      <c r="K295" s="2402">
        <v>928</v>
      </c>
      <c r="L295" s="2400" t="s">
        <v>2700</v>
      </c>
      <c r="M295" s="2401" t="s">
        <v>2699</v>
      </c>
      <c r="N295" s="2399" t="s">
        <v>2698</v>
      </c>
      <c r="O295" s="2403"/>
      <c r="P295" s="2402">
        <v>1252</v>
      </c>
      <c r="Q295" s="2400" t="s">
        <v>2697</v>
      </c>
      <c r="R295" s="2401" t="s">
        <v>2696</v>
      </c>
      <c r="S295" s="2399" t="s">
        <v>2695</v>
      </c>
      <c r="T295" s="8"/>
      <c r="U295" s="8"/>
      <c r="V295" s="8"/>
      <c r="W295" s="8"/>
      <c r="X295" s="8"/>
      <c r="Y295" s="8"/>
      <c r="Z295" s="8"/>
      <c r="AA295" s="8"/>
      <c r="AB295" s="8"/>
      <c r="AC295" s="8"/>
      <c r="AD295" s="8"/>
    </row>
    <row r="296" spans="1:30">
      <c r="A296" s="2402">
        <v>281</v>
      </c>
      <c r="B296" s="2400" t="s">
        <v>2694</v>
      </c>
      <c r="C296" s="2401" t="s">
        <v>2693</v>
      </c>
      <c r="D296" s="2399" t="s">
        <v>1197</v>
      </c>
      <c r="E296" s="2403"/>
      <c r="F296" s="2402">
        <v>605</v>
      </c>
      <c r="G296" s="2400" t="s">
        <v>2692</v>
      </c>
      <c r="H296" s="2401" t="s">
        <v>2691</v>
      </c>
      <c r="I296" s="2399" t="s">
        <v>2690</v>
      </c>
      <c r="J296" s="2403"/>
      <c r="K296" s="2402">
        <v>929</v>
      </c>
      <c r="L296" s="2400" t="s">
        <v>2689</v>
      </c>
      <c r="M296" s="2401" t="s">
        <v>2688</v>
      </c>
      <c r="N296" s="2399" t="s">
        <v>2687</v>
      </c>
      <c r="O296" s="2403"/>
      <c r="P296" s="2402">
        <v>1253</v>
      </c>
      <c r="Q296" s="2400" t="s">
        <v>2686</v>
      </c>
      <c r="R296" s="2401" t="s">
        <v>2685</v>
      </c>
      <c r="S296" s="2399" t="s">
        <v>2684</v>
      </c>
      <c r="T296" s="8"/>
      <c r="U296" s="8"/>
      <c r="V296" s="8"/>
      <c r="W296" s="8"/>
      <c r="X296" s="8"/>
      <c r="Y296" s="8"/>
      <c r="Z296" s="8"/>
      <c r="AA296" s="8"/>
      <c r="AB296" s="8"/>
      <c r="AC296" s="8"/>
      <c r="AD296" s="8"/>
    </row>
    <row r="297" spans="1:30">
      <c r="A297" s="2402">
        <v>282</v>
      </c>
      <c r="B297" s="2400" t="s">
        <v>2683</v>
      </c>
      <c r="C297" s="2401" t="s">
        <v>2682</v>
      </c>
      <c r="D297" s="2399" t="s">
        <v>2681</v>
      </c>
      <c r="E297" s="2403"/>
      <c r="F297" s="2402">
        <v>606</v>
      </c>
      <c r="G297" s="2400" t="s">
        <v>2680</v>
      </c>
      <c r="H297" s="2401" t="s">
        <v>2679</v>
      </c>
      <c r="I297" s="2399" t="s">
        <v>2678</v>
      </c>
      <c r="J297" s="2403"/>
      <c r="K297" s="2402">
        <v>930</v>
      </c>
      <c r="L297" s="2400" t="s">
        <v>2677</v>
      </c>
      <c r="M297" s="2401" t="s">
        <v>2676</v>
      </c>
      <c r="N297" s="2399" t="s">
        <v>2675</v>
      </c>
      <c r="O297" s="2403"/>
      <c r="P297" s="2402">
        <v>1254</v>
      </c>
      <c r="Q297" s="2400" t="s">
        <v>2674</v>
      </c>
      <c r="R297" s="2401" t="s">
        <v>2673</v>
      </c>
      <c r="S297" s="2399" t="s">
        <v>2672</v>
      </c>
      <c r="T297" s="8"/>
      <c r="U297" s="8"/>
      <c r="V297" s="8"/>
      <c r="W297" s="8"/>
      <c r="X297" s="8"/>
      <c r="Y297" s="8"/>
      <c r="Z297" s="8"/>
      <c r="AA297" s="8"/>
      <c r="AB297" s="8"/>
      <c r="AC297" s="8"/>
      <c r="AD297" s="8"/>
    </row>
    <row r="298" spans="1:30">
      <c r="A298" s="2402">
        <v>283</v>
      </c>
      <c r="B298" s="2400" t="s">
        <v>2671</v>
      </c>
      <c r="C298" s="2401" t="s">
        <v>2670</v>
      </c>
      <c r="D298" s="2399" t="s">
        <v>2669</v>
      </c>
      <c r="E298" s="2403"/>
      <c r="F298" s="2402">
        <v>607</v>
      </c>
      <c r="G298" s="2400" t="s">
        <v>2668</v>
      </c>
      <c r="H298" s="2401" t="s">
        <v>2667</v>
      </c>
      <c r="I298" s="2399" t="s">
        <v>2666</v>
      </c>
      <c r="J298" s="2403"/>
      <c r="K298" s="2402">
        <v>931</v>
      </c>
      <c r="L298" s="2400" t="s">
        <v>2665</v>
      </c>
      <c r="M298" s="2401" t="s">
        <v>2664</v>
      </c>
      <c r="N298" s="2399" t="s">
        <v>2663</v>
      </c>
      <c r="O298" s="2403"/>
      <c r="P298" s="2402">
        <v>1255</v>
      </c>
      <c r="Q298" s="2400" t="s">
        <v>2662</v>
      </c>
      <c r="R298" s="2401" t="s">
        <v>2661</v>
      </c>
      <c r="S298" s="2399" t="s">
        <v>2660</v>
      </c>
      <c r="T298" s="8"/>
      <c r="U298" s="8"/>
      <c r="V298" s="8"/>
      <c r="W298" s="8"/>
      <c r="X298" s="8"/>
      <c r="Y298" s="8"/>
      <c r="Z298" s="8"/>
      <c r="AA298" s="8"/>
      <c r="AB298" s="8"/>
      <c r="AC298" s="8"/>
      <c r="AD298" s="8"/>
    </row>
    <row r="299" spans="1:30">
      <c r="A299" s="2402">
        <v>284</v>
      </c>
      <c r="B299" s="2400" t="s">
        <v>2659</v>
      </c>
      <c r="C299" s="2401" t="s">
        <v>2658</v>
      </c>
      <c r="D299" s="2399" t="s">
        <v>2657</v>
      </c>
      <c r="E299" s="2403"/>
      <c r="F299" s="2402">
        <v>608</v>
      </c>
      <c r="G299" s="2400" t="s">
        <v>2656</v>
      </c>
      <c r="H299" s="2401" t="s">
        <v>2655</v>
      </c>
      <c r="I299" s="2399" t="s">
        <v>2654</v>
      </c>
      <c r="J299" s="2403"/>
      <c r="K299" s="2402">
        <v>932</v>
      </c>
      <c r="L299" s="2400" t="s">
        <v>2653</v>
      </c>
      <c r="M299" s="2401" t="s">
        <v>2652</v>
      </c>
      <c r="N299" s="2399" t="s">
        <v>2651</v>
      </c>
      <c r="O299" s="2403"/>
      <c r="P299" s="2402">
        <v>1256</v>
      </c>
      <c r="Q299" s="2400" t="s">
        <v>2650</v>
      </c>
      <c r="R299" s="2401" t="s">
        <v>2649</v>
      </c>
      <c r="S299" s="2399" t="s">
        <v>2648</v>
      </c>
      <c r="T299" s="8"/>
      <c r="U299" s="8"/>
      <c r="V299" s="8"/>
      <c r="W299" s="8"/>
      <c r="X299" s="8"/>
      <c r="Y299" s="8"/>
      <c r="Z299" s="8"/>
      <c r="AA299" s="8"/>
      <c r="AB299" s="8"/>
      <c r="AC299" s="8"/>
      <c r="AD299" s="8"/>
    </row>
    <row r="300" spans="1:30">
      <c r="A300" s="2402">
        <v>285</v>
      </c>
      <c r="B300" s="2400" t="s">
        <v>2647</v>
      </c>
      <c r="C300" s="2401" t="s">
        <v>2646</v>
      </c>
      <c r="D300" s="2399" t="s">
        <v>2645</v>
      </c>
      <c r="E300" s="2403"/>
      <c r="F300" s="2402">
        <v>609</v>
      </c>
      <c r="G300" s="2400" t="s">
        <v>2644</v>
      </c>
      <c r="H300" s="2401" t="s">
        <v>2643</v>
      </c>
      <c r="I300" s="2399" t="s">
        <v>2642</v>
      </c>
      <c r="J300" s="2403"/>
      <c r="K300" s="2402">
        <v>933</v>
      </c>
      <c r="L300" s="2400" t="s">
        <v>2641</v>
      </c>
      <c r="M300" s="2401" t="s">
        <v>2640</v>
      </c>
      <c r="N300" s="2399" t="s">
        <v>2639</v>
      </c>
      <c r="O300" s="2403"/>
      <c r="P300" s="2402">
        <v>1257</v>
      </c>
      <c r="Q300" s="2400" t="s">
        <v>2638</v>
      </c>
      <c r="R300" s="2401" t="s">
        <v>2637</v>
      </c>
      <c r="S300" s="2399" t="s">
        <v>2636</v>
      </c>
      <c r="T300" s="8"/>
      <c r="U300" s="8"/>
      <c r="V300" s="8"/>
      <c r="W300" s="8"/>
      <c r="X300" s="8"/>
      <c r="Y300" s="8"/>
      <c r="Z300" s="8"/>
      <c r="AA300" s="8"/>
      <c r="AB300" s="8"/>
      <c r="AC300" s="8"/>
      <c r="AD300" s="8"/>
    </row>
    <row r="301" spans="1:30">
      <c r="A301" s="2402">
        <v>286</v>
      </c>
      <c r="B301" s="2400" t="s">
        <v>2635</v>
      </c>
      <c r="C301" s="2401" t="s">
        <v>2634</v>
      </c>
      <c r="D301" s="2399" t="s">
        <v>2633</v>
      </c>
      <c r="E301" s="2403"/>
      <c r="F301" s="2402">
        <v>610</v>
      </c>
      <c r="G301" s="2400" t="s">
        <v>2632</v>
      </c>
      <c r="H301" s="2401" t="s">
        <v>2631</v>
      </c>
      <c r="I301" s="2399" t="s">
        <v>2630</v>
      </c>
      <c r="J301" s="2403"/>
      <c r="K301" s="2402">
        <v>934</v>
      </c>
      <c r="L301" s="2400" t="s">
        <v>2629</v>
      </c>
      <c r="M301" s="2401" t="s">
        <v>2628</v>
      </c>
      <c r="N301" s="2399" t="s">
        <v>2627</v>
      </c>
      <c r="O301" s="2403"/>
      <c r="P301" s="2402">
        <v>1258</v>
      </c>
      <c r="Q301" s="2400" t="s">
        <v>2626</v>
      </c>
      <c r="R301" s="2401" t="s">
        <v>2625</v>
      </c>
      <c r="S301" s="2399" t="s">
        <v>2624</v>
      </c>
      <c r="T301" s="8"/>
      <c r="U301" s="8"/>
      <c r="V301" s="8"/>
      <c r="W301" s="8"/>
      <c r="X301" s="8"/>
      <c r="Y301" s="8"/>
      <c r="Z301" s="8"/>
      <c r="AA301" s="8"/>
      <c r="AB301" s="8"/>
      <c r="AC301" s="8"/>
      <c r="AD301" s="8"/>
    </row>
    <row r="302" spans="1:30">
      <c r="A302" s="2402">
        <v>287</v>
      </c>
      <c r="B302" s="2400" t="s">
        <v>2623</v>
      </c>
      <c r="C302" s="2401" t="s">
        <v>2622</v>
      </c>
      <c r="D302" s="2399" t="s">
        <v>2621</v>
      </c>
      <c r="E302" s="2403"/>
      <c r="F302" s="2402">
        <v>611</v>
      </c>
      <c r="G302" s="2400" t="s">
        <v>2620</v>
      </c>
      <c r="H302" s="2401" t="s">
        <v>2619</v>
      </c>
      <c r="I302" s="2399" t="s">
        <v>2618</v>
      </c>
      <c r="J302" s="2403"/>
      <c r="K302" s="2402">
        <v>935</v>
      </c>
      <c r="L302" s="2400" t="s">
        <v>2617</v>
      </c>
      <c r="M302" s="2401" t="s">
        <v>2616</v>
      </c>
      <c r="N302" s="2399" t="s">
        <v>2615</v>
      </c>
      <c r="O302" s="2403"/>
      <c r="P302" s="2402">
        <v>1259</v>
      </c>
      <c r="Q302" s="2400" t="s">
        <v>2614</v>
      </c>
      <c r="R302" s="2401" t="s">
        <v>2613</v>
      </c>
      <c r="S302" s="2399" t="s">
        <v>2612</v>
      </c>
      <c r="T302" s="8"/>
      <c r="U302" s="8"/>
      <c r="V302" s="8"/>
      <c r="W302" s="8"/>
      <c r="X302" s="8"/>
      <c r="Y302" s="8"/>
      <c r="Z302" s="8"/>
      <c r="AA302" s="8"/>
      <c r="AB302" s="8"/>
      <c r="AC302" s="8"/>
      <c r="AD302" s="8"/>
    </row>
    <row r="303" spans="1:30">
      <c r="A303" s="2402">
        <v>288</v>
      </c>
      <c r="B303" s="2400" t="s">
        <v>2611</v>
      </c>
      <c r="C303" s="2401" t="s">
        <v>2610</v>
      </c>
      <c r="D303" s="2399" t="s">
        <v>2609</v>
      </c>
      <c r="E303" s="2403"/>
      <c r="F303" s="2402">
        <v>612</v>
      </c>
      <c r="G303" s="2400" t="s">
        <v>2608</v>
      </c>
      <c r="H303" s="2401" t="s">
        <v>2607</v>
      </c>
      <c r="I303" s="2399" t="s">
        <v>2606</v>
      </c>
      <c r="J303" s="2403"/>
      <c r="K303" s="2402">
        <v>936</v>
      </c>
      <c r="L303" s="2400" t="s">
        <v>2605</v>
      </c>
      <c r="M303" s="2401" t="s">
        <v>2604</v>
      </c>
      <c r="N303" s="2399" t="s">
        <v>2603</v>
      </c>
      <c r="O303" s="2403"/>
      <c r="P303" s="2402">
        <v>1260</v>
      </c>
      <c r="Q303" s="2400" t="s">
        <v>2602</v>
      </c>
      <c r="R303" s="2401" t="s">
        <v>2601</v>
      </c>
      <c r="S303" s="2399" t="s">
        <v>2600</v>
      </c>
      <c r="T303" s="8"/>
      <c r="U303" s="8"/>
      <c r="V303" s="8"/>
      <c r="W303" s="8"/>
      <c r="X303" s="8"/>
      <c r="Y303" s="8"/>
      <c r="Z303" s="8"/>
      <c r="AA303" s="8"/>
      <c r="AB303" s="8"/>
      <c r="AC303" s="8"/>
      <c r="AD303" s="8"/>
    </row>
    <row r="304" spans="1:30">
      <c r="A304" s="2402">
        <v>289</v>
      </c>
      <c r="B304" s="2400" t="s">
        <v>2599</v>
      </c>
      <c r="C304" s="2401" t="s">
        <v>2598</v>
      </c>
      <c r="D304" s="2399" t="s">
        <v>2597</v>
      </c>
      <c r="E304" s="2403"/>
      <c r="F304" s="2402">
        <v>613</v>
      </c>
      <c r="G304" s="2400" t="s">
        <v>2596</v>
      </c>
      <c r="H304" s="2401" t="s">
        <v>2595</v>
      </c>
      <c r="I304" s="2399" t="s">
        <v>2594</v>
      </c>
      <c r="J304" s="2403"/>
      <c r="K304" s="2402">
        <v>937</v>
      </c>
      <c r="L304" s="2400" t="s">
        <v>2593</v>
      </c>
      <c r="M304" s="2401" t="s">
        <v>2592</v>
      </c>
      <c r="N304" s="2399" t="s">
        <v>2591</v>
      </c>
      <c r="O304" s="2403"/>
      <c r="P304" s="2402">
        <v>1261</v>
      </c>
      <c r="Q304" s="2400" t="s">
        <v>2590</v>
      </c>
      <c r="R304" s="2401" t="s">
        <v>2589</v>
      </c>
      <c r="S304" s="2399" t="s">
        <v>2588</v>
      </c>
      <c r="T304" s="8"/>
      <c r="U304" s="8"/>
      <c r="V304" s="8"/>
      <c r="W304" s="8"/>
      <c r="X304" s="8"/>
      <c r="Y304" s="8"/>
      <c r="Z304" s="8"/>
      <c r="AA304" s="8"/>
      <c r="AB304" s="8"/>
      <c r="AC304" s="8"/>
      <c r="AD304" s="8"/>
    </row>
    <row r="305" spans="1:30">
      <c r="A305" s="2402">
        <v>290</v>
      </c>
      <c r="B305" s="2400" t="s">
        <v>2587</v>
      </c>
      <c r="C305" s="2401" t="s">
        <v>2586</v>
      </c>
      <c r="D305" s="2399" t="s">
        <v>2585</v>
      </c>
      <c r="E305" s="2403"/>
      <c r="F305" s="2402">
        <v>614</v>
      </c>
      <c r="G305" s="2400" t="s">
        <v>2584</v>
      </c>
      <c r="H305" s="2401" t="s">
        <v>2583</v>
      </c>
      <c r="I305" s="2399" t="s">
        <v>2582</v>
      </c>
      <c r="J305" s="2403"/>
      <c r="K305" s="2402">
        <v>938</v>
      </c>
      <c r="L305" s="2400" t="s">
        <v>2581</v>
      </c>
      <c r="M305" s="2401" t="s">
        <v>2580</v>
      </c>
      <c r="N305" s="2399" t="s">
        <v>2579</v>
      </c>
      <c r="O305" s="2403"/>
      <c r="P305" s="2402">
        <v>1262</v>
      </c>
      <c r="Q305" s="2400" t="s">
        <v>2578</v>
      </c>
      <c r="R305" s="2401" t="s">
        <v>2577</v>
      </c>
      <c r="S305" s="2399" t="s">
        <v>2576</v>
      </c>
      <c r="T305" s="8"/>
      <c r="U305" s="8"/>
      <c r="V305" s="8"/>
      <c r="W305" s="8"/>
      <c r="X305" s="8"/>
      <c r="Y305" s="8"/>
      <c r="Z305" s="8"/>
      <c r="AA305" s="8"/>
      <c r="AB305" s="8"/>
      <c r="AC305" s="8"/>
      <c r="AD305" s="8"/>
    </row>
    <row r="306" spans="1:30">
      <c r="A306" s="2402">
        <v>291</v>
      </c>
      <c r="B306" s="2400" t="s">
        <v>2575</v>
      </c>
      <c r="C306" s="2401" t="s">
        <v>2574</v>
      </c>
      <c r="D306" s="2399" t="s">
        <v>2573</v>
      </c>
      <c r="E306" s="2403"/>
      <c r="F306" s="2402">
        <v>615</v>
      </c>
      <c r="G306" s="2400" t="s">
        <v>2572</v>
      </c>
      <c r="H306" s="2401" t="s">
        <v>2571</v>
      </c>
      <c r="I306" s="2399" t="s">
        <v>2570</v>
      </c>
      <c r="J306" s="2403"/>
      <c r="K306" s="2402">
        <v>939</v>
      </c>
      <c r="L306" s="2400" t="s">
        <v>2569</v>
      </c>
      <c r="M306" s="2401" t="s">
        <v>2568</v>
      </c>
      <c r="N306" s="2399" t="s">
        <v>2567</v>
      </c>
      <c r="O306" s="2403"/>
      <c r="P306" s="2402">
        <v>1263</v>
      </c>
      <c r="Q306" s="2400" t="s">
        <v>2566</v>
      </c>
      <c r="R306" s="2401" t="s">
        <v>2565</v>
      </c>
      <c r="S306" s="2399" t="s">
        <v>2553</v>
      </c>
      <c r="T306" s="8"/>
      <c r="U306" s="8"/>
      <c r="V306" s="8"/>
      <c r="W306" s="8"/>
      <c r="X306" s="8"/>
      <c r="Y306" s="8"/>
      <c r="Z306" s="8"/>
      <c r="AA306" s="8"/>
      <c r="AB306" s="8"/>
      <c r="AC306" s="8"/>
      <c r="AD306" s="8"/>
    </row>
    <row r="307" spans="1:30">
      <c r="A307" s="2402">
        <v>292</v>
      </c>
      <c r="B307" s="2400" t="s">
        <v>2564</v>
      </c>
      <c r="C307" s="2401" t="s">
        <v>2563</v>
      </c>
      <c r="D307" s="2399" t="s">
        <v>2562</v>
      </c>
      <c r="E307" s="2403"/>
      <c r="F307" s="2402">
        <v>616</v>
      </c>
      <c r="G307" s="2400" t="s">
        <v>2561</v>
      </c>
      <c r="H307" s="2401" t="s">
        <v>2560</v>
      </c>
      <c r="I307" s="2399" t="s">
        <v>2559</v>
      </c>
      <c r="J307" s="2403"/>
      <c r="K307" s="2402">
        <v>940</v>
      </c>
      <c r="L307" s="2400" t="s">
        <v>2558</v>
      </c>
      <c r="M307" s="2401" t="s">
        <v>2557</v>
      </c>
      <c r="N307" s="2399" t="s">
        <v>2556</v>
      </c>
      <c r="O307" s="2403"/>
      <c r="P307" s="2402">
        <v>1264</v>
      </c>
      <c r="Q307" s="2400" t="s">
        <v>2555</v>
      </c>
      <c r="R307" s="2401" t="s">
        <v>2554</v>
      </c>
      <c r="S307" s="2399" t="s">
        <v>2553</v>
      </c>
      <c r="T307" s="8"/>
      <c r="U307" s="8"/>
      <c r="V307" s="8"/>
      <c r="W307" s="8"/>
      <c r="X307" s="8"/>
      <c r="Y307" s="8"/>
      <c r="Z307" s="8"/>
      <c r="AA307" s="8"/>
      <c r="AB307" s="8"/>
      <c r="AC307" s="8"/>
      <c r="AD307" s="8"/>
    </row>
    <row r="308" spans="1:30">
      <c r="A308" s="2402">
        <v>293</v>
      </c>
      <c r="B308" s="2400" t="s">
        <v>2552</v>
      </c>
      <c r="C308" s="2401" t="s">
        <v>2551</v>
      </c>
      <c r="D308" s="2399" t="s">
        <v>2550</v>
      </c>
      <c r="E308" s="2403"/>
      <c r="F308" s="2402">
        <v>617</v>
      </c>
      <c r="G308" s="2400" t="s">
        <v>2549</v>
      </c>
      <c r="H308" s="2401" t="s">
        <v>2548</v>
      </c>
      <c r="I308" s="2399" t="s">
        <v>2547</v>
      </c>
      <c r="J308" s="2403"/>
      <c r="K308" s="2402">
        <v>941</v>
      </c>
      <c r="L308" s="2400" t="s">
        <v>2546</v>
      </c>
      <c r="M308" s="2401" t="s">
        <v>2545</v>
      </c>
      <c r="N308" s="2399" t="s">
        <v>2544</v>
      </c>
      <c r="O308" s="2403"/>
      <c r="P308" s="2402">
        <v>1265</v>
      </c>
      <c r="Q308" s="2400" t="s">
        <v>2543</v>
      </c>
      <c r="R308" s="2401" t="s">
        <v>2542</v>
      </c>
      <c r="S308" s="2399" t="s">
        <v>2541</v>
      </c>
      <c r="T308" s="8"/>
      <c r="U308" s="8"/>
      <c r="V308" s="8"/>
      <c r="W308" s="8"/>
      <c r="X308" s="8"/>
      <c r="Y308" s="8"/>
      <c r="Z308" s="8"/>
      <c r="AA308" s="8"/>
      <c r="AB308" s="8"/>
      <c r="AC308" s="8"/>
      <c r="AD308" s="8"/>
    </row>
    <row r="309" spans="1:30">
      <c r="A309" s="2402">
        <v>294</v>
      </c>
      <c r="B309" s="2400" t="s">
        <v>2540</v>
      </c>
      <c r="C309" s="2401" t="s">
        <v>2539</v>
      </c>
      <c r="D309" s="2399" t="s">
        <v>2538</v>
      </c>
      <c r="E309" s="2403"/>
      <c r="F309" s="2402">
        <v>618</v>
      </c>
      <c r="G309" s="2400" t="s">
        <v>2537</v>
      </c>
      <c r="H309" s="2401" t="s">
        <v>2536</v>
      </c>
      <c r="I309" s="2399" t="s">
        <v>2535</v>
      </c>
      <c r="J309" s="2403"/>
      <c r="K309" s="2402">
        <v>942</v>
      </c>
      <c r="L309" s="2400" t="s">
        <v>2534</v>
      </c>
      <c r="M309" s="2401" t="s">
        <v>2533</v>
      </c>
      <c r="N309" s="2399" t="s">
        <v>2532</v>
      </c>
      <c r="O309" s="2403"/>
      <c r="P309" s="2402">
        <v>1266</v>
      </c>
      <c r="Q309" s="2400" t="s">
        <v>2531</v>
      </c>
      <c r="R309" s="2401" t="s">
        <v>2530</v>
      </c>
      <c r="S309" s="2399" t="s">
        <v>2529</v>
      </c>
      <c r="T309" s="8"/>
      <c r="U309" s="8"/>
      <c r="V309" s="8"/>
      <c r="W309" s="8"/>
      <c r="X309" s="8"/>
      <c r="Y309" s="8"/>
      <c r="Z309" s="8"/>
      <c r="AA309" s="8"/>
      <c r="AB309" s="8"/>
      <c r="AC309" s="8"/>
      <c r="AD309" s="8"/>
    </row>
    <row r="310" spans="1:30">
      <c r="A310" s="2402">
        <v>295</v>
      </c>
      <c r="B310" s="2400" t="s">
        <v>2528</v>
      </c>
      <c r="C310" s="2401" t="s">
        <v>2527</v>
      </c>
      <c r="D310" s="2399" t="s">
        <v>2526</v>
      </c>
      <c r="E310" s="2403"/>
      <c r="F310" s="2402">
        <v>619</v>
      </c>
      <c r="G310" s="2400" t="s">
        <v>2525</v>
      </c>
      <c r="H310" s="2401" t="s">
        <v>2524</v>
      </c>
      <c r="I310" s="2399" t="s">
        <v>2523</v>
      </c>
      <c r="J310" s="2403"/>
      <c r="K310" s="2402">
        <v>943</v>
      </c>
      <c r="L310" s="2400" t="s">
        <v>2522</v>
      </c>
      <c r="M310" s="2401" t="s">
        <v>2521</v>
      </c>
      <c r="N310" s="2399" t="s">
        <v>2520</v>
      </c>
      <c r="O310" s="2403"/>
      <c r="P310" s="2402">
        <v>1267</v>
      </c>
      <c r="Q310" s="2400" t="s">
        <v>2519</v>
      </c>
      <c r="R310" s="2401" t="s">
        <v>2518</v>
      </c>
      <c r="S310" s="2399" t="s">
        <v>2517</v>
      </c>
      <c r="T310" s="8"/>
      <c r="U310" s="8"/>
      <c r="V310" s="8"/>
      <c r="W310" s="8"/>
      <c r="X310" s="8"/>
      <c r="Y310" s="8"/>
      <c r="Z310" s="8"/>
      <c r="AA310" s="8"/>
      <c r="AB310" s="8"/>
      <c r="AC310" s="8"/>
      <c r="AD310" s="8"/>
    </row>
    <row r="311" spans="1:30">
      <c r="A311" s="2402">
        <v>296</v>
      </c>
      <c r="B311" s="2400" t="s">
        <v>2516</v>
      </c>
      <c r="C311" s="2401" t="s">
        <v>2515</v>
      </c>
      <c r="D311" s="2399" t="s">
        <v>2514</v>
      </c>
      <c r="E311" s="2403"/>
      <c r="F311" s="2402">
        <v>620</v>
      </c>
      <c r="G311" s="2400" t="s">
        <v>2513</v>
      </c>
      <c r="H311" s="2401" t="s">
        <v>2512</v>
      </c>
      <c r="I311" s="2399" t="s">
        <v>2511</v>
      </c>
      <c r="J311" s="2403"/>
      <c r="K311" s="2402">
        <v>944</v>
      </c>
      <c r="L311" s="2400" t="s">
        <v>2510</v>
      </c>
      <c r="M311" s="2401" t="s">
        <v>2509</v>
      </c>
      <c r="N311" s="2399" t="s">
        <v>2508</v>
      </c>
      <c r="O311" s="2403"/>
      <c r="P311" s="2402">
        <v>1268</v>
      </c>
      <c r="Q311" s="2400" t="s">
        <v>2507</v>
      </c>
      <c r="R311" s="2401" t="s">
        <v>2506</v>
      </c>
      <c r="S311" s="2399" t="s">
        <v>2505</v>
      </c>
      <c r="T311" s="8"/>
      <c r="U311" s="8"/>
      <c r="V311" s="8"/>
      <c r="W311" s="8"/>
      <c r="X311" s="8"/>
      <c r="Y311" s="8"/>
      <c r="Z311" s="8"/>
      <c r="AA311" s="8"/>
      <c r="AB311" s="8"/>
      <c r="AC311" s="8"/>
      <c r="AD311" s="8"/>
    </row>
    <row r="312" spans="1:30">
      <c r="A312" s="2402">
        <v>297</v>
      </c>
      <c r="B312" s="2400" t="s">
        <v>2504</v>
      </c>
      <c r="C312" s="2401" t="s">
        <v>2503</v>
      </c>
      <c r="D312" s="2399" t="s">
        <v>2502</v>
      </c>
      <c r="E312" s="2403"/>
      <c r="F312" s="2402">
        <v>621</v>
      </c>
      <c r="G312" s="2400" t="s">
        <v>2501</v>
      </c>
      <c r="H312" s="2401" t="s">
        <v>2500</v>
      </c>
      <c r="I312" s="2399" t="s">
        <v>2499</v>
      </c>
      <c r="J312" s="2403"/>
      <c r="K312" s="2402">
        <v>945</v>
      </c>
      <c r="L312" s="2400" t="s">
        <v>2498</v>
      </c>
      <c r="M312" s="2401" t="s">
        <v>2497</v>
      </c>
      <c r="N312" s="2399" t="s">
        <v>2496</v>
      </c>
      <c r="O312" s="2403"/>
      <c r="P312" s="2402">
        <v>1269</v>
      </c>
      <c r="Q312" s="2400" t="s">
        <v>2495</v>
      </c>
      <c r="R312" s="2401" t="s">
        <v>2494</v>
      </c>
      <c r="S312" s="2399" t="s">
        <v>2493</v>
      </c>
      <c r="T312" s="8"/>
      <c r="U312" s="8"/>
      <c r="V312" s="8"/>
      <c r="W312" s="8"/>
      <c r="X312" s="8"/>
      <c r="Y312" s="8"/>
      <c r="Z312" s="8"/>
      <c r="AA312" s="8"/>
      <c r="AB312" s="8"/>
      <c r="AC312" s="8"/>
      <c r="AD312" s="8"/>
    </row>
    <row r="313" spans="1:30">
      <c r="A313" s="2402">
        <v>298</v>
      </c>
      <c r="B313" s="2400" t="s">
        <v>2492</v>
      </c>
      <c r="C313" s="2401" t="s">
        <v>2491</v>
      </c>
      <c r="D313" s="2399" t="s">
        <v>2490</v>
      </c>
      <c r="E313" s="2403"/>
      <c r="F313" s="2402">
        <v>622</v>
      </c>
      <c r="G313" s="2400" t="s">
        <v>2489</v>
      </c>
      <c r="H313" s="2401" t="s">
        <v>2488</v>
      </c>
      <c r="I313" s="2399" t="s">
        <v>2487</v>
      </c>
      <c r="J313" s="2403"/>
      <c r="K313" s="2402">
        <v>946</v>
      </c>
      <c r="L313" s="2400" t="s">
        <v>2486</v>
      </c>
      <c r="M313" s="2401" t="s">
        <v>2485</v>
      </c>
      <c r="N313" s="2399" t="s">
        <v>2484</v>
      </c>
      <c r="O313" s="2403"/>
      <c r="P313" s="2402">
        <v>1270</v>
      </c>
      <c r="Q313" s="2400" t="s">
        <v>2483</v>
      </c>
      <c r="R313" s="2401" t="s">
        <v>2482</v>
      </c>
      <c r="S313" s="2399" t="s">
        <v>2481</v>
      </c>
      <c r="T313" s="8"/>
      <c r="U313" s="8"/>
      <c r="V313" s="8"/>
      <c r="W313" s="8"/>
      <c r="X313" s="8"/>
      <c r="Y313" s="8"/>
      <c r="Z313" s="8"/>
      <c r="AA313" s="8"/>
      <c r="AB313" s="8"/>
      <c r="AC313" s="8"/>
      <c r="AD313" s="8"/>
    </row>
    <row r="314" spans="1:30">
      <c r="A314" s="2402">
        <v>299</v>
      </c>
      <c r="B314" s="2400" t="s">
        <v>2480</v>
      </c>
      <c r="C314" s="2401" t="s">
        <v>2479</v>
      </c>
      <c r="D314" s="2399" t="s">
        <v>2478</v>
      </c>
      <c r="E314" s="2403"/>
      <c r="F314" s="2402">
        <v>623</v>
      </c>
      <c r="G314" s="2400" t="s">
        <v>2477</v>
      </c>
      <c r="H314" s="2401" t="s">
        <v>2476</v>
      </c>
      <c r="I314" s="2399" t="s">
        <v>2475</v>
      </c>
      <c r="J314" s="2403"/>
      <c r="K314" s="2402">
        <v>947</v>
      </c>
      <c r="L314" s="2400" t="s">
        <v>2474</v>
      </c>
      <c r="M314" s="2401" t="s">
        <v>2473</v>
      </c>
      <c r="N314" s="2399" t="s">
        <v>2472</v>
      </c>
      <c r="O314" s="2403"/>
      <c r="P314" s="2402">
        <v>1271</v>
      </c>
      <c r="Q314" s="2400" t="s">
        <v>2471</v>
      </c>
      <c r="R314" s="2401" t="s">
        <v>2470</v>
      </c>
      <c r="S314" s="2399" t="s">
        <v>2469</v>
      </c>
      <c r="T314" s="8"/>
      <c r="U314" s="8"/>
      <c r="V314" s="8"/>
      <c r="W314" s="8"/>
      <c r="X314" s="8"/>
      <c r="Y314" s="8"/>
      <c r="Z314" s="8"/>
      <c r="AA314" s="8"/>
      <c r="AB314" s="8"/>
      <c r="AC314" s="8"/>
      <c r="AD314" s="8"/>
    </row>
    <row r="315" spans="1:30">
      <c r="A315" s="2402">
        <v>300</v>
      </c>
      <c r="B315" s="2400" t="s">
        <v>2468</v>
      </c>
      <c r="C315" s="2401" t="s">
        <v>2467</v>
      </c>
      <c r="D315" s="2399" t="s">
        <v>2466</v>
      </c>
      <c r="E315" s="2403"/>
      <c r="F315" s="2402">
        <v>624</v>
      </c>
      <c r="G315" s="2400" t="s">
        <v>2465</v>
      </c>
      <c r="H315" s="2401" t="s">
        <v>2464</v>
      </c>
      <c r="I315" s="2399" t="s">
        <v>2463</v>
      </c>
      <c r="J315" s="2403"/>
      <c r="K315" s="2402">
        <v>948</v>
      </c>
      <c r="L315" s="2400" t="s">
        <v>2462</v>
      </c>
      <c r="M315" s="2401" t="s">
        <v>2461</v>
      </c>
      <c r="N315" s="2399" t="s">
        <v>2460</v>
      </c>
      <c r="O315" s="2403"/>
      <c r="P315" s="2402">
        <v>1272</v>
      </c>
      <c r="Q315" s="2400" t="s">
        <v>2459</v>
      </c>
      <c r="R315" s="2401" t="s">
        <v>2458</v>
      </c>
      <c r="S315" s="2399" t="s">
        <v>2457</v>
      </c>
      <c r="T315" s="8"/>
      <c r="U315" s="8"/>
      <c r="V315" s="8"/>
      <c r="W315" s="8"/>
      <c r="X315" s="8"/>
      <c r="Y315" s="8"/>
      <c r="Z315" s="8"/>
      <c r="AA315" s="8"/>
      <c r="AB315" s="8"/>
      <c r="AC315" s="8"/>
      <c r="AD315" s="8"/>
    </row>
    <row r="316" spans="1:30">
      <c r="A316" s="2402">
        <v>301</v>
      </c>
      <c r="B316" s="2400" t="s">
        <v>2456</v>
      </c>
      <c r="C316" s="2401" t="s">
        <v>2455</v>
      </c>
      <c r="D316" s="2399" t="s">
        <v>2454</v>
      </c>
      <c r="E316" s="2403"/>
      <c r="F316" s="2402">
        <v>625</v>
      </c>
      <c r="G316" s="2400" t="s">
        <v>2453</v>
      </c>
      <c r="H316" s="2401" t="s">
        <v>2452</v>
      </c>
      <c r="I316" s="2399" t="s">
        <v>2451</v>
      </c>
      <c r="J316" s="2403"/>
      <c r="K316" s="2402">
        <v>949</v>
      </c>
      <c r="L316" s="2400" t="s">
        <v>2450</v>
      </c>
      <c r="M316" s="2401" t="s">
        <v>2449</v>
      </c>
      <c r="N316" s="2399" t="s">
        <v>2448</v>
      </c>
      <c r="O316" s="2403"/>
      <c r="P316" s="2402">
        <v>1273</v>
      </c>
      <c r="Q316" s="2400" t="s">
        <v>2447</v>
      </c>
      <c r="R316" s="2401" t="s">
        <v>2446</v>
      </c>
      <c r="S316" s="2399" t="s">
        <v>2445</v>
      </c>
      <c r="T316" s="8"/>
      <c r="U316" s="8"/>
      <c r="V316" s="8"/>
      <c r="W316" s="8"/>
      <c r="X316" s="8"/>
      <c r="Y316" s="8"/>
      <c r="Z316" s="8"/>
      <c r="AA316" s="8"/>
      <c r="AB316" s="8"/>
      <c r="AC316" s="8"/>
      <c r="AD316" s="8"/>
    </row>
    <row r="317" spans="1:30">
      <c r="A317" s="2402">
        <v>302</v>
      </c>
      <c r="B317" s="2400" t="s">
        <v>2444</v>
      </c>
      <c r="C317" s="2401" t="s">
        <v>2443</v>
      </c>
      <c r="D317" s="2399" t="s">
        <v>2442</v>
      </c>
      <c r="E317" s="2403"/>
      <c r="F317" s="2402">
        <v>626</v>
      </c>
      <c r="G317" s="2400" t="s">
        <v>2441</v>
      </c>
      <c r="H317" s="2401" t="s">
        <v>2440</v>
      </c>
      <c r="I317" s="2399" t="s">
        <v>2439</v>
      </c>
      <c r="J317" s="2403"/>
      <c r="K317" s="2402">
        <v>950</v>
      </c>
      <c r="L317" s="2400" t="s">
        <v>2438</v>
      </c>
      <c r="M317" s="2401" t="s">
        <v>2437</v>
      </c>
      <c r="N317" s="2399" t="s">
        <v>2436</v>
      </c>
      <c r="O317" s="2403"/>
      <c r="P317" s="2402">
        <v>1274</v>
      </c>
      <c r="Q317" s="2400" t="s">
        <v>2435</v>
      </c>
      <c r="R317" s="2401" t="s">
        <v>2434</v>
      </c>
      <c r="S317" s="2399" t="s">
        <v>2433</v>
      </c>
      <c r="T317" s="8"/>
      <c r="U317" s="8"/>
      <c r="V317" s="8"/>
      <c r="W317" s="8"/>
      <c r="X317" s="8"/>
      <c r="Y317" s="8"/>
      <c r="Z317" s="8"/>
      <c r="AA317" s="8"/>
      <c r="AB317" s="8"/>
      <c r="AC317" s="8"/>
      <c r="AD317" s="8"/>
    </row>
    <row r="318" spans="1:30">
      <c r="A318" s="2402">
        <v>303</v>
      </c>
      <c r="B318" s="2400" t="s">
        <v>2432</v>
      </c>
      <c r="C318" s="2401" t="s">
        <v>2431</v>
      </c>
      <c r="D318" s="2399" t="s">
        <v>2430</v>
      </c>
      <c r="E318" s="2403"/>
      <c r="F318" s="2402">
        <v>627</v>
      </c>
      <c r="G318" s="2400" t="s">
        <v>2429</v>
      </c>
      <c r="H318" s="2401" t="s">
        <v>2428</v>
      </c>
      <c r="I318" s="2399" t="s">
        <v>2427</v>
      </c>
      <c r="J318" s="2403"/>
      <c r="K318" s="2402">
        <v>951</v>
      </c>
      <c r="L318" s="2400" t="s">
        <v>2426</v>
      </c>
      <c r="M318" s="2401" t="s">
        <v>2425</v>
      </c>
      <c r="N318" s="2399" t="s">
        <v>2424</v>
      </c>
      <c r="O318" s="2403"/>
      <c r="P318" s="2402">
        <v>1275</v>
      </c>
      <c r="Q318" s="2400" t="s">
        <v>2423</v>
      </c>
      <c r="R318" s="2401" t="s">
        <v>2422</v>
      </c>
      <c r="S318" s="2399" t="s">
        <v>2421</v>
      </c>
      <c r="T318" s="8"/>
      <c r="U318" s="8"/>
      <c r="V318" s="8"/>
      <c r="W318" s="8"/>
      <c r="X318" s="8"/>
      <c r="Y318" s="8"/>
      <c r="Z318" s="8"/>
      <c r="AA318" s="8"/>
      <c r="AB318" s="8"/>
      <c r="AC318" s="8"/>
      <c r="AD318" s="8"/>
    </row>
    <row r="319" spans="1:30">
      <c r="A319" s="2402">
        <v>304</v>
      </c>
      <c r="B319" s="2400" t="s">
        <v>2420</v>
      </c>
      <c r="C319" s="2401" t="s">
        <v>2419</v>
      </c>
      <c r="D319" s="2399" t="s">
        <v>2418</v>
      </c>
      <c r="E319" s="2403"/>
      <c r="F319" s="2402">
        <v>628</v>
      </c>
      <c r="G319" s="2400" t="s">
        <v>2417</v>
      </c>
      <c r="H319" s="2401" t="s">
        <v>2416</v>
      </c>
      <c r="I319" s="2399" t="s">
        <v>2415</v>
      </c>
      <c r="J319" s="2403"/>
      <c r="K319" s="2402">
        <v>952</v>
      </c>
      <c r="L319" s="2400" t="s">
        <v>2414</v>
      </c>
      <c r="M319" s="2401" t="s">
        <v>2413</v>
      </c>
      <c r="N319" s="2399" t="s">
        <v>2412</v>
      </c>
      <c r="O319" s="2403"/>
      <c r="P319" s="2402">
        <v>1276</v>
      </c>
      <c r="Q319" s="2400" t="s">
        <v>2411</v>
      </c>
      <c r="R319" s="2401" t="s">
        <v>2410</v>
      </c>
      <c r="S319" s="2399" t="s">
        <v>2409</v>
      </c>
      <c r="T319" s="8"/>
      <c r="U319" s="8"/>
      <c r="V319" s="8"/>
      <c r="W319" s="8"/>
      <c r="X319" s="8"/>
      <c r="Y319" s="8"/>
      <c r="Z319" s="8"/>
      <c r="AA319" s="8"/>
      <c r="AB319" s="8"/>
      <c r="AC319" s="8"/>
      <c r="AD319" s="8"/>
    </row>
    <row r="320" spans="1:30">
      <c r="A320" s="2402">
        <v>305</v>
      </c>
      <c r="B320" s="2400" t="s">
        <v>2408</v>
      </c>
      <c r="C320" s="2401" t="s">
        <v>2407</v>
      </c>
      <c r="D320" s="2399" t="s">
        <v>2406</v>
      </c>
      <c r="E320" s="2403"/>
      <c r="F320" s="2402">
        <v>629</v>
      </c>
      <c r="G320" s="2400" t="s">
        <v>2405</v>
      </c>
      <c r="H320" s="2401" t="s">
        <v>2404</v>
      </c>
      <c r="I320" s="2399" t="s">
        <v>2403</v>
      </c>
      <c r="J320" s="2403"/>
      <c r="K320" s="2402">
        <v>953</v>
      </c>
      <c r="L320" s="2400" t="s">
        <v>2402</v>
      </c>
      <c r="M320" s="2401" t="s">
        <v>2401</v>
      </c>
      <c r="N320" s="2399" t="s">
        <v>2400</v>
      </c>
      <c r="O320" s="2403"/>
      <c r="P320" s="2402">
        <v>1277</v>
      </c>
      <c r="Q320" s="2400" t="s">
        <v>2399</v>
      </c>
      <c r="R320" s="2401" t="s">
        <v>2398</v>
      </c>
      <c r="S320" s="2399" t="s">
        <v>2397</v>
      </c>
      <c r="T320" s="8"/>
      <c r="U320" s="8"/>
      <c r="V320" s="8"/>
      <c r="W320" s="8"/>
      <c r="X320" s="8"/>
      <c r="Y320" s="8"/>
      <c r="Z320" s="8"/>
      <c r="AA320" s="8"/>
      <c r="AB320" s="8"/>
      <c r="AC320" s="8"/>
      <c r="AD320" s="8"/>
    </row>
    <row r="321" spans="1:30">
      <c r="A321" s="2402">
        <v>306</v>
      </c>
      <c r="B321" s="2400" t="s">
        <v>2396</v>
      </c>
      <c r="C321" s="2401" t="s">
        <v>2395</v>
      </c>
      <c r="D321" s="2399" t="s">
        <v>2394</v>
      </c>
      <c r="E321" s="2403"/>
      <c r="F321" s="2402">
        <v>630</v>
      </c>
      <c r="G321" s="2400" t="s">
        <v>2393</v>
      </c>
      <c r="H321" s="2401" t="s">
        <v>2392</v>
      </c>
      <c r="I321" s="2399" t="s">
        <v>2391</v>
      </c>
      <c r="J321" s="2403"/>
      <c r="K321" s="2402">
        <v>954</v>
      </c>
      <c r="L321" s="2400" t="s">
        <v>2390</v>
      </c>
      <c r="M321" s="2401" t="s">
        <v>2389</v>
      </c>
      <c r="N321" s="2399" t="s">
        <v>2388</v>
      </c>
      <c r="O321" s="2403"/>
      <c r="P321" s="2402">
        <v>1278</v>
      </c>
      <c r="Q321" s="2400" t="s">
        <v>2387</v>
      </c>
      <c r="R321" s="2401" t="s">
        <v>2386</v>
      </c>
      <c r="S321" s="2399" t="s">
        <v>2385</v>
      </c>
      <c r="T321" s="8"/>
      <c r="U321" s="8"/>
      <c r="V321" s="8"/>
      <c r="W321" s="8"/>
      <c r="X321" s="8"/>
      <c r="Y321" s="8"/>
      <c r="Z321" s="8"/>
      <c r="AA321" s="8"/>
      <c r="AB321" s="8"/>
      <c r="AC321" s="8"/>
      <c r="AD321" s="8"/>
    </row>
    <row r="322" spans="1:30">
      <c r="A322" s="2402">
        <v>307</v>
      </c>
      <c r="B322" s="2400" t="s">
        <v>2384</v>
      </c>
      <c r="C322" s="2401" t="s">
        <v>2383</v>
      </c>
      <c r="D322" s="2399" t="s">
        <v>2382</v>
      </c>
      <c r="E322" s="2403"/>
      <c r="F322" s="2402">
        <v>631</v>
      </c>
      <c r="G322" s="2400" t="s">
        <v>2381</v>
      </c>
      <c r="H322" s="2401" t="s">
        <v>2380</v>
      </c>
      <c r="I322" s="2399" t="s">
        <v>2379</v>
      </c>
      <c r="J322" s="2403"/>
      <c r="K322" s="2402">
        <v>955</v>
      </c>
      <c r="L322" s="2400" t="s">
        <v>2378</v>
      </c>
      <c r="M322" s="2401" t="s">
        <v>2377</v>
      </c>
      <c r="N322" s="2399" t="s">
        <v>2376</v>
      </c>
      <c r="O322" s="2403"/>
      <c r="P322" s="2402">
        <v>1279</v>
      </c>
      <c r="Q322" s="2400" t="s">
        <v>2375</v>
      </c>
      <c r="R322" s="2401" t="s">
        <v>2374</v>
      </c>
      <c r="S322" s="2399" t="s">
        <v>2373</v>
      </c>
      <c r="T322" s="8"/>
      <c r="U322" s="8"/>
      <c r="V322" s="8"/>
      <c r="W322" s="8"/>
      <c r="X322" s="8"/>
      <c r="Y322" s="8"/>
      <c r="Z322" s="8"/>
      <c r="AA322" s="8"/>
      <c r="AB322" s="8"/>
      <c r="AC322" s="8"/>
      <c r="AD322" s="8"/>
    </row>
    <row r="323" spans="1:30">
      <c r="A323" s="2402">
        <v>308</v>
      </c>
      <c r="B323" s="2400" t="s">
        <v>2372</v>
      </c>
      <c r="C323" s="2401" t="s">
        <v>2371</v>
      </c>
      <c r="D323" s="2399" t="s">
        <v>2370</v>
      </c>
      <c r="E323" s="2403"/>
      <c r="F323" s="2402">
        <v>632</v>
      </c>
      <c r="G323" s="2400" t="s">
        <v>2369</v>
      </c>
      <c r="H323" s="2401" t="s">
        <v>2368</v>
      </c>
      <c r="I323" s="2399" t="s">
        <v>2367</v>
      </c>
      <c r="J323" s="2403"/>
      <c r="K323" s="2402">
        <v>956</v>
      </c>
      <c r="L323" s="2400" t="s">
        <v>2366</v>
      </c>
      <c r="M323" s="2401" t="s">
        <v>2365</v>
      </c>
      <c r="N323" s="2399" t="s">
        <v>2364</v>
      </c>
      <c r="O323" s="2403"/>
      <c r="P323" s="2402">
        <v>1280</v>
      </c>
      <c r="Q323" s="2400" t="s">
        <v>2363</v>
      </c>
      <c r="R323" s="2401" t="s">
        <v>2362</v>
      </c>
      <c r="S323" s="2399" t="s">
        <v>2361</v>
      </c>
      <c r="T323" s="8"/>
      <c r="U323" s="8"/>
      <c r="V323" s="8"/>
      <c r="W323" s="8"/>
      <c r="X323" s="8"/>
      <c r="Y323" s="8"/>
      <c r="Z323" s="8"/>
      <c r="AA323" s="8"/>
      <c r="AB323" s="8"/>
      <c r="AC323" s="8"/>
      <c r="AD323" s="8"/>
    </row>
    <row r="324" spans="1:30">
      <c r="A324" s="2402">
        <v>309</v>
      </c>
      <c r="B324" s="2400" t="s">
        <v>2360</v>
      </c>
      <c r="C324" s="2401" t="s">
        <v>2359</v>
      </c>
      <c r="D324" s="2399" t="s">
        <v>2358</v>
      </c>
      <c r="E324" s="2403"/>
      <c r="F324" s="2402">
        <v>633</v>
      </c>
      <c r="G324" s="2400" t="s">
        <v>2357</v>
      </c>
      <c r="H324" s="2401" t="s">
        <v>2356</v>
      </c>
      <c r="I324" s="2399" t="s">
        <v>2355</v>
      </c>
      <c r="J324" s="2403"/>
      <c r="K324" s="2402">
        <v>957</v>
      </c>
      <c r="L324" s="2400" t="s">
        <v>2354</v>
      </c>
      <c r="M324" s="2401" t="s">
        <v>2353</v>
      </c>
      <c r="N324" s="2399" t="s">
        <v>2352</v>
      </c>
      <c r="O324" s="2403"/>
      <c r="P324" s="2402">
        <v>1281</v>
      </c>
      <c r="Q324" s="2400" t="s">
        <v>2351</v>
      </c>
      <c r="R324" s="2401" t="s">
        <v>2350</v>
      </c>
      <c r="S324" s="2399" t="s">
        <v>2349</v>
      </c>
      <c r="T324" s="8"/>
      <c r="U324" s="8"/>
      <c r="V324" s="8"/>
      <c r="W324" s="8"/>
      <c r="X324" s="8"/>
      <c r="Y324" s="8"/>
      <c r="Z324" s="8"/>
      <c r="AA324" s="8"/>
      <c r="AB324" s="8"/>
      <c r="AC324" s="8"/>
      <c r="AD324" s="8"/>
    </row>
    <row r="325" spans="1:30">
      <c r="A325" s="2402">
        <v>310</v>
      </c>
      <c r="B325" s="2400" t="s">
        <v>2348</v>
      </c>
      <c r="C325" s="2401" t="s">
        <v>2347</v>
      </c>
      <c r="D325" s="2399" t="s">
        <v>2346</v>
      </c>
      <c r="E325" s="2403"/>
      <c r="F325" s="2402">
        <v>634</v>
      </c>
      <c r="G325" s="2400" t="s">
        <v>2345</v>
      </c>
      <c r="H325" s="2401" t="s">
        <v>2344</v>
      </c>
      <c r="I325" s="2399" t="s">
        <v>2343</v>
      </c>
      <c r="J325" s="2403"/>
      <c r="K325" s="2402">
        <v>958</v>
      </c>
      <c r="L325" s="2400" t="s">
        <v>2342</v>
      </c>
      <c r="M325" s="2401" t="s">
        <v>2341</v>
      </c>
      <c r="N325" s="2399" t="s">
        <v>2340</v>
      </c>
      <c r="O325" s="2403"/>
      <c r="P325" s="2402">
        <v>1282</v>
      </c>
      <c r="Q325" s="2400" t="s">
        <v>2339</v>
      </c>
      <c r="R325" s="2401" t="s">
        <v>2338</v>
      </c>
      <c r="T325" s="8"/>
      <c r="U325" s="8"/>
      <c r="V325" s="8"/>
      <c r="W325" s="8"/>
      <c r="X325" s="8"/>
      <c r="Y325" s="8"/>
      <c r="Z325" s="8"/>
      <c r="AA325" s="8"/>
      <c r="AB325" s="8"/>
      <c r="AC325" s="8"/>
      <c r="AD325" s="8"/>
    </row>
    <row r="326" spans="1:30">
      <c r="A326" s="2402">
        <v>311</v>
      </c>
      <c r="B326" s="2400" t="s">
        <v>2337</v>
      </c>
      <c r="C326" s="2401" t="s">
        <v>2336</v>
      </c>
      <c r="D326" s="2399" t="s">
        <v>2335</v>
      </c>
      <c r="E326" s="2403"/>
      <c r="F326" s="2402">
        <v>635</v>
      </c>
      <c r="G326" s="2400" t="s">
        <v>2334</v>
      </c>
      <c r="H326" s="2401" t="s">
        <v>2333</v>
      </c>
      <c r="I326" s="2399" t="s">
        <v>2332</v>
      </c>
      <c r="J326" s="2403"/>
      <c r="K326" s="2402">
        <v>959</v>
      </c>
      <c r="L326" s="2400" t="s">
        <v>2331</v>
      </c>
      <c r="M326" s="2401" t="s">
        <v>2330</v>
      </c>
      <c r="N326" s="2399" t="s">
        <v>2329</v>
      </c>
      <c r="O326" s="2403"/>
      <c r="P326" s="2402">
        <v>1283</v>
      </c>
      <c r="Q326" s="2400" t="s">
        <v>2328</v>
      </c>
      <c r="R326" s="2401" t="s">
        <v>2327</v>
      </c>
      <c r="T326" s="8"/>
      <c r="U326" s="8"/>
      <c r="V326" s="8"/>
      <c r="W326" s="8"/>
      <c r="X326" s="8"/>
      <c r="Y326" s="8"/>
      <c r="Z326" s="8"/>
      <c r="AA326" s="8"/>
      <c r="AB326" s="8"/>
      <c r="AC326" s="8"/>
      <c r="AD326" s="8"/>
    </row>
    <row r="327" spans="1:30">
      <c r="A327" s="2402">
        <v>312</v>
      </c>
      <c r="B327" s="2400" t="s">
        <v>2326</v>
      </c>
      <c r="C327" s="2401" t="s">
        <v>2325</v>
      </c>
      <c r="D327" s="2399" t="s">
        <v>2324</v>
      </c>
      <c r="E327" s="2403"/>
      <c r="F327" s="2402">
        <v>636</v>
      </c>
      <c r="G327" s="2400" t="s">
        <v>2323</v>
      </c>
      <c r="H327" s="2401" t="s">
        <v>2322</v>
      </c>
      <c r="I327" s="2399" t="s">
        <v>2321</v>
      </c>
      <c r="J327" s="2403"/>
      <c r="K327" s="2402">
        <v>960</v>
      </c>
      <c r="L327" s="2400" t="s">
        <v>2320</v>
      </c>
      <c r="M327" s="2401" t="s">
        <v>2319</v>
      </c>
      <c r="N327" s="2399" t="s">
        <v>2318</v>
      </c>
      <c r="O327" s="2403"/>
      <c r="P327" s="2402">
        <v>1284</v>
      </c>
      <c r="Q327" s="2400" t="s">
        <v>2317</v>
      </c>
      <c r="R327" s="2401" t="s">
        <v>2316</v>
      </c>
      <c r="S327" s="2399" t="s">
        <v>2315</v>
      </c>
      <c r="T327" s="8"/>
      <c r="U327" s="8"/>
      <c r="V327" s="8"/>
      <c r="W327" s="8"/>
      <c r="X327" s="8"/>
      <c r="Y327" s="8"/>
      <c r="Z327" s="8"/>
      <c r="AA327" s="8"/>
      <c r="AB327" s="8"/>
      <c r="AC327" s="8"/>
      <c r="AD327" s="8"/>
    </row>
    <row r="328" spans="1:30">
      <c r="A328" s="2402">
        <v>313</v>
      </c>
      <c r="B328" s="2400" t="s">
        <v>2314</v>
      </c>
      <c r="C328" s="2401" t="s">
        <v>2313</v>
      </c>
      <c r="D328" s="2399" t="s">
        <v>2312</v>
      </c>
      <c r="E328" s="2403"/>
      <c r="F328" s="2402">
        <v>637</v>
      </c>
      <c r="G328" s="2400" t="s">
        <v>2311</v>
      </c>
      <c r="H328" s="2401" t="s">
        <v>2310</v>
      </c>
      <c r="I328" s="2399" t="s">
        <v>2309</v>
      </c>
      <c r="J328" s="2403"/>
      <c r="K328" s="2402">
        <v>961</v>
      </c>
      <c r="L328" s="2400" t="s">
        <v>2308</v>
      </c>
      <c r="M328" s="2401" t="s">
        <v>2307</v>
      </c>
      <c r="N328" s="2399" t="s">
        <v>2306</v>
      </c>
      <c r="O328" s="2403"/>
      <c r="P328" s="2402">
        <v>1285</v>
      </c>
      <c r="Q328" s="2400" t="s">
        <v>2305</v>
      </c>
      <c r="R328" s="2401" t="s">
        <v>2304</v>
      </c>
      <c r="S328" s="2399" t="s">
        <v>2303</v>
      </c>
      <c r="T328" s="8"/>
      <c r="U328" s="8"/>
      <c r="V328" s="8"/>
      <c r="W328" s="8"/>
      <c r="X328" s="8"/>
      <c r="Y328" s="8"/>
      <c r="Z328" s="8"/>
      <c r="AA328" s="8"/>
      <c r="AB328" s="8"/>
      <c r="AC328" s="8"/>
      <c r="AD328" s="8"/>
    </row>
    <row r="329" spans="1:30">
      <c r="A329" s="2402">
        <v>314</v>
      </c>
      <c r="B329" s="2400" t="s">
        <v>2302</v>
      </c>
      <c r="C329" s="2401" t="s">
        <v>2301</v>
      </c>
      <c r="D329" s="2399" t="s">
        <v>2300</v>
      </c>
      <c r="E329" s="2403"/>
      <c r="F329" s="2402">
        <v>638</v>
      </c>
      <c r="G329" s="2400" t="s">
        <v>2299</v>
      </c>
      <c r="H329" s="2401" t="s">
        <v>2298</v>
      </c>
      <c r="I329" s="2399" t="s">
        <v>2297</v>
      </c>
      <c r="J329" s="2403"/>
      <c r="K329" s="2402">
        <v>962</v>
      </c>
      <c r="L329" s="2400" t="s">
        <v>2296</v>
      </c>
      <c r="M329" s="2401" t="s">
        <v>2295</v>
      </c>
      <c r="N329" s="2399" t="s">
        <v>2294</v>
      </c>
      <c r="O329" s="2403"/>
      <c r="P329" s="2402">
        <v>1286</v>
      </c>
      <c r="Q329" s="2400" t="s">
        <v>2293</v>
      </c>
      <c r="R329" s="2401" t="s">
        <v>2292</v>
      </c>
      <c r="S329" s="2399" t="s">
        <v>2291</v>
      </c>
      <c r="T329" s="8"/>
      <c r="U329" s="8"/>
      <c r="V329" s="8"/>
      <c r="W329" s="8"/>
      <c r="X329" s="8"/>
      <c r="Y329" s="8"/>
      <c r="Z329" s="8"/>
      <c r="AA329" s="8"/>
      <c r="AB329" s="8"/>
      <c r="AC329" s="8"/>
      <c r="AD329" s="8"/>
    </row>
    <row r="330" spans="1:30">
      <c r="A330" s="2402">
        <v>315</v>
      </c>
      <c r="B330" s="2400" t="s">
        <v>2290</v>
      </c>
      <c r="C330" s="2401" t="s">
        <v>2289</v>
      </c>
      <c r="D330" s="2399" t="s">
        <v>2288</v>
      </c>
      <c r="E330" s="2403"/>
      <c r="F330" s="2402">
        <v>639</v>
      </c>
      <c r="G330" s="2400" t="s">
        <v>2287</v>
      </c>
      <c r="H330" s="2401" t="s">
        <v>2286</v>
      </c>
      <c r="I330" s="2399" t="s">
        <v>2285</v>
      </c>
      <c r="J330" s="2403"/>
      <c r="K330" s="2402">
        <v>963</v>
      </c>
      <c r="L330" s="2400" t="s">
        <v>2284</v>
      </c>
      <c r="M330" s="2401" t="s">
        <v>2283</v>
      </c>
      <c r="N330" s="2399" t="s">
        <v>2282</v>
      </c>
      <c r="O330" s="2403"/>
      <c r="P330" s="2402">
        <v>1287</v>
      </c>
      <c r="Q330" s="2400" t="s">
        <v>2281</v>
      </c>
      <c r="R330" s="2401" t="s">
        <v>2280</v>
      </c>
      <c r="S330" s="2399" t="s">
        <v>2279</v>
      </c>
      <c r="T330" s="8"/>
      <c r="U330" s="8"/>
      <c r="V330" s="8"/>
      <c r="W330" s="8"/>
      <c r="X330" s="8"/>
      <c r="Y330" s="8"/>
      <c r="Z330" s="8"/>
      <c r="AA330" s="8"/>
      <c r="AB330" s="8"/>
      <c r="AC330" s="8"/>
      <c r="AD330" s="8"/>
    </row>
    <row r="331" spans="1:30">
      <c r="A331" s="2402">
        <v>316</v>
      </c>
      <c r="B331" s="2400" t="s">
        <v>2278</v>
      </c>
      <c r="C331" s="2401" t="s">
        <v>2277</v>
      </c>
      <c r="D331" s="2399" t="s">
        <v>2276</v>
      </c>
      <c r="E331" s="2403"/>
      <c r="F331" s="2402">
        <v>640</v>
      </c>
      <c r="G331" s="2400" t="s">
        <v>2275</v>
      </c>
      <c r="H331" s="2401" t="s">
        <v>2274</v>
      </c>
      <c r="I331" s="2399" t="s">
        <v>2273</v>
      </c>
      <c r="J331" s="2403"/>
      <c r="K331" s="2402">
        <v>964</v>
      </c>
      <c r="L331" s="2400" t="s">
        <v>2272</v>
      </c>
      <c r="M331" s="2401" t="s">
        <v>2271</v>
      </c>
      <c r="N331" s="2399" t="s">
        <v>2270</v>
      </c>
      <c r="O331" s="2403"/>
      <c r="P331" s="2402">
        <v>1288</v>
      </c>
      <c r="Q331" s="2400" t="s">
        <v>2269</v>
      </c>
      <c r="R331" s="2401" t="s">
        <v>2268</v>
      </c>
      <c r="S331" s="2399" t="s">
        <v>2267</v>
      </c>
      <c r="T331" s="8"/>
      <c r="U331" s="8"/>
      <c r="V331" s="8"/>
      <c r="W331" s="8"/>
      <c r="X331" s="8"/>
      <c r="Y331" s="8"/>
      <c r="Z331" s="8"/>
      <c r="AA331" s="8"/>
      <c r="AB331" s="8"/>
      <c r="AC331" s="8"/>
      <c r="AD331" s="8"/>
    </row>
    <row r="332" spans="1:30">
      <c r="A332" s="2402">
        <v>317</v>
      </c>
      <c r="B332" s="2400" t="s">
        <v>2266</v>
      </c>
      <c r="C332" s="2401" t="s">
        <v>2265</v>
      </c>
      <c r="D332" s="2399" t="s">
        <v>2264</v>
      </c>
      <c r="E332" s="2403"/>
      <c r="F332" s="2402">
        <v>641</v>
      </c>
      <c r="G332" s="2400" t="s">
        <v>2263</v>
      </c>
      <c r="H332" s="2401" t="s">
        <v>2262</v>
      </c>
      <c r="I332" s="2399" t="s">
        <v>2261</v>
      </c>
      <c r="J332" s="2403"/>
      <c r="K332" s="2402">
        <v>965</v>
      </c>
      <c r="L332" s="2400" t="s">
        <v>2260</v>
      </c>
      <c r="M332" s="2401" t="s">
        <v>2259</v>
      </c>
      <c r="N332" s="2399" t="s">
        <v>2258</v>
      </c>
      <c r="O332" s="2403"/>
      <c r="P332" s="2402">
        <v>1289</v>
      </c>
      <c r="Q332" s="2400" t="s">
        <v>2257</v>
      </c>
      <c r="R332" s="2401" t="s">
        <v>2256</v>
      </c>
      <c r="S332" s="2399" t="s">
        <v>2255</v>
      </c>
      <c r="T332" s="8"/>
      <c r="U332" s="8"/>
      <c r="V332" s="8"/>
      <c r="W332" s="8"/>
      <c r="X332" s="8"/>
      <c r="Y332" s="8"/>
      <c r="Z332" s="8"/>
      <c r="AA332" s="8"/>
      <c r="AB332" s="8"/>
      <c r="AC332" s="8"/>
      <c r="AD332" s="8"/>
    </row>
    <row r="333" spans="1:30">
      <c r="A333" s="2402">
        <v>318</v>
      </c>
      <c r="B333" s="2400" t="s">
        <v>2254</v>
      </c>
      <c r="C333" s="2401" t="s">
        <v>2253</v>
      </c>
      <c r="D333" s="2399" t="s">
        <v>2252</v>
      </c>
      <c r="E333" s="2403"/>
      <c r="F333" s="2402">
        <v>642</v>
      </c>
      <c r="G333" s="2400" t="s">
        <v>2251</v>
      </c>
      <c r="H333" s="2401" t="s">
        <v>2250</v>
      </c>
      <c r="I333" s="2399" t="s">
        <v>2249</v>
      </c>
      <c r="J333" s="2403"/>
      <c r="K333" s="2402">
        <v>966</v>
      </c>
      <c r="L333" s="2400" t="s">
        <v>2248</v>
      </c>
      <c r="M333" s="2401" t="s">
        <v>2247</v>
      </c>
      <c r="N333" s="2399" t="s">
        <v>2246</v>
      </c>
      <c r="O333" s="2403"/>
      <c r="P333" s="2402">
        <v>1290</v>
      </c>
      <c r="Q333" s="2400" t="s">
        <v>2245</v>
      </c>
      <c r="R333" s="2401" t="s">
        <v>2244</v>
      </c>
      <c r="S333" s="2399" t="s">
        <v>2243</v>
      </c>
      <c r="T333" s="8"/>
      <c r="U333" s="8"/>
      <c r="V333" s="8"/>
      <c r="W333" s="8"/>
      <c r="X333" s="8"/>
      <c r="Y333" s="8"/>
      <c r="Z333" s="8"/>
      <c r="AA333" s="8"/>
      <c r="AB333" s="8"/>
      <c r="AC333" s="8"/>
      <c r="AD333" s="8"/>
    </row>
    <row r="334" spans="1:30">
      <c r="A334" s="2402">
        <v>319</v>
      </c>
      <c r="B334" s="2400" t="s">
        <v>2242</v>
      </c>
      <c r="C334" s="2401" t="s">
        <v>2241</v>
      </c>
      <c r="D334" s="2399" t="s">
        <v>2240</v>
      </c>
      <c r="E334" s="2403"/>
      <c r="F334" s="2402">
        <v>643</v>
      </c>
      <c r="G334" s="2400" t="s">
        <v>2239</v>
      </c>
      <c r="H334" s="2401" t="s">
        <v>2238</v>
      </c>
      <c r="I334" s="2399" t="s">
        <v>2237</v>
      </c>
      <c r="J334" s="2403"/>
      <c r="K334" s="2402">
        <v>967</v>
      </c>
      <c r="L334" s="2400" t="s">
        <v>2236</v>
      </c>
      <c r="M334" s="2401" t="s">
        <v>2235</v>
      </c>
      <c r="N334" s="2399" t="s">
        <v>2234</v>
      </c>
      <c r="O334" s="2403"/>
      <c r="P334" s="2402">
        <v>1291</v>
      </c>
      <c r="Q334" s="2400" t="s">
        <v>2233</v>
      </c>
      <c r="R334" s="2401" t="s">
        <v>2232</v>
      </c>
      <c r="S334" s="2399" t="s">
        <v>2231</v>
      </c>
      <c r="T334" s="8"/>
      <c r="U334" s="8"/>
      <c r="V334" s="8"/>
      <c r="W334" s="8"/>
      <c r="X334" s="8"/>
      <c r="Y334" s="8"/>
      <c r="Z334" s="8"/>
      <c r="AA334" s="8"/>
      <c r="AB334" s="8"/>
      <c r="AC334" s="8"/>
      <c r="AD334" s="8"/>
    </row>
    <row r="335" spans="1:30">
      <c r="A335" s="2402">
        <v>320</v>
      </c>
      <c r="B335" s="2400" t="s">
        <v>2230</v>
      </c>
      <c r="C335" s="2401" t="s">
        <v>2229</v>
      </c>
      <c r="D335" s="2399" t="s">
        <v>2228</v>
      </c>
      <c r="E335" s="2403"/>
      <c r="F335" s="2402">
        <v>644</v>
      </c>
      <c r="G335" s="2400" t="s">
        <v>2227</v>
      </c>
      <c r="H335" s="2401" t="s">
        <v>2226</v>
      </c>
      <c r="I335" s="2399" t="s">
        <v>2225</v>
      </c>
      <c r="J335" s="2403"/>
      <c r="K335" s="2402">
        <v>968</v>
      </c>
      <c r="L335" s="2400" t="s">
        <v>2224</v>
      </c>
      <c r="M335" s="2401" t="s">
        <v>2223</v>
      </c>
      <c r="N335" s="2399" t="s">
        <v>2222</v>
      </c>
      <c r="O335" s="2403"/>
      <c r="P335" s="2402">
        <v>1292</v>
      </c>
      <c r="Q335" s="2400" t="s">
        <v>2221</v>
      </c>
      <c r="R335" s="2401" t="s">
        <v>2220</v>
      </c>
      <c r="S335" s="2399" t="s">
        <v>2219</v>
      </c>
      <c r="T335" s="8"/>
      <c r="U335" s="8"/>
      <c r="V335" s="8"/>
      <c r="W335" s="8"/>
      <c r="X335" s="8"/>
      <c r="Y335" s="8"/>
      <c r="Z335" s="8"/>
      <c r="AA335" s="8"/>
      <c r="AB335" s="8"/>
      <c r="AC335" s="8"/>
      <c r="AD335" s="8"/>
    </row>
    <row r="336" spans="1:30">
      <c r="A336" s="2402">
        <v>321</v>
      </c>
      <c r="B336" s="2400" t="s">
        <v>2218</v>
      </c>
      <c r="C336" s="2401" t="s">
        <v>2217</v>
      </c>
      <c r="D336" s="2399" t="s">
        <v>2216</v>
      </c>
      <c r="E336" s="2403"/>
      <c r="F336" s="2402">
        <v>645</v>
      </c>
      <c r="G336" s="2400" t="s">
        <v>2215</v>
      </c>
      <c r="H336" s="2401" t="s">
        <v>2214</v>
      </c>
      <c r="I336" s="2399" t="s">
        <v>2213</v>
      </c>
      <c r="J336" s="2403"/>
      <c r="K336" s="2402">
        <v>969</v>
      </c>
      <c r="L336" s="2400" t="s">
        <v>2212</v>
      </c>
      <c r="M336" s="2401" t="s">
        <v>2211</v>
      </c>
      <c r="N336" s="2399" t="s">
        <v>2210</v>
      </c>
      <c r="O336" s="2403"/>
      <c r="P336" s="2402">
        <v>1293</v>
      </c>
      <c r="Q336" s="2400" t="s">
        <v>2209</v>
      </c>
      <c r="R336" s="2401" t="s">
        <v>2208</v>
      </c>
      <c r="S336" s="2399" t="s">
        <v>2207</v>
      </c>
      <c r="T336" s="8"/>
      <c r="U336" s="8"/>
      <c r="V336" s="8"/>
      <c r="W336" s="8"/>
      <c r="X336" s="8"/>
      <c r="Y336" s="8"/>
      <c r="Z336" s="8"/>
      <c r="AA336" s="8"/>
      <c r="AB336" s="8"/>
      <c r="AC336" s="8"/>
      <c r="AD336" s="8"/>
    </row>
    <row r="337" spans="1:30">
      <c r="A337" s="2402">
        <v>322</v>
      </c>
      <c r="B337" s="2400" t="s">
        <v>2206</v>
      </c>
      <c r="C337" s="2401" t="s">
        <v>2205</v>
      </c>
      <c r="D337" s="2399" t="s">
        <v>2204</v>
      </c>
      <c r="E337" s="2403"/>
      <c r="F337" s="2402">
        <v>646</v>
      </c>
      <c r="G337" s="2400" t="s">
        <v>2203</v>
      </c>
      <c r="H337" s="2401" t="s">
        <v>2202</v>
      </c>
      <c r="I337" s="2399" t="s">
        <v>2201</v>
      </c>
      <c r="J337" s="2403"/>
      <c r="K337" s="2402">
        <v>970</v>
      </c>
      <c r="L337" s="2400" t="s">
        <v>2200</v>
      </c>
      <c r="M337" s="2401" t="s">
        <v>2199</v>
      </c>
      <c r="N337" s="2399" t="s">
        <v>2198</v>
      </c>
      <c r="O337" s="2403"/>
      <c r="P337" s="2402">
        <v>1294</v>
      </c>
      <c r="Q337" s="2400" t="s">
        <v>2197</v>
      </c>
      <c r="R337" s="2401" t="s">
        <v>2196</v>
      </c>
      <c r="S337" s="2399" t="s">
        <v>2195</v>
      </c>
      <c r="T337" s="8"/>
      <c r="U337" s="8"/>
      <c r="V337" s="8"/>
      <c r="W337" s="8"/>
      <c r="X337" s="8"/>
      <c r="Y337" s="8"/>
      <c r="Z337" s="8"/>
      <c r="AA337" s="8"/>
      <c r="AB337" s="8"/>
      <c r="AC337" s="8"/>
      <c r="AD337" s="8"/>
    </row>
    <row r="338" spans="1:30">
      <c r="A338" s="2402">
        <v>323</v>
      </c>
      <c r="B338" s="2400" t="s">
        <v>2194</v>
      </c>
      <c r="C338" s="2401" t="s">
        <v>2193</v>
      </c>
      <c r="D338" s="2399" t="s">
        <v>2192</v>
      </c>
      <c r="E338" s="2403"/>
      <c r="F338" s="2402">
        <v>647</v>
      </c>
      <c r="G338" s="2400" t="s">
        <v>2191</v>
      </c>
      <c r="H338" s="2401" t="s">
        <v>2190</v>
      </c>
      <c r="I338" s="2399" t="s">
        <v>2189</v>
      </c>
      <c r="J338" s="2403"/>
      <c r="K338" s="2402">
        <v>971</v>
      </c>
      <c r="L338" s="2400" t="s">
        <v>2188</v>
      </c>
      <c r="M338" s="2401" t="s">
        <v>2187</v>
      </c>
      <c r="N338" s="2399" t="s">
        <v>2186</v>
      </c>
      <c r="O338" s="2403"/>
      <c r="P338" s="2402">
        <v>1295</v>
      </c>
      <c r="Q338" s="2400" t="s">
        <v>2185</v>
      </c>
      <c r="R338" s="2401" t="s">
        <v>2184</v>
      </c>
      <c r="S338" s="2399" t="s">
        <v>2183</v>
      </c>
      <c r="T338" s="8"/>
      <c r="U338" s="8"/>
      <c r="V338" s="8"/>
      <c r="W338" s="8"/>
      <c r="X338" s="8"/>
      <c r="Y338" s="8"/>
      <c r="Z338" s="8"/>
      <c r="AA338" s="8"/>
      <c r="AB338" s="8"/>
      <c r="AC338" s="8"/>
      <c r="AD338" s="8"/>
    </row>
    <row r="339" spans="1:30">
      <c r="A339" s="2402">
        <v>324</v>
      </c>
      <c r="B339" s="2400" t="s">
        <v>2182</v>
      </c>
      <c r="C339" s="2401" t="s">
        <v>2181</v>
      </c>
      <c r="D339" s="2399" t="s">
        <v>2180</v>
      </c>
      <c r="E339" s="2403"/>
      <c r="F339" s="2402">
        <v>648</v>
      </c>
      <c r="G339" s="2400" t="s">
        <v>2179</v>
      </c>
      <c r="H339" s="2401" t="s">
        <v>2178</v>
      </c>
      <c r="I339" s="2399" t="s">
        <v>2177</v>
      </c>
      <c r="J339" s="2403"/>
      <c r="K339" s="2402">
        <v>972</v>
      </c>
      <c r="L339" s="2400" t="s">
        <v>2176</v>
      </c>
      <c r="M339" s="2401" t="s">
        <v>2175</v>
      </c>
      <c r="N339" s="2399" t="s">
        <v>2174</v>
      </c>
      <c r="O339" s="2403"/>
      <c r="P339" s="2402">
        <v>1296</v>
      </c>
      <c r="Q339" s="2400" t="s">
        <v>2173</v>
      </c>
      <c r="R339" s="2401" t="s">
        <v>2172</v>
      </c>
      <c r="S339" s="2399" t="s">
        <v>2171</v>
      </c>
      <c r="T339" s="8"/>
      <c r="U339" s="8"/>
      <c r="V339" s="8"/>
      <c r="W339" s="8"/>
      <c r="X339" s="8"/>
      <c r="Y339" s="8"/>
      <c r="Z339" s="8"/>
      <c r="AA339" s="8"/>
      <c r="AB339" s="8"/>
      <c r="AC339" s="8"/>
      <c r="AD339" s="8"/>
    </row>
  </sheetData>
  <mergeCells count="1">
    <mergeCell ref="A1:U1"/>
  </mergeCells>
  <hyperlinks>
    <hyperlink ref="D4" r:id="rId1" xr:uid="{0BFB1935-EED8-45CC-8C91-857B45E41FB6}"/>
    <hyperlink ref="U8" r:id="rId2" xr:uid="{0031C95B-DA4C-44CB-B3C8-FE7232A7509D}"/>
    <hyperlink ref="AA4" r:id="rId3" xr:uid="{E6BB62C3-FAEE-42DA-BBD5-4DD74421D437}"/>
    <hyperlink ref="AA6" r:id="rId4" xr:uid="{B86C3D64-91B1-4299-B3A6-BDC1F8B7A318}"/>
    <hyperlink ref="AA8" r:id="rId5" xr:uid="{215C6435-724A-4ACD-B3DD-5A12F5EB7A15}"/>
    <hyperlink ref="V17" r:id="rId6" xr:uid="{55BA1795-D93D-40A7-8CEF-1C9D798771D6}"/>
    <hyperlink ref="V19" r:id="rId7" xr:uid="{03A31D75-E1D4-467C-AAA5-1EE58A6D298C}"/>
    <hyperlink ref="D6" r:id="rId8" xr:uid="{1715DFD2-5F1B-495D-B758-0FCEDF9A659E}"/>
    <hyperlink ref="D8" r:id="rId9" xr:uid="{4CF9B9A3-037C-4811-8CEE-0FAE077430E4}"/>
    <hyperlink ref="O4" r:id="rId10" xr:uid="{B9F2FA22-B88E-43CA-931D-ADC22DF9942C}"/>
    <hyperlink ref="O8" r:id="rId11" xr:uid="{2805671C-4F78-480A-893C-7A9D2C5CF175}"/>
    <hyperlink ref="O6" r:id="rId12" xr:uid="{F10D5224-C5D1-4ACC-B8C5-D0A5B0213F60}"/>
    <hyperlink ref="U4" r:id="rId13" xr:uid="{B10435DA-E74A-4C1F-8D62-381C4CE1CF4A}"/>
    <hyperlink ref="U6" r:id="rId14" xr:uid="{1FA866B6-2E2E-4E4E-B52C-6477A4F49041}"/>
  </hyperlinks>
  <pageMargins left="0.7" right="0.7" top="0.75" bottom="0.75" header="0.3" footer="0.3"/>
  <drawing r:id="rId1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05FA46-D670-47EC-9F15-125AE316FEF4}">
  <dimension ref="A2:AN56"/>
  <sheetViews>
    <sheetView workbookViewId="0">
      <selection activeCell="AI36" sqref="AI36"/>
    </sheetView>
  </sheetViews>
  <sheetFormatPr baseColWidth="10" defaultRowHeight="12.75"/>
  <cols>
    <col min="1" max="1" width="3.5703125" style="384" customWidth="1"/>
    <col min="2" max="2" width="8.7109375" style="384" customWidth="1"/>
    <col min="3" max="3" width="25.7109375" style="384" customWidth="1"/>
    <col min="4" max="5" width="8.7109375" style="384" customWidth="1"/>
    <col min="6" max="8" width="18.7109375" style="384" customWidth="1"/>
    <col min="9" max="9" width="3.42578125" style="384" customWidth="1"/>
    <col min="10" max="18" width="11.42578125" style="384"/>
    <col min="19" max="19" width="20.7109375" style="384" customWidth="1"/>
    <col min="20" max="16384" width="11.42578125" style="384"/>
  </cols>
  <sheetData>
    <row r="2" spans="1:33" ht="12.75" customHeight="1">
      <c r="B2" s="3487" t="s">
        <v>660</v>
      </c>
      <c r="C2" s="3488"/>
      <c r="D2" s="3488"/>
      <c r="E2" s="3488"/>
      <c r="F2" s="3488"/>
      <c r="G2" s="3488"/>
      <c r="H2" s="3488"/>
      <c r="I2" s="3489"/>
    </row>
    <row r="3" spans="1:33" ht="12.75" customHeight="1">
      <c r="B3" s="3490"/>
      <c r="C3" s="3491"/>
      <c r="D3" s="3491"/>
      <c r="E3" s="3491"/>
      <c r="F3" s="3491"/>
      <c r="G3" s="3491"/>
      <c r="H3" s="3491"/>
      <c r="I3" s="3492"/>
    </row>
    <row r="4" spans="1:33" ht="12.75" customHeight="1">
      <c r="B4" s="3490"/>
      <c r="C4" s="3491"/>
      <c r="D4" s="3491"/>
      <c r="E4" s="3491"/>
      <c r="F4" s="3491"/>
      <c r="G4" s="3491"/>
      <c r="H4" s="3491"/>
      <c r="I4" s="3492"/>
    </row>
    <row r="5" spans="1:33" ht="12.75" customHeight="1">
      <c r="B5" s="3490"/>
      <c r="C5" s="3491"/>
      <c r="D5" s="3491"/>
      <c r="E5" s="3491"/>
      <c r="F5" s="3491"/>
      <c r="G5" s="3491"/>
      <c r="H5" s="3491"/>
      <c r="I5" s="3492"/>
    </row>
    <row r="6" spans="1:33" ht="12.75" customHeight="1">
      <c r="B6" s="3493"/>
      <c r="C6" s="3494"/>
      <c r="D6" s="3494"/>
      <c r="E6" s="3494"/>
      <c r="F6" s="3494"/>
      <c r="G6" s="3494"/>
      <c r="H6" s="3494"/>
      <c r="I6" s="3495"/>
    </row>
    <row r="7" spans="1:33" ht="13.5" thickBot="1"/>
    <row r="8" spans="1:33" ht="15" customHeight="1">
      <c r="A8" s="3496" t="s">
        <v>307</v>
      </c>
      <c r="B8" s="3498" t="s">
        <v>625</v>
      </c>
      <c r="C8" s="3498"/>
      <c r="D8" s="3498"/>
      <c r="E8" s="3498"/>
      <c r="F8" s="3498"/>
      <c r="G8" s="3498"/>
      <c r="H8" s="3498"/>
      <c r="I8" s="3499"/>
      <c r="K8" s="3502" t="s">
        <v>659</v>
      </c>
      <c r="L8" s="3503"/>
      <c r="M8" s="3503"/>
      <c r="N8" s="3503"/>
      <c r="O8" s="1361"/>
      <c r="P8" s="1361"/>
      <c r="Q8" s="1361"/>
      <c r="R8" s="1360"/>
      <c r="T8" s="3504" t="s">
        <v>307</v>
      </c>
      <c r="U8" s="3483" t="s">
        <v>658</v>
      </c>
      <c r="V8" s="3483"/>
      <c r="W8" s="3483"/>
      <c r="X8" s="3483"/>
      <c r="Y8" s="3483"/>
      <c r="Z8" s="3483"/>
      <c r="AA8" s="3483"/>
      <c r="AB8" s="3483"/>
      <c r="AC8" s="3483"/>
      <c r="AD8" s="3483"/>
      <c r="AE8" s="3483"/>
      <c r="AF8" s="3483"/>
      <c r="AG8" s="3484"/>
    </row>
    <row r="9" spans="1:33" ht="15" customHeight="1">
      <c r="A9" s="3497"/>
      <c r="B9" s="3500"/>
      <c r="C9" s="3500"/>
      <c r="D9" s="3500"/>
      <c r="E9" s="3500"/>
      <c r="F9" s="3500"/>
      <c r="G9" s="3500"/>
      <c r="H9" s="3500"/>
      <c r="I9" s="3501"/>
      <c r="K9" s="498"/>
      <c r="L9" s="1270"/>
      <c r="M9" s="8"/>
      <c r="N9" s="8"/>
      <c r="O9" s="8"/>
      <c r="P9" s="8"/>
      <c r="Q9" s="8"/>
      <c r="R9" s="1359"/>
      <c r="T9" s="3505"/>
      <c r="U9" s="3485"/>
      <c r="V9" s="3485"/>
      <c r="W9" s="3485"/>
      <c r="X9" s="3485"/>
      <c r="Y9" s="3485"/>
      <c r="Z9" s="3485"/>
      <c r="AA9" s="3485"/>
      <c r="AB9" s="3485"/>
      <c r="AC9" s="3485"/>
      <c r="AD9" s="3485"/>
      <c r="AE9" s="3485"/>
      <c r="AF9" s="3485"/>
      <c r="AG9" s="3486"/>
    </row>
    <row r="10" spans="1:33" s="1216" customFormat="1" ht="15" customHeight="1">
      <c r="A10" s="3506" t="s">
        <v>655</v>
      </c>
      <c r="B10" s="3508" t="s">
        <v>620</v>
      </c>
      <c r="C10" s="3508"/>
      <c r="D10" s="3509" t="s">
        <v>657</v>
      </c>
      <c r="E10" s="3509"/>
      <c r="F10" s="3509"/>
      <c r="G10" s="3509"/>
      <c r="H10" s="3510"/>
      <c r="I10" s="3511">
        <v>1</v>
      </c>
      <c r="K10" s="1358"/>
      <c r="L10" s="1357" t="s">
        <v>656</v>
      </c>
      <c r="M10" s="1268"/>
      <c r="N10" s="1268"/>
      <c r="O10" s="1268"/>
      <c r="P10" s="1268"/>
      <c r="Q10" s="1268"/>
      <c r="R10" s="1319"/>
      <c r="T10" s="3506" t="s">
        <v>655</v>
      </c>
      <c r="U10" s="1356" t="s">
        <v>0</v>
      </c>
      <c r="V10" s="1355" t="s">
        <v>1</v>
      </c>
      <c r="W10" s="1355"/>
      <c r="X10" s="1354"/>
      <c r="Y10" s="1353"/>
      <c r="Z10" s="1353"/>
      <c r="AA10" s="1353"/>
      <c r="AB10" s="1353"/>
      <c r="AC10" s="1353"/>
      <c r="AD10" s="1353"/>
      <c r="AE10" s="1353"/>
      <c r="AF10" s="1353"/>
      <c r="AG10" s="1352"/>
    </row>
    <row r="11" spans="1:33" s="1216" customFormat="1" ht="15" customHeight="1" thickBot="1">
      <c r="A11" s="3506"/>
      <c r="B11" s="1324" t="s">
        <v>628</v>
      </c>
      <c r="C11" s="1299"/>
      <c r="D11" s="1299"/>
      <c r="E11" s="1299"/>
      <c r="F11" s="1298"/>
      <c r="G11" s="1298" t="s">
        <v>615</v>
      </c>
      <c r="H11" s="1351"/>
      <c r="I11" s="3512"/>
      <c r="K11" s="1267"/>
      <c r="L11" s="1268" t="s">
        <v>654</v>
      </c>
      <c r="M11" s="1268"/>
      <c r="N11" s="1268"/>
      <c r="O11" s="1268"/>
      <c r="P11" s="1268"/>
      <c r="Q11" s="1268"/>
      <c r="R11" s="1319"/>
      <c r="T11" s="3506"/>
      <c r="U11" s="1350"/>
      <c r="V11" s="1320"/>
      <c r="W11" s="1320"/>
      <c r="X11" s="1334"/>
      <c r="Y11" s="1334"/>
      <c r="Z11" s="1334"/>
      <c r="AA11" s="1334"/>
      <c r="AB11" s="1334"/>
      <c r="AC11" s="1334"/>
      <c r="AD11" s="1334"/>
      <c r="AE11" s="1334"/>
      <c r="AF11" s="1334"/>
      <c r="AG11" s="1333"/>
    </row>
    <row r="12" spans="1:33" s="1216" customFormat="1" ht="15" customHeight="1">
      <c r="A12" s="3506"/>
      <c r="B12" s="1349">
        <v>6</v>
      </c>
      <c r="C12" s="1288"/>
      <c r="D12" s="1288"/>
      <c r="E12" s="1287"/>
      <c r="F12" s="1286"/>
      <c r="G12" s="3513">
        <v>7</v>
      </c>
      <c r="H12" s="3514" t="s">
        <v>184</v>
      </c>
      <c r="I12" s="3515" t="str">
        <f>B8</f>
        <v>NOM DE LA RECETTE</v>
      </c>
      <c r="K12" s="498"/>
      <c r="L12" s="1268"/>
      <c r="M12" s="1268" t="s">
        <v>653</v>
      </c>
      <c r="N12" s="1268"/>
      <c r="O12" s="1268"/>
      <c r="P12" s="1268"/>
      <c r="Q12" s="1268"/>
      <c r="R12" s="1319"/>
      <c r="T12" s="3506"/>
      <c r="U12" s="1348" t="s">
        <v>602</v>
      </c>
      <c r="V12" s="1329" t="s">
        <v>273</v>
      </c>
      <c r="W12" s="1328"/>
      <c r="X12" s="1328" t="s">
        <v>652</v>
      </c>
      <c r="Y12" s="1334"/>
      <c r="Z12" s="1334"/>
      <c r="AA12" s="1334"/>
      <c r="AB12" s="1334"/>
      <c r="AC12" s="1334"/>
      <c r="AD12" s="1334"/>
      <c r="AE12" s="1334"/>
      <c r="AF12" s="1334"/>
      <c r="AG12" s="1333"/>
    </row>
    <row r="13" spans="1:33" s="1216" customFormat="1" ht="15" customHeight="1" thickBot="1">
      <c r="A13" s="3506"/>
      <c r="B13" s="1347" t="s">
        <v>184</v>
      </c>
      <c r="C13" s="1288"/>
      <c r="D13" s="1288"/>
      <c r="E13" s="1287"/>
      <c r="F13" s="1286"/>
      <c r="G13" s="3513"/>
      <c r="H13" s="3514"/>
      <c r="I13" s="3515"/>
      <c r="K13" s="498"/>
      <c r="L13" s="1268"/>
      <c r="M13" s="1268" t="s">
        <v>651</v>
      </c>
      <c r="N13" s="1268"/>
      <c r="O13" s="1268"/>
      <c r="P13" s="1268"/>
      <c r="Q13" s="1268"/>
      <c r="R13" s="1319"/>
      <c r="T13" s="3506"/>
      <c r="U13" s="1337"/>
      <c r="V13" s="1329"/>
      <c r="W13" s="1328"/>
      <c r="X13" s="1320"/>
      <c r="Y13" s="1334"/>
      <c r="Z13" s="1334"/>
      <c r="AA13" s="1334"/>
      <c r="AB13" s="1334"/>
      <c r="AC13" s="1334"/>
      <c r="AD13" s="1334"/>
      <c r="AE13" s="1334"/>
      <c r="AF13" s="1334"/>
      <c r="AG13" s="1333"/>
    </row>
    <row r="14" spans="1:33" s="1216" customFormat="1" ht="15" customHeight="1">
      <c r="A14" s="3506"/>
      <c r="B14" s="1285"/>
      <c r="C14" s="1283" t="s">
        <v>41</v>
      </c>
      <c r="D14" s="1283" t="s">
        <v>608</v>
      </c>
      <c r="E14" s="3517" t="s">
        <v>607</v>
      </c>
      <c r="F14" s="3517"/>
      <c r="G14" s="1284"/>
      <c r="H14" s="1346"/>
      <c r="I14" s="3515"/>
      <c r="K14" s="1267"/>
      <c r="L14" s="1268" t="s">
        <v>650</v>
      </c>
      <c r="M14" s="1268"/>
      <c r="N14" s="1268"/>
      <c r="O14" s="1268"/>
      <c r="P14" s="1268"/>
      <c r="Q14" s="1268"/>
      <c r="R14" s="1319"/>
      <c r="T14" s="3506"/>
      <c r="U14" s="1337" t="s">
        <v>603</v>
      </c>
      <c r="V14" s="1329" t="s">
        <v>649</v>
      </c>
      <c r="W14" s="1328" t="s">
        <v>648</v>
      </c>
      <c r="X14" s="1320"/>
      <c r="Y14" s="1334"/>
      <c r="Z14" s="1334"/>
      <c r="AA14" s="1334"/>
      <c r="AB14" s="1334"/>
      <c r="AC14" s="1334"/>
      <c r="AD14" s="1334"/>
      <c r="AE14" s="1334"/>
      <c r="AF14" s="1334"/>
      <c r="AG14" s="1333"/>
    </row>
    <row r="15" spans="1:33" s="1216" customFormat="1" ht="15" customHeight="1">
      <c r="A15" s="3506"/>
      <c r="B15" s="1278" t="s">
        <v>603</v>
      </c>
      <c r="C15" s="1280" t="s">
        <v>602</v>
      </c>
      <c r="D15" s="1279"/>
      <c r="E15" s="1278" t="s">
        <v>601</v>
      </c>
      <c r="F15" s="1277"/>
      <c r="G15" s="1277"/>
      <c r="H15" s="1276"/>
      <c r="I15" s="3515"/>
      <c r="K15" s="1267"/>
      <c r="L15" s="1268"/>
      <c r="M15" s="373"/>
      <c r="N15" s="373" t="s">
        <v>647</v>
      </c>
      <c r="O15" s="1345">
        <f>B12</f>
        <v>6</v>
      </c>
      <c r="P15" s="1268" t="s">
        <v>184</v>
      </c>
      <c r="Q15" s="1268"/>
      <c r="R15" s="1319"/>
      <c r="S15" s="1344" t="s">
        <v>356</v>
      </c>
      <c r="T15" s="3506"/>
      <c r="U15" s="1337"/>
      <c r="V15" s="1329"/>
      <c r="W15" s="1343" t="s">
        <v>477</v>
      </c>
      <c r="X15" s="1320"/>
      <c r="Y15" s="1334"/>
      <c r="Z15" s="1334"/>
      <c r="AA15" s="1334"/>
      <c r="AB15" s="1334"/>
      <c r="AC15" s="1334"/>
      <c r="AD15" s="1334"/>
      <c r="AE15" s="1334"/>
      <c r="AF15" s="1334"/>
      <c r="AG15" s="1333"/>
    </row>
    <row r="16" spans="1:33" s="1216" customFormat="1" ht="15" customHeight="1">
      <c r="A16" s="3506"/>
      <c r="B16" s="1260">
        <v>1.8</v>
      </c>
      <c r="C16" s="1259" t="s">
        <v>599</v>
      </c>
      <c r="D16" s="1258">
        <f>IF(B16="","",IF(ISTEXT(B16),B16,(B16/B12)*G12))</f>
        <v>2.1</v>
      </c>
      <c r="E16" s="1257" t="s">
        <v>598</v>
      </c>
      <c r="F16" s="1256" t="s">
        <v>597</v>
      </c>
      <c r="G16" s="1255"/>
      <c r="H16" s="1254"/>
      <c r="I16" s="3515"/>
      <c r="K16" s="498"/>
      <c r="L16" s="1270"/>
      <c r="M16" s="373"/>
      <c r="N16" s="373" t="s">
        <v>646</v>
      </c>
      <c r="O16" s="1342">
        <f>G12</f>
        <v>7</v>
      </c>
      <c r="P16" s="1268" t="s">
        <v>184</v>
      </c>
      <c r="Q16" s="1268"/>
      <c r="R16" s="1319"/>
      <c r="S16" s="1341" t="s">
        <v>645</v>
      </c>
      <c r="T16" s="3506"/>
      <c r="U16" s="1320"/>
      <c r="V16" s="1320"/>
      <c r="W16" s="1328" t="s">
        <v>644</v>
      </c>
      <c r="X16" s="1320"/>
      <c r="Y16" s="1334"/>
      <c r="Z16" s="1334"/>
      <c r="AA16" s="1334"/>
      <c r="AB16" s="1334"/>
      <c r="AC16" s="1336"/>
      <c r="AD16" s="1328"/>
      <c r="AE16" s="1334"/>
      <c r="AF16" s="1340"/>
      <c r="AG16" s="1339"/>
    </row>
    <row r="17" spans="1:40" s="1216" customFormat="1" ht="15" customHeight="1">
      <c r="A17" s="3506"/>
      <c r="B17" s="1260">
        <v>2</v>
      </c>
      <c r="C17" s="1259"/>
      <c r="D17" s="1258">
        <f>IF(B17="","",IF(ISTEXT(B17),B17,(B17/B12)*G12))</f>
        <v>2.333333333333333</v>
      </c>
      <c r="E17" s="1257"/>
      <c r="F17" s="1256"/>
      <c r="G17" s="1255"/>
      <c r="H17" s="1254"/>
      <c r="I17" s="3515"/>
      <c r="K17" s="498"/>
      <c r="L17" s="1338" t="s">
        <v>593</v>
      </c>
      <c r="M17" s="1268"/>
      <c r="N17" s="1268"/>
      <c r="O17" s="1268"/>
      <c r="P17" s="1268"/>
      <c r="Q17" s="1268"/>
      <c r="R17" s="1319"/>
      <c r="T17" s="3506"/>
      <c r="U17" s="1320"/>
      <c r="V17" s="1320"/>
      <c r="W17" s="1320"/>
      <c r="X17" s="1320"/>
      <c r="Y17" s="1334"/>
      <c r="Z17" s="1334"/>
      <c r="AA17" s="1334"/>
      <c r="AB17" s="1334"/>
      <c r="AC17" s="1334"/>
      <c r="AD17" s="1334"/>
      <c r="AE17" s="1334"/>
      <c r="AF17" s="1334"/>
      <c r="AG17" s="1333"/>
    </row>
    <row r="18" spans="1:40" s="1216" customFormat="1" ht="15" customHeight="1" thickBot="1">
      <c r="A18" s="3506"/>
      <c r="B18" s="1260"/>
      <c r="C18" s="1269"/>
      <c r="D18" s="1258" t="str">
        <f>IF(B18="","",IF(ISTEXT(B18),B18,(B18/B12)*G12))</f>
        <v/>
      </c>
      <c r="E18" s="1257"/>
      <c r="F18" s="1256"/>
      <c r="G18" s="1255"/>
      <c r="H18" s="1254"/>
      <c r="I18" s="3515"/>
      <c r="K18" s="498"/>
      <c r="L18" s="3518" t="s">
        <v>591</v>
      </c>
      <c r="M18" s="3518"/>
      <c r="N18" s="3518"/>
      <c r="O18" s="1268" t="s">
        <v>643</v>
      </c>
      <c r="P18" s="1268"/>
      <c r="Q18" s="1268"/>
      <c r="R18" s="1319"/>
      <c r="T18" s="3506"/>
      <c r="U18" s="1337" t="s">
        <v>601</v>
      </c>
      <c r="V18" s="1329" t="s">
        <v>40</v>
      </c>
      <c r="W18" s="1336" t="s">
        <v>22</v>
      </c>
      <c r="X18" s="1336" t="s">
        <v>642</v>
      </c>
      <c r="Y18" s="1336" t="s">
        <v>598</v>
      </c>
      <c r="Z18" s="1336" t="s">
        <v>641</v>
      </c>
      <c r="AA18" s="1328" t="s">
        <v>640</v>
      </c>
      <c r="AB18" s="1334"/>
      <c r="AC18" s="1336" t="s">
        <v>639</v>
      </c>
      <c r="AD18" s="1328" t="s">
        <v>638</v>
      </c>
      <c r="AE18" s="1334"/>
      <c r="AF18" s="1334"/>
      <c r="AG18" s="1333"/>
    </row>
    <row r="19" spans="1:40" s="1216" customFormat="1" ht="15" customHeight="1">
      <c r="A19" s="3506"/>
      <c r="B19" s="1260">
        <v>3</v>
      </c>
      <c r="C19" s="1269"/>
      <c r="D19" s="1258">
        <f>IF(B19="","",IF(ISTEXT(B19),B19,(B19/B12)*G12))</f>
        <v>3.5</v>
      </c>
      <c r="E19" s="1257"/>
      <c r="F19" s="1256"/>
      <c r="G19" s="1255"/>
      <c r="H19" s="1254"/>
      <c r="I19" s="3515"/>
      <c r="K19" s="498"/>
      <c r="L19" s="3530" t="s">
        <v>637</v>
      </c>
      <c r="M19" s="3530"/>
      <c r="N19" s="3530"/>
      <c r="O19" s="1252"/>
      <c r="P19" s="1252"/>
      <c r="Q19" s="1268"/>
      <c r="R19" s="1319"/>
      <c r="T19" s="3506"/>
      <c r="U19" s="1335"/>
      <c r="V19" s="1329"/>
      <c r="W19" s="1328"/>
      <c r="X19" s="1320"/>
      <c r="Y19" s="1334"/>
      <c r="Z19" s="1334"/>
      <c r="AA19" s="1334"/>
      <c r="AB19" s="1334"/>
      <c r="AC19" s="1334"/>
      <c r="AD19" s="1334"/>
      <c r="AE19" s="1334"/>
      <c r="AF19" s="1334"/>
      <c r="AG19" s="1333"/>
    </row>
    <row r="20" spans="1:40" s="1216" customFormat="1" ht="15" customHeight="1">
      <c r="A20" s="3506"/>
      <c r="B20" s="1260">
        <v>8</v>
      </c>
      <c r="C20" s="1259"/>
      <c r="D20" s="1258">
        <f>IF(B20="","",IF(ISTEXT(B20),B20,(B20/B12)*G12))</f>
        <v>9.3333333333333321</v>
      </c>
      <c r="E20" s="1257"/>
      <c r="F20" s="1256"/>
      <c r="G20" s="1255"/>
      <c r="H20" s="1254"/>
      <c r="I20" s="3515"/>
      <c r="K20" s="1332" t="s">
        <v>636</v>
      </c>
      <c r="L20" s="1252" t="s">
        <v>635</v>
      </c>
      <c r="M20" s="1268"/>
      <c r="N20" s="1268"/>
      <c r="O20" s="1268"/>
      <c r="P20" s="1268"/>
      <c r="Q20" s="1268"/>
      <c r="R20" s="1319"/>
      <c r="T20" s="3506"/>
      <c r="U20" s="1331"/>
      <c r="V20" s="1330">
        <v>10</v>
      </c>
      <c r="W20" s="1329" t="s">
        <v>634</v>
      </c>
      <c r="X20" s="1320"/>
      <c r="Y20" s="1328" t="s">
        <v>633</v>
      </c>
      <c r="Z20" s="1327"/>
      <c r="AA20" s="1327"/>
      <c r="AB20" s="1327"/>
      <c r="AC20" s="1327"/>
      <c r="AD20" s="1327"/>
      <c r="AE20" s="1327"/>
      <c r="AF20" s="1320"/>
      <c r="AG20" s="1325"/>
    </row>
    <row r="21" spans="1:40" s="1216" customFormat="1" ht="15" customHeight="1">
      <c r="A21" s="3506"/>
      <c r="B21" s="1260">
        <v>1</v>
      </c>
      <c r="C21" s="1259"/>
      <c r="D21" s="1258">
        <f>IF(B21="","",IF(ISTEXT(B21),B21,(B21/B12)*G12))</f>
        <v>1.1666666666666665</v>
      </c>
      <c r="E21" s="1257"/>
      <c r="F21" s="1256"/>
      <c r="G21" s="1255"/>
      <c r="H21" s="1254"/>
      <c r="I21" s="3515"/>
      <c r="K21" s="1267"/>
      <c r="L21" s="1252" t="s">
        <v>632</v>
      </c>
      <c r="M21" s="1268"/>
      <c r="N21" s="1268"/>
      <c r="O21" s="1268"/>
      <c r="P21" s="1268"/>
      <c r="Q21" s="1268"/>
      <c r="R21" s="1319"/>
      <c r="T21" s="3506"/>
      <c r="U21" s="1326"/>
      <c r="V21" s="1320"/>
      <c r="W21" s="1320"/>
      <c r="X21" s="1320"/>
      <c r="Y21" s="1326" t="s">
        <v>184</v>
      </c>
      <c r="Z21" s="1320"/>
      <c r="AA21" s="1326" t="s">
        <v>22</v>
      </c>
      <c r="AB21" s="1320"/>
      <c r="AC21" s="1326" t="s">
        <v>631</v>
      </c>
      <c r="AD21" s="1320"/>
      <c r="AE21" s="1326" t="s">
        <v>630</v>
      </c>
      <c r="AF21" s="1320"/>
      <c r="AG21" s="1325"/>
    </row>
    <row r="22" spans="1:40" s="1216" customFormat="1" ht="15" customHeight="1" thickBot="1">
      <c r="A22" s="3506"/>
      <c r="B22" s="1260"/>
      <c r="C22" s="1259"/>
      <c r="D22" s="1258" t="str">
        <f>IF(B22="","",IF(ISTEXT(B22),B22,(B22/B12)*G12))</f>
        <v/>
      </c>
      <c r="E22" s="1257"/>
      <c r="F22" s="1256"/>
      <c r="G22" s="1255"/>
      <c r="H22" s="1254"/>
      <c r="I22" s="3515"/>
      <c r="K22" s="498"/>
      <c r="L22" s="1252" t="s">
        <v>629</v>
      </c>
      <c r="M22" s="1268"/>
      <c r="N22" s="1268"/>
      <c r="O22" s="1268"/>
      <c r="P22" s="1268"/>
      <c r="Q22" s="1268"/>
      <c r="R22" s="1319"/>
      <c r="T22" s="3506"/>
      <c r="U22" s="1324" t="s">
        <v>628</v>
      </c>
      <c r="V22" s="1320"/>
      <c r="W22" s="1320"/>
      <c r="X22" s="1320"/>
      <c r="Y22" s="1320"/>
      <c r="Z22" s="1320"/>
      <c r="AA22" s="1320"/>
      <c r="AB22" s="1320"/>
      <c r="AC22" s="1320"/>
      <c r="AD22" s="1320"/>
      <c r="AE22" s="1320"/>
      <c r="AF22" s="1320"/>
      <c r="AG22" s="1319"/>
    </row>
    <row r="23" spans="1:40" s="1216" customFormat="1" ht="15" customHeight="1" thickBot="1">
      <c r="A23" s="3506"/>
      <c r="B23" s="1260"/>
      <c r="C23" s="1259"/>
      <c r="D23" s="1258" t="str">
        <f>IF(B23="","",IF(ISTEXT(B23),B23,(B23/B12)*G12))</f>
        <v/>
      </c>
      <c r="E23" s="1257"/>
      <c r="F23" s="1256"/>
      <c r="G23" s="1255"/>
      <c r="H23" s="1254"/>
      <c r="I23" s="3515"/>
      <c r="K23" s="498"/>
      <c r="L23" s="1252" t="s">
        <v>627</v>
      </c>
      <c r="M23" s="1268"/>
      <c r="N23" s="1268"/>
      <c r="O23" s="1268"/>
      <c r="P23" s="1268"/>
      <c r="Q23" s="1268"/>
      <c r="R23" s="1319"/>
      <c r="T23" s="3506"/>
      <c r="U23" s="1323">
        <v>10</v>
      </c>
      <c r="V23" s="1322" t="s">
        <v>626</v>
      </c>
      <c r="W23" s="1322"/>
      <c r="X23" s="1321"/>
      <c r="Y23" s="1320"/>
      <c r="Z23" s="1320"/>
      <c r="AA23" s="1320"/>
      <c r="AB23" s="1320"/>
      <c r="AC23" s="1320"/>
      <c r="AD23" s="1320"/>
      <c r="AE23" s="1320"/>
      <c r="AF23" s="1320"/>
      <c r="AG23" s="1319"/>
    </row>
    <row r="24" spans="1:40" s="1216" customFormat="1" ht="15" customHeight="1" thickBot="1">
      <c r="A24" s="3507"/>
      <c r="B24" s="1246">
        <f>SUM(B16:B23)</f>
        <v>15.8</v>
      </c>
      <c r="C24" s="1245" t="s">
        <v>581</v>
      </c>
      <c r="D24" s="1244">
        <f>SUM(D16:D23)</f>
        <v>18.433333333333334</v>
      </c>
      <c r="E24" s="1243"/>
      <c r="F24" s="1242"/>
      <c r="G24" s="1241" t="s">
        <v>580</v>
      </c>
      <c r="H24" s="1240" t="str">
        <f>ADDRESS(ROW(B12),COLUMN(B12),4)</f>
        <v>B12</v>
      </c>
      <c r="I24" s="3516"/>
      <c r="K24" s="1318"/>
      <c r="L24" s="1317"/>
      <c r="M24" s="1317"/>
      <c r="N24" s="1317"/>
      <c r="O24" s="1317"/>
      <c r="P24" s="1317"/>
      <c r="Q24" s="1317"/>
      <c r="R24" s="1316"/>
      <c r="T24" s="3507"/>
      <c r="U24" s="1315"/>
      <c r="V24" s="1314"/>
      <c r="W24" s="1314"/>
      <c r="X24" s="1314"/>
      <c r="Y24" s="1315"/>
      <c r="Z24" s="1314"/>
      <c r="AA24" s="1315"/>
      <c r="AB24" s="1314"/>
      <c r="AC24" s="1315"/>
      <c r="AD24" s="1314"/>
      <c r="AE24" s="1315"/>
      <c r="AF24" s="1314"/>
      <c r="AG24" s="1313"/>
    </row>
    <row r="25" spans="1:40">
      <c r="B25" s="384">
        <v>10.71</v>
      </c>
      <c r="C25" s="384">
        <v>10.71</v>
      </c>
      <c r="D25" s="384">
        <v>18</v>
      </c>
      <c r="E25" s="384">
        <v>10.71</v>
      </c>
      <c r="F25" s="384">
        <v>10.71</v>
      </c>
      <c r="G25" s="384">
        <v>10.71</v>
      </c>
      <c r="H25" s="384">
        <v>10.71</v>
      </c>
      <c r="T25" s="1216"/>
      <c r="U25" s="1216"/>
      <c r="V25" s="1216"/>
      <c r="W25" s="1216"/>
      <c r="X25" s="1216"/>
      <c r="Y25" s="1216"/>
      <c r="Z25" s="1216"/>
      <c r="AA25" s="1216"/>
      <c r="AB25" s="1216"/>
      <c r="AC25" s="1216"/>
      <c r="AD25" s="1216"/>
      <c r="AE25" s="1216"/>
      <c r="AF25" s="1216"/>
      <c r="AG25" s="1216"/>
      <c r="AH25" s="1216"/>
      <c r="AI25" s="1216"/>
      <c r="AJ25" s="1216"/>
      <c r="AK25" s="1216"/>
      <c r="AL25" s="1216"/>
    </row>
    <row r="26" spans="1:40" ht="15.75" thickBot="1">
      <c r="T26" s="1312"/>
      <c r="U26" s="1311"/>
      <c r="V26" s="1311"/>
      <c r="W26" s="1311"/>
      <c r="X26" s="1311"/>
      <c r="Y26" s="1311"/>
      <c r="Z26" s="1311"/>
      <c r="AA26" s="1311"/>
      <c r="AB26" s="1311"/>
      <c r="AC26" s="1311"/>
      <c r="AD26" s="1311"/>
      <c r="AE26" s="1311"/>
      <c r="AF26" s="1310"/>
      <c r="AH26" s="1216"/>
      <c r="AI26" s="1216"/>
      <c r="AJ26" s="1216"/>
      <c r="AK26" s="1216"/>
      <c r="AL26" s="1216"/>
    </row>
    <row r="27" spans="1:40" ht="15" customHeight="1">
      <c r="A27" s="3496" t="s">
        <v>307</v>
      </c>
      <c r="B27" s="3498" t="s">
        <v>625</v>
      </c>
      <c r="C27" s="3498"/>
      <c r="D27" s="3498"/>
      <c r="E27" s="3498"/>
      <c r="F27" s="3498"/>
      <c r="G27" s="3498"/>
      <c r="H27" s="3498"/>
      <c r="I27" s="3499"/>
      <c r="K27" s="3520" t="s">
        <v>624</v>
      </c>
      <c r="L27" s="3521"/>
      <c r="M27" s="3521"/>
      <c r="N27" s="3521"/>
      <c r="O27" s="1309"/>
      <c r="P27" s="1309"/>
      <c r="Q27" s="1309"/>
      <c r="R27" s="1308"/>
      <c r="T27" s="1307"/>
      <c r="U27" s="1295" t="s">
        <v>623</v>
      </c>
      <c r="V27" s="1295"/>
      <c r="W27" s="1295"/>
      <c r="X27" s="1295"/>
      <c r="Y27" s="1295"/>
      <c r="Z27" s="1295"/>
      <c r="AA27" s="1295"/>
      <c r="AB27" s="1295"/>
      <c r="AC27" s="1295"/>
      <c r="AD27" s="1295"/>
      <c r="AE27" s="1295"/>
      <c r="AF27" s="1294"/>
      <c r="AH27" s="1216"/>
      <c r="AI27" s="1216"/>
      <c r="AJ27" s="1216"/>
      <c r="AK27" s="1216"/>
      <c r="AL27" s="1216"/>
    </row>
    <row r="28" spans="1:40" ht="15" customHeight="1">
      <c r="A28" s="3519"/>
      <c r="B28" s="3500"/>
      <c r="C28" s="3500"/>
      <c r="D28" s="3500"/>
      <c r="E28" s="3500"/>
      <c r="F28" s="3500"/>
      <c r="G28" s="3500"/>
      <c r="H28" s="3500"/>
      <c r="I28" s="3501"/>
      <c r="K28" s="1253"/>
      <c r="L28" s="1306"/>
      <c r="M28" s="7"/>
      <c r="N28" s="7"/>
      <c r="O28" s="7"/>
      <c r="P28" s="7"/>
      <c r="Q28" s="7"/>
      <c r="R28" s="792"/>
      <c r="T28" s="1304"/>
      <c r="U28" s="1227" t="s">
        <v>622</v>
      </c>
      <c r="V28" s="1227"/>
      <c r="W28" s="1227"/>
      <c r="X28" s="1227"/>
      <c r="Y28" s="1227"/>
      <c r="Z28" s="1227"/>
      <c r="AA28" s="1227"/>
      <c r="AB28" s="1227"/>
      <c r="AC28" s="1227"/>
      <c r="AD28" s="1227"/>
      <c r="AE28" s="1227"/>
      <c r="AF28" s="1301"/>
      <c r="AH28" s="1216"/>
      <c r="AI28" s="1216"/>
      <c r="AJ28" s="1216"/>
      <c r="AK28" s="1216"/>
      <c r="AL28" s="1216"/>
    </row>
    <row r="29" spans="1:40" s="1216" customFormat="1" ht="15" customHeight="1">
      <c r="A29" s="3522" t="s">
        <v>621</v>
      </c>
      <c r="B29" s="3508" t="s">
        <v>620</v>
      </c>
      <c r="C29" s="3508"/>
      <c r="D29" s="3524" t="s">
        <v>619</v>
      </c>
      <c r="E29" s="3524"/>
      <c r="F29" s="3524"/>
      <c r="G29" s="3524"/>
      <c r="H29" s="3525"/>
      <c r="I29" s="3511">
        <v>2</v>
      </c>
      <c r="K29" s="1305"/>
      <c r="L29" s="1290" t="s">
        <v>618</v>
      </c>
      <c r="M29" s="1252"/>
      <c r="N29" s="1252"/>
      <c r="O29" s="1252"/>
      <c r="P29" s="1252"/>
      <c r="Q29" s="1252"/>
      <c r="R29" s="1251"/>
      <c r="T29" s="1304"/>
      <c r="U29" s="1303" t="s">
        <v>108</v>
      </c>
      <c r="V29" s="1302" t="s">
        <v>617</v>
      </c>
      <c r="W29" s="1227"/>
      <c r="X29" s="1227"/>
      <c r="Y29" s="1227"/>
      <c r="Z29" s="1227"/>
      <c r="AA29" s="1227"/>
      <c r="AB29" s="1227"/>
      <c r="AC29" s="1227"/>
      <c r="AD29" s="1227"/>
      <c r="AE29" s="1227"/>
      <c r="AF29" s="1301"/>
      <c r="AG29" s="384"/>
      <c r="AM29" s="384"/>
      <c r="AN29" s="384"/>
    </row>
    <row r="30" spans="1:40" s="1216" customFormat="1" ht="15" customHeight="1" thickBot="1">
      <c r="A30" s="3522"/>
      <c r="B30" s="1300" t="s">
        <v>616</v>
      </c>
      <c r="C30" s="1299"/>
      <c r="D30" s="1299"/>
      <c r="E30" s="1299"/>
      <c r="F30" s="1298"/>
      <c r="G30" s="1298" t="s">
        <v>615</v>
      </c>
      <c r="H30" s="471"/>
      <c r="I30" s="3511"/>
      <c r="K30" s="1253"/>
      <c r="L30" s="7" t="s">
        <v>614</v>
      </c>
      <c r="M30" s="1252"/>
      <c r="N30" s="1252"/>
      <c r="O30" s="1252"/>
      <c r="P30" s="1252"/>
      <c r="Q30" s="1252"/>
      <c r="R30" s="1251"/>
      <c r="T30" s="1297"/>
      <c r="U30" s="1296" t="s">
        <v>613</v>
      </c>
      <c r="V30" s="1295"/>
      <c r="W30" s="1295"/>
      <c r="X30" s="1295"/>
      <c r="Y30" s="1295"/>
      <c r="Z30" s="1295"/>
      <c r="AA30" s="1295"/>
      <c r="AB30" s="1295"/>
      <c r="AC30" s="1295"/>
      <c r="AD30" s="1295"/>
      <c r="AE30" s="1295"/>
      <c r="AF30" s="1294"/>
      <c r="AG30" s="384"/>
      <c r="AM30" s="384"/>
      <c r="AN30" s="384"/>
    </row>
    <row r="31" spans="1:40" s="1216" customFormat="1" ht="15" customHeight="1">
      <c r="A31" s="3522"/>
      <c r="B31" s="1293">
        <v>1.8</v>
      </c>
      <c r="C31" s="1288"/>
      <c r="D31" s="1288"/>
      <c r="E31" s="1287"/>
      <c r="F31" s="1286"/>
      <c r="G31" s="3526">
        <v>5</v>
      </c>
      <c r="H31" s="3527" t="s">
        <v>22</v>
      </c>
      <c r="I31" s="3528" t="str">
        <f>B27</f>
        <v>NOM DE LA RECETTE</v>
      </c>
      <c r="K31" s="1253"/>
      <c r="L31" s="1270"/>
      <c r="M31" s="1252"/>
      <c r="N31" s="1291" t="s">
        <v>612</v>
      </c>
      <c r="O31" s="1292">
        <f>B43</f>
        <v>16.2</v>
      </c>
      <c r="P31" s="1291" t="s">
        <v>98</v>
      </c>
      <c r="Q31" s="1290" t="str">
        <f>C43</f>
        <v>si vous voulez refaire la</v>
      </c>
      <c r="R31" s="1251"/>
      <c r="T31" s="1229"/>
      <c r="U31" s="1228" t="s">
        <v>611</v>
      </c>
      <c r="V31" s="1227"/>
      <c r="W31" s="1227"/>
      <c r="X31" s="1227"/>
      <c r="Y31" s="1221"/>
      <c r="Z31" s="1227"/>
      <c r="AA31" s="1227"/>
      <c r="AB31" s="1227"/>
      <c r="AC31" s="1227"/>
      <c r="AD31" s="1221"/>
      <c r="AE31" s="1221"/>
      <c r="AF31" s="1220"/>
      <c r="AG31" s="384"/>
      <c r="AM31" s="384"/>
      <c r="AN31" s="384"/>
    </row>
    <row r="32" spans="1:40" s="1216" customFormat="1" ht="15" customHeight="1" thickBot="1">
      <c r="A32" s="3522"/>
      <c r="B32" s="1289" t="s">
        <v>22</v>
      </c>
      <c r="C32" s="1288"/>
      <c r="D32" s="1288"/>
      <c r="E32" s="1287"/>
      <c r="F32" s="1286"/>
      <c r="G32" s="3526"/>
      <c r="H32" s="3527"/>
      <c r="I32" s="3528"/>
      <c r="K32" s="1253"/>
      <c r="L32" s="7" t="s">
        <v>610</v>
      </c>
      <c r="M32" s="1252"/>
      <c r="N32" s="1252"/>
      <c r="O32" s="1252"/>
      <c r="P32" s="1252"/>
      <c r="Q32" s="1252"/>
      <c r="R32" s="1251"/>
      <c r="T32" s="1229"/>
      <c r="U32" s="1228" t="s">
        <v>609</v>
      </c>
      <c r="V32" s="1227"/>
      <c r="W32" s="1227"/>
      <c r="X32" s="1227"/>
      <c r="Y32" s="1221"/>
      <c r="Z32" s="1227"/>
      <c r="AA32" s="1227"/>
      <c r="AB32" s="1227"/>
      <c r="AC32" s="1227"/>
      <c r="AD32" s="1221"/>
      <c r="AE32" s="1221"/>
      <c r="AF32" s="1220"/>
      <c r="AG32" s="384"/>
      <c r="AM32" s="384"/>
      <c r="AN32" s="384"/>
    </row>
    <row r="33" spans="1:40" s="1216" customFormat="1" ht="15" customHeight="1">
      <c r="A33" s="3522"/>
      <c r="B33" s="1285"/>
      <c r="C33" s="1284" t="s">
        <v>41</v>
      </c>
      <c r="D33" s="1283" t="s">
        <v>608</v>
      </c>
      <c r="E33" s="3517" t="s">
        <v>607</v>
      </c>
      <c r="F33" s="3517"/>
      <c r="G33" s="1282" t="s">
        <v>606</v>
      </c>
      <c r="H33" s="1282"/>
      <c r="I33" s="3528"/>
      <c r="K33" s="1253"/>
      <c r="L33" s="7" t="s">
        <v>605</v>
      </c>
      <c r="M33" s="1252"/>
      <c r="N33" s="1252"/>
      <c r="O33" s="1252"/>
      <c r="P33" s="1252"/>
      <c r="Q33" s="1252"/>
      <c r="R33" s="1251"/>
      <c r="T33" s="1275"/>
      <c r="U33" s="1274" t="s">
        <v>604</v>
      </c>
      <c r="V33" s="1273"/>
      <c r="W33" s="1273"/>
      <c r="X33" s="1273"/>
      <c r="Y33" s="1273"/>
      <c r="Z33" s="1273"/>
      <c r="AA33" s="1273"/>
      <c r="AB33" s="1273"/>
      <c r="AC33" s="1273"/>
      <c r="AD33" s="1273"/>
      <c r="AE33" s="1273"/>
      <c r="AF33" s="1281"/>
      <c r="AG33" s="384"/>
      <c r="AM33" s="384"/>
      <c r="AN33" s="384"/>
    </row>
    <row r="34" spans="1:40" s="1216" customFormat="1" ht="15" customHeight="1">
      <c r="A34" s="3522"/>
      <c r="B34" s="1278" t="s">
        <v>603</v>
      </c>
      <c r="C34" s="1280" t="s">
        <v>602</v>
      </c>
      <c r="D34" s="1279"/>
      <c r="E34" s="1278" t="s">
        <v>601</v>
      </c>
      <c r="F34" s="1277"/>
      <c r="G34" s="1277"/>
      <c r="H34" s="1276"/>
      <c r="I34" s="3528"/>
      <c r="K34" s="1253"/>
      <c r="L34" s="1270"/>
      <c r="M34" s="1252"/>
      <c r="N34" s="1252"/>
      <c r="O34" s="1252"/>
      <c r="P34" s="1252"/>
      <c r="Q34" s="1252"/>
      <c r="R34" s="1251"/>
      <c r="T34" s="1275"/>
      <c r="U34" s="1274" t="s">
        <v>600</v>
      </c>
      <c r="V34" s="1273"/>
      <c r="W34" s="1273"/>
      <c r="X34" s="1273"/>
      <c r="Y34" s="1272"/>
      <c r="Z34" s="1273"/>
      <c r="AA34" s="1273"/>
      <c r="AB34" s="1273"/>
      <c r="AC34" s="1273"/>
      <c r="AD34" s="1272"/>
      <c r="AE34" s="1272"/>
      <c r="AF34" s="1271"/>
      <c r="AG34" s="384"/>
      <c r="AM34" s="384"/>
      <c r="AN34" s="384"/>
    </row>
    <row r="35" spans="1:40" s="1216" customFormat="1" ht="15" customHeight="1">
      <c r="A35" s="3522"/>
      <c r="B35" s="1260">
        <v>1.8</v>
      </c>
      <c r="C35" s="1259" t="s">
        <v>599</v>
      </c>
      <c r="D35" s="1258">
        <f>IF(B35="","",IF(ISTEXT(B35),B35,(B35/B31)*G31))</f>
        <v>5</v>
      </c>
      <c r="E35" s="1257" t="s">
        <v>598</v>
      </c>
      <c r="F35" s="1256" t="s">
        <v>597</v>
      </c>
      <c r="G35" s="1255"/>
      <c r="H35" s="1254"/>
      <c r="I35" s="3528"/>
      <c r="K35" s="1253"/>
      <c r="L35" s="1270" t="s">
        <v>596</v>
      </c>
      <c r="M35" s="1252"/>
      <c r="N35" s="1252"/>
      <c r="O35" s="1252"/>
      <c r="P35" s="1252"/>
      <c r="Q35" s="1252"/>
      <c r="R35" s="1251"/>
      <c r="T35" s="1275"/>
      <c r="U35" s="1274" t="s">
        <v>595</v>
      </c>
      <c r="V35" s="1273"/>
      <c r="W35" s="1273"/>
      <c r="X35" s="1273"/>
      <c r="Y35" s="1272"/>
      <c r="Z35" s="1273"/>
      <c r="AA35" s="1273"/>
      <c r="AB35" s="1273"/>
      <c r="AC35" s="1273"/>
      <c r="AD35" s="1272"/>
      <c r="AE35" s="1272"/>
      <c r="AF35" s="1271"/>
      <c r="AG35" s="384"/>
      <c r="AM35" s="384"/>
      <c r="AN35" s="384"/>
    </row>
    <row r="36" spans="1:40" s="1216" customFormat="1" ht="15" customHeight="1">
      <c r="A36" s="3522"/>
      <c r="B36" s="1260">
        <v>2</v>
      </c>
      <c r="C36" s="1259"/>
      <c r="D36" s="1258">
        <f>IF(B36="","",IF(ISTEXT(B36),B36,(B36/B31)*G31))</f>
        <v>5.5555555555555554</v>
      </c>
      <c r="E36" s="1257"/>
      <c r="F36" s="1256"/>
      <c r="G36" s="1255"/>
      <c r="H36" s="1254"/>
      <c r="I36" s="3528"/>
      <c r="K36" s="1253"/>
      <c r="L36" s="1270"/>
      <c r="M36" s="1252"/>
      <c r="N36" s="1252"/>
      <c r="O36" s="1252"/>
      <c r="P36" s="1252"/>
      <c r="Q36" s="1252"/>
      <c r="R36" s="1251"/>
      <c r="T36" s="1236"/>
      <c r="U36" s="1265" t="s">
        <v>594</v>
      </c>
      <c r="V36" s="1264"/>
      <c r="W36" s="1264"/>
      <c r="X36" s="1264"/>
      <c r="Y36" s="1264"/>
      <c r="Z36" s="1264"/>
      <c r="AA36" s="1264"/>
      <c r="AB36" s="1264"/>
      <c r="AC36" s="1264"/>
      <c r="AD36" s="1264"/>
      <c r="AE36" s="1264"/>
      <c r="AF36" s="1266"/>
      <c r="AG36" s="384"/>
      <c r="AM36" s="384"/>
      <c r="AN36" s="384"/>
    </row>
    <row r="37" spans="1:40" s="1216" customFormat="1" ht="15" customHeight="1">
      <c r="A37" s="3522"/>
      <c r="B37" s="1260"/>
      <c r="C37" s="1269"/>
      <c r="D37" s="1258" t="str">
        <f>IF(B37="","",IF(ISTEXT(B37),B37,(B37/B31)*G31))</f>
        <v/>
      </c>
      <c r="E37" s="1257"/>
      <c r="F37" s="1256"/>
      <c r="G37" s="1255"/>
      <c r="H37" s="1254"/>
      <c r="I37" s="3528"/>
      <c r="K37" s="1267"/>
      <c r="L37" s="8" t="s">
        <v>593</v>
      </c>
      <c r="M37" s="1270"/>
      <c r="N37" s="1268"/>
      <c r="O37" s="1268"/>
      <c r="P37" s="1252"/>
      <c r="Q37" s="1252"/>
      <c r="R37" s="1251"/>
      <c r="T37" s="1236"/>
      <c r="U37" s="1265" t="s">
        <v>592</v>
      </c>
      <c r="V37" s="1264"/>
      <c r="W37" s="1264"/>
      <c r="X37" s="1264"/>
      <c r="Y37" s="1264"/>
      <c r="Z37" s="1264"/>
      <c r="AA37" s="1264"/>
      <c r="AB37" s="1264"/>
      <c r="AC37" s="1264"/>
      <c r="AD37" s="1264"/>
      <c r="AE37" s="1264"/>
      <c r="AF37" s="1266"/>
      <c r="AG37" s="384"/>
      <c r="AM37" s="384"/>
      <c r="AN37" s="384"/>
    </row>
    <row r="38" spans="1:40" s="1216" customFormat="1" ht="15" customHeight="1" thickBot="1">
      <c r="A38" s="3522"/>
      <c r="B38" s="1260">
        <v>3</v>
      </c>
      <c r="C38" s="1269"/>
      <c r="D38" s="1258">
        <f>IF(B38="","",IF(ISTEXT(B38),B38,(B38/B31)*G31))</f>
        <v>8.3333333333333321</v>
      </c>
      <c r="E38" s="1257"/>
      <c r="F38" s="1256"/>
      <c r="G38" s="1255"/>
      <c r="H38" s="1254"/>
      <c r="I38" s="3528"/>
      <c r="K38" s="1267"/>
      <c r="L38" s="3518" t="s">
        <v>591</v>
      </c>
      <c r="M38" s="3518"/>
      <c r="N38" s="3518"/>
      <c r="O38" s="1268" t="s">
        <v>590</v>
      </c>
      <c r="P38" s="1252"/>
      <c r="Q38" s="1252"/>
      <c r="R38" s="1251"/>
      <c r="T38" s="1236"/>
      <c r="U38" s="1265" t="s">
        <v>589</v>
      </c>
      <c r="V38" s="1264"/>
      <c r="W38" s="1264"/>
      <c r="X38" s="1264"/>
      <c r="Y38" s="1264"/>
      <c r="Z38" s="1264"/>
      <c r="AA38" s="1264"/>
      <c r="AB38" s="1264"/>
      <c r="AC38" s="1264"/>
      <c r="AD38" s="1264"/>
      <c r="AE38" s="1264"/>
      <c r="AF38" s="1266"/>
      <c r="AG38" s="384"/>
      <c r="AM38" s="384"/>
      <c r="AN38" s="384"/>
    </row>
    <row r="39" spans="1:40" s="1216" customFormat="1" ht="15" customHeight="1">
      <c r="A39" s="3522"/>
      <c r="B39" s="1260">
        <v>8</v>
      </c>
      <c r="C39" s="1259"/>
      <c r="D39" s="1258">
        <f>IF(B39="","",IF(ISTEXT(B39),B39,(B39/B31)*G31))</f>
        <v>22.222222222222221</v>
      </c>
      <c r="E39" s="1257"/>
      <c r="F39" s="1256"/>
      <c r="G39" s="1255"/>
      <c r="H39" s="1254"/>
      <c r="I39" s="3528"/>
      <c r="K39" s="1267"/>
      <c r="L39" s="3530" t="s">
        <v>588</v>
      </c>
      <c r="M39" s="3530"/>
      <c r="N39" s="3530"/>
      <c r="O39" s="1252"/>
      <c r="P39" s="1252"/>
      <c r="Q39" s="1252"/>
      <c r="R39" s="1251"/>
      <c r="T39" s="1236"/>
      <c r="U39" s="1265" t="s">
        <v>587</v>
      </c>
      <c r="V39" s="1264"/>
      <c r="W39" s="1264"/>
      <c r="X39" s="1264"/>
      <c r="Y39" s="1264"/>
      <c r="Z39" s="1264"/>
      <c r="AA39" s="1264"/>
      <c r="AB39" s="1264"/>
      <c r="AC39" s="1264"/>
      <c r="AD39" s="1264"/>
      <c r="AE39" s="1264"/>
      <c r="AF39" s="1266"/>
      <c r="AG39" s="384"/>
      <c r="AM39" s="384"/>
      <c r="AN39" s="384"/>
    </row>
    <row r="40" spans="1:40" s="1216" customFormat="1" ht="15" customHeight="1">
      <c r="A40" s="3522"/>
      <c r="B40" s="1260">
        <v>1</v>
      </c>
      <c r="C40" s="1259"/>
      <c r="D40" s="1258">
        <f>IF(B40="","",IF(ISTEXT(B40),B40,(B40/B31)*G31))</f>
        <v>2.7777777777777777</v>
      </c>
      <c r="E40" s="1257"/>
      <c r="F40" s="1256"/>
      <c r="G40" s="1255"/>
      <c r="H40" s="1254"/>
      <c r="I40" s="3528"/>
      <c r="K40" s="1253"/>
      <c r="L40" s="1252"/>
      <c r="M40" s="1252"/>
      <c r="N40" s="1252"/>
      <c r="O40" s="1252"/>
      <c r="P40" s="1252"/>
      <c r="Q40" s="1252"/>
      <c r="R40" s="1251"/>
      <c r="T40" s="1236"/>
      <c r="U40" s="1265" t="s">
        <v>586</v>
      </c>
      <c r="V40" s="1264"/>
      <c r="W40" s="1264"/>
      <c r="X40" s="1264"/>
      <c r="Y40" s="1263"/>
      <c r="Z40" s="1264"/>
      <c r="AA40" s="1264"/>
      <c r="AB40" s="1264"/>
      <c r="AC40" s="1264"/>
      <c r="AD40" s="1263"/>
      <c r="AE40" s="1263"/>
      <c r="AF40" s="1262"/>
      <c r="AG40" s="384"/>
      <c r="AM40" s="384"/>
      <c r="AN40" s="384"/>
    </row>
    <row r="41" spans="1:40" s="1216" customFormat="1" ht="15" customHeight="1">
      <c r="A41" s="3522"/>
      <c r="B41" s="1260">
        <v>0.2</v>
      </c>
      <c r="C41" s="1259"/>
      <c r="D41" s="1258">
        <f>IF(B41="","",IF(ISTEXT(B41),B41,(B41/B$31)*G$31))</f>
        <v>0.55555555555555558</v>
      </c>
      <c r="E41" s="1257"/>
      <c r="F41" s="1256"/>
      <c r="G41" s="1255"/>
      <c r="H41" s="1254"/>
      <c r="I41" s="3528"/>
      <c r="K41" s="1253"/>
      <c r="L41" s="1252"/>
      <c r="M41" s="1252"/>
      <c r="N41" s="1252"/>
      <c r="O41" s="1252"/>
      <c r="P41" s="373" t="s">
        <v>585</v>
      </c>
      <c r="Q41" s="1261">
        <f>B43</f>
        <v>16.2</v>
      </c>
      <c r="R41" s="1251"/>
      <c r="T41" s="1236"/>
      <c r="U41" s="1250" t="s">
        <v>584</v>
      </c>
      <c r="V41" s="1249"/>
      <c r="W41" s="1248"/>
      <c r="X41" s="1248"/>
      <c r="Y41" s="1248"/>
      <c r="Z41" s="1248"/>
      <c r="AA41" s="1248"/>
      <c r="AB41" s="1248"/>
      <c r="AC41" s="1248"/>
      <c r="AD41" s="1248"/>
      <c r="AE41" s="1248"/>
      <c r="AF41" s="1247"/>
      <c r="AG41" s="384"/>
      <c r="AM41" s="384"/>
      <c r="AN41" s="384"/>
    </row>
    <row r="42" spans="1:40" s="1216" customFormat="1" ht="15" customHeight="1">
      <c r="A42" s="3522"/>
      <c r="B42" s="1260">
        <v>0.2</v>
      </c>
      <c r="C42" s="1259"/>
      <c r="D42" s="1258">
        <f>IF(B42="","",IF(ISTEXT(B42),B42,(B42/B$31)*G$31))</f>
        <v>0.55555555555555558</v>
      </c>
      <c r="E42" s="1257"/>
      <c r="F42" s="1256"/>
      <c r="G42" s="1255"/>
      <c r="H42" s="1254"/>
      <c r="I42" s="3528"/>
      <c r="K42" s="1253"/>
      <c r="L42" s="1252"/>
      <c r="M42" s="1252"/>
      <c r="N42" s="1252"/>
      <c r="O42" s="1252"/>
      <c r="P42" s="1252" t="s">
        <v>583</v>
      </c>
      <c r="Q42" s="1252" t="str">
        <f>C43</f>
        <v>si vous voulez refaire la</v>
      </c>
      <c r="R42" s="1251"/>
      <c r="T42" s="1236"/>
      <c r="U42" s="1250" t="s">
        <v>582</v>
      </c>
      <c r="V42" s="1249"/>
      <c r="W42" s="1248"/>
      <c r="X42" s="1248"/>
      <c r="Y42" s="1248"/>
      <c r="Z42" s="1248"/>
      <c r="AA42" s="1248"/>
      <c r="AB42" s="1248"/>
      <c r="AC42" s="1248"/>
      <c r="AD42" s="1248"/>
      <c r="AE42" s="1248"/>
      <c r="AF42" s="1247"/>
      <c r="AG42" s="384"/>
      <c r="AM42" s="384"/>
      <c r="AN42" s="384"/>
    </row>
    <row r="43" spans="1:40" s="1216" customFormat="1" ht="15" customHeight="1" thickBot="1">
      <c r="A43" s="3523"/>
      <c r="B43" s="1246">
        <f>SUM(B35:B42)</f>
        <v>16.2</v>
      </c>
      <c r="C43" s="1245" t="s">
        <v>581</v>
      </c>
      <c r="D43" s="1244">
        <f>SUM(D35:D42)</f>
        <v>45</v>
      </c>
      <c r="E43" s="1243"/>
      <c r="F43" s="1242"/>
      <c r="G43" s="1241" t="s">
        <v>580</v>
      </c>
      <c r="H43" s="1240" t="str">
        <f>ADDRESS(ROW(B31),COLUMN(B31),4)</f>
        <v>B31</v>
      </c>
      <c r="I43" s="3529"/>
      <c r="K43" s="1239"/>
      <c r="L43" s="1238"/>
      <c r="M43" s="1238"/>
      <c r="N43" s="1238"/>
      <c r="O43" s="1238"/>
      <c r="P43" s="1238"/>
      <c r="Q43" s="1238"/>
      <c r="R43" s="1237"/>
      <c r="T43" s="1236"/>
      <c r="U43" s="1105"/>
      <c r="V43" s="1105"/>
      <c r="W43" s="1105"/>
      <c r="X43" s="1105"/>
      <c r="Y43" s="1105"/>
      <c r="Z43" s="1105"/>
      <c r="AA43" s="1105"/>
      <c r="AB43" s="1105"/>
      <c r="AC43" s="987"/>
      <c r="AD43" s="1235" t="s">
        <v>579</v>
      </c>
      <c r="AE43" s="1234" t="s">
        <v>307</v>
      </c>
      <c r="AF43" s="1233" t="s">
        <v>307</v>
      </c>
      <c r="AG43" s="384"/>
      <c r="AM43" s="384"/>
      <c r="AN43" s="384"/>
    </row>
    <row r="44" spans="1:40" ht="18.75">
      <c r="T44" s="1229"/>
      <c r="U44" s="1228" t="s">
        <v>578</v>
      </c>
      <c r="V44" s="1231"/>
      <c r="W44" s="1231"/>
      <c r="X44" s="1231"/>
      <c r="Y44" s="1232"/>
      <c r="Z44" s="1231"/>
      <c r="AA44" s="1231"/>
      <c r="AB44" s="1231"/>
      <c r="AC44" s="1231"/>
      <c r="AD44" s="1231"/>
      <c r="AE44" s="1231"/>
      <c r="AF44" s="1230"/>
      <c r="AH44" s="1216"/>
      <c r="AI44" s="1216"/>
      <c r="AJ44" s="1216"/>
      <c r="AK44" s="1216"/>
      <c r="AL44" s="1216"/>
    </row>
    <row r="45" spans="1:40" ht="18.75">
      <c r="T45" s="1229"/>
      <c r="U45" s="1228" t="s">
        <v>577</v>
      </c>
      <c r="V45" s="1227"/>
      <c r="W45" s="1221"/>
      <c r="X45" s="1221"/>
      <c r="Y45" s="1221"/>
      <c r="Z45" s="1221"/>
      <c r="AA45" s="1221"/>
      <c r="AB45" s="1221"/>
      <c r="AC45" s="1221"/>
      <c r="AD45" s="1221"/>
      <c r="AE45" s="1221"/>
      <c r="AF45" s="1220"/>
      <c r="AH45" s="1216"/>
      <c r="AI45" s="1216"/>
      <c r="AJ45" s="1216"/>
      <c r="AK45" s="1216"/>
      <c r="AL45" s="1216"/>
    </row>
    <row r="46" spans="1:40" ht="18.75">
      <c r="A46" s="1225">
        <v>2.86</v>
      </c>
      <c r="B46" s="1226">
        <v>8</v>
      </c>
      <c r="C46" s="1226">
        <v>25</v>
      </c>
      <c r="D46" s="1226">
        <v>8</v>
      </c>
      <c r="E46" s="1226">
        <v>8</v>
      </c>
      <c r="F46" s="1226">
        <v>18</v>
      </c>
      <c r="G46" s="1226">
        <v>18</v>
      </c>
      <c r="H46" s="1226">
        <v>18</v>
      </c>
      <c r="I46" s="1225">
        <v>2.86</v>
      </c>
      <c r="J46" s="1224" t="s">
        <v>576</v>
      </c>
      <c r="T46" s="1223"/>
      <c r="U46" s="1222" t="s">
        <v>575</v>
      </c>
      <c r="V46" s="1221"/>
      <c r="W46" s="1221"/>
      <c r="X46" s="1221"/>
      <c r="Y46" s="1221"/>
      <c r="Z46" s="1221"/>
      <c r="AA46" s="1221"/>
      <c r="AB46" s="1221"/>
      <c r="AC46" s="1221"/>
      <c r="AD46" s="1221"/>
      <c r="AE46" s="1221"/>
      <c r="AF46" s="1220"/>
      <c r="AH46" s="1216"/>
      <c r="AI46" s="1216"/>
      <c r="AJ46" s="1216"/>
      <c r="AK46" s="1216"/>
      <c r="AL46" s="1216"/>
    </row>
    <row r="47" spans="1:40" ht="18.75">
      <c r="T47" s="1219"/>
      <c r="U47" s="1218" t="s">
        <v>574</v>
      </c>
      <c r="V47" s="1218"/>
      <c r="W47" s="1218"/>
      <c r="X47" s="1218"/>
      <c r="Y47" s="1218"/>
      <c r="Z47" s="1218"/>
      <c r="AA47" s="1218"/>
      <c r="AB47" s="1218"/>
      <c r="AC47" s="1218"/>
      <c r="AD47" s="1218"/>
      <c r="AE47" s="1218"/>
      <c r="AF47" s="1217"/>
      <c r="AH47" s="1216"/>
      <c r="AI47" s="1216"/>
      <c r="AJ47" s="1216"/>
      <c r="AK47" s="1216"/>
      <c r="AL47" s="1216"/>
    </row>
    <row r="48" spans="1:40">
      <c r="AH48" s="1216"/>
      <c r="AI48" s="1216"/>
      <c r="AJ48" s="1216"/>
      <c r="AK48" s="1216"/>
      <c r="AL48" s="1216"/>
    </row>
    <row r="49" spans="34:38">
      <c r="AH49" s="1216"/>
      <c r="AI49" s="1216"/>
      <c r="AJ49" s="1216"/>
      <c r="AK49" s="1216"/>
      <c r="AL49" s="1216"/>
    </row>
    <row r="50" spans="34:38">
      <c r="AH50" s="1216"/>
      <c r="AI50" s="1216"/>
      <c r="AJ50" s="1216"/>
      <c r="AK50" s="1216"/>
      <c r="AL50" s="1216"/>
    </row>
    <row r="51" spans="34:38">
      <c r="AH51" s="1216"/>
      <c r="AI51" s="1216"/>
      <c r="AJ51" s="1216"/>
      <c r="AK51" s="1216"/>
      <c r="AL51" s="1216"/>
    </row>
    <row r="52" spans="34:38">
      <c r="AH52" s="1216"/>
      <c r="AI52" s="1216"/>
      <c r="AJ52" s="1216"/>
      <c r="AK52" s="1216"/>
      <c r="AL52" s="1216"/>
    </row>
    <row r="53" spans="34:38">
      <c r="AH53" s="1216"/>
      <c r="AI53" s="1216"/>
      <c r="AJ53" s="1216"/>
      <c r="AK53" s="1216"/>
      <c r="AL53" s="1216"/>
    </row>
    <row r="54" spans="34:38">
      <c r="AH54" s="1216"/>
      <c r="AI54" s="1216"/>
      <c r="AJ54" s="1216"/>
      <c r="AK54" s="1216"/>
      <c r="AL54" s="1216"/>
    </row>
    <row r="55" spans="34:38">
      <c r="AH55" s="1216"/>
      <c r="AI55" s="1216"/>
      <c r="AJ55" s="1216"/>
      <c r="AK55" s="1216"/>
      <c r="AL55" s="1216"/>
    </row>
    <row r="56" spans="34:38">
      <c r="AH56" s="1216"/>
      <c r="AI56" s="1216"/>
      <c r="AJ56" s="1216"/>
      <c r="AK56" s="1216"/>
      <c r="AL56" s="1216"/>
    </row>
  </sheetData>
  <mergeCells count="30">
    <mergeCell ref="A27:A28"/>
    <mergeCell ref="B27:I28"/>
    <mergeCell ref="K27:N27"/>
    <mergeCell ref="A29:A43"/>
    <mergeCell ref="B29:C29"/>
    <mergeCell ref="D29:H29"/>
    <mergeCell ref="I29:I30"/>
    <mergeCell ref="G31:G32"/>
    <mergeCell ref="H31:H32"/>
    <mergeCell ref="I31:I43"/>
    <mergeCell ref="E33:F33"/>
    <mergeCell ref="L38:N38"/>
    <mergeCell ref="L39:N39"/>
    <mergeCell ref="A10:A24"/>
    <mergeCell ref="B10:C10"/>
    <mergeCell ref="D10:H10"/>
    <mergeCell ref="I10:I11"/>
    <mergeCell ref="T10:T24"/>
    <mergeCell ref="G12:G13"/>
    <mergeCell ref="H12:H13"/>
    <mergeCell ref="I12:I24"/>
    <mergeCell ref="E14:F14"/>
    <mergeCell ref="L18:N18"/>
    <mergeCell ref="L19:N19"/>
    <mergeCell ref="U8:AG9"/>
    <mergeCell ref="B2:I6"/>
    <mergeCell ref="A8:A9"/>
    <mergeCell ref="B8:I9"/>
    <mergeCell ref="K8:N8"/>
    <mergeCell ref="T8:T9"/>
  </mergeCells>
  <hyperlinks>
    <hyperlink ref="V29" r:id="rId1" xr:uid="{90AFBB69-8335-42C7-9B9F-DBBC135918AD}"/>
  </hyperlinks>
  <pageMargins left="0.7" right="0.7" top="0.75" bottom="0.75" header="0.3" footer="0.3"/>
  <pageSetup paperSize="9" orientation="portrait"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1C7C33-C01A-4254-AC4A-E0D0BFDF2CF9}">
  <dimension ref="A1:AR227"/>
  <sheetViews>
    <sheetView zoomScale="75" zoomScaleNormal="75" workbookViewId="0">
      <selection activeCell="Q17" sqref="Q17"/>
    </sheetView>
  </sheetViews>
  <sheetFormatPr baseColWidth="10" defaultRowHeight="12.75"/>
  <cols>
    <col min="1" max="27" width="15.7109375" style="989" customWidth="1"/>
    <col min="28" max="16384" width="11.42578125" style="989"/>
  </cols>
  <sheetData>
    <row r="1" spans="1:33" ht="30" customHeight="1">
      <c r="A1" s="2610">
        <f t="shared" ref="A1:AA1" ca="1" si="0">CELL("largeur",A1)</f>
        <v>15</v>
      </c>
      <c r="B1" s="2610">
        <f t="shared" ca="1" si="0"/>
        <v>15</v>
      </c>
      <c r="C1" s="2610">
        <f t="shared" ca="1" si="0"/>
        <v>15</v>
      </c>
      <c r="D1" s="2610">
        <f t="shared" ca="1" si="0"/>
        <v>15</v>
      </c>
      <c r="E1" s="2610">
        <f t="shared" ca="1" si="0"/>
        <v>15</v>
      </c>
      <c r="F1" s="2610">
        <f t="shared" ca="1" si="0"/>
        <v>15</v>
      </c>
      <c r="G1" s="2610">
        <f t="shared" ca="1" si="0"/>
        <v>15</v>
      </c>
      <c r="H1" s="2610">
        <f t="shared" ca="1" si="0"/>
        <v>15</v>
      </c>
      <c r="I1" s="2610">
        <f t="shared" ca="1" si="0"/>
        <v>15</v>
      </c>
      <c r="J1" s="2610">
        <f t="shared" ca="1" si="0"/>
        <v>15</v>
      </c>
      <c r="K1" s="2610">
        <f t="shared" ca="1" si="0"/>
        <v>15</v>
      </c>
      <c r="L1" s="2610">
        <f t="shared" ca="1" si="0"/>
        <v>15</v>
      </c>
      <c r="M1" s="2610">
        <f t="shared" ca="1" si="0"/>
        <v>15</v>
      </c>
      <c r="N1" s="2610">
        <f t="shared" ca="1" si="0"/>
        <v>15</v>
      </c>
      <c r="O1" s="2610">
        <f t="shared" ca="1" si="0"/>
        <v>15</v>
      </c>
      <c r="P1" s="2610">
        <f t="shared" ca="1" si="0"/>
        <v>15</v>
      </c>
      <c r="Q1" s="2610">
        <f t="shared" ca="1" si="0"/>
        <v>15</v>
      </c>
      <c r="R1" s="2610">
        <f t="shared" ca="1" si="0"/>
        <v>15</v>
      </c>
      <c r="S1" s="2610">
        <f t="shared" ca="1" si="0"/>
        <v>15</v>
      </c>
      <c r="T1" s="2610">
        <f t="shared" ca="1" si="0"/>
        <v>15</v>
      </c>
      <c r="U1" s="2610">
        <f t="shared" ca="1" si="0"/>
        <v>15</v>
      </c>
      <c r="V1" s="2610">
        <f t="shared" ca="1" si="0"/>
        <v>15</v>
      </c>
      <c r="W1" s="2610">
        <f t="shared" ca="1" si="0"/>
        <v>15</v>
      </c>
      <c r="X1" s="2610">
        <f t="shared" ca="1" si="0"/>
        <v>15</v>
      </c>
      <c r="Y1" s="2610">
        <f t="shared" ca="1" si="0"/>
        <v>15</v>
      </c>
      <c r="Z1" s="2610">
        <f t="shared" ca="1" si="0"/>
        <v>15</v>
      </c>
      <c r="AA1" s="2610">
        <f t="shared" ca="1" si="0"/>
        <v>15</v>
      </c>
    </row>
    <row r="2" spans="1:33" ht="30" customHeight="1">
      <c r="A2" s="992"/>
      <c r="B2" s="990"/>
      <c r="C2" s="990"/>
      <c r="D2" s="990"/>
      <c r="E2" s="990"/>
      <c r="F2" s="990"/>
      <c r="G2" s="990"/>
      <c r="H2" s="990"/>
      <c r="I2" s="990"/>
      <c r="J2" s="990"/>
      <c r="K2" s="990"/>
      <c r="L2" s="990"/>
      <c r="M2" s="990"/>
      <c r="N2" s="990"/>
      <c r="O2" s="990"/>
      <c r="P2" s="990"/>
      <c r="Q2" s="990"/>
      <c r="R2" s="990"/>
      <c r="S2" s="990"/>
      <c r="T2" s="990"/>
      <c r="U2" s="990"/>
      <c r="V2" s="990"/>
      <c r="W2" s="990"/>
      <c r="X2" s="990"/>
      <c r="Y2" s="990"/>
      <c r="Z2" s="990"/>
      <c r="AA2" s="990"/>
    </row>
    <row r="3" spans="1:33" ht="30" customHeight="1">
      <c r="A3" s="992"/>
      <c r="B3" s="2614" t="s">
        <v>6026</v>
      </c>
      <c r="C3" s="992"/>
      <c r="D3" s="992"/>
      <c r="E3" s="992"/>
      <c r="F3" s="992"/>
      <c r="G3" s="992"/>
      <c r="H3" s="992"/>
      <c r="I3" s="2440"/>
      <c r="J3" s="992"/>
      <c r="K3" s="992"/>
      <c r="L3" s="2440"/>
      <c r="M3" s="2440"/>
      <c r="N3" s="2440"/>
      <c r="O3" s="2440"/>
      <c r="P3" s="2192" t="s">
        <v>1971</v>
      </c>
      <c r="Q3" s="990"/>
      <c r="R3" s="990"/>
      <c r="S3" s="990"/>
      <c r="T3" s="990"/>
      <c r="U3" s="2192"/>
      <c r="V3" s="990"/>
      <c r="W3" s="990"/>
      <c r="X3" s="990"/>
      <c r="Y3" s="990"/>
      <c r="Z3" s="990"/>
      <c r="AA3" s="990"/>
    </row>
    <row r="4" spans="1:33" ht="30" customHeight="1">
      <c r="A4" s="992"/>
      <c r="B4" s="2614" t="s">
        <v>6025</v>
      </c>
      <c r="C4" s="990"/>
      <c r="D4" s="990"/>
      <c r="E4" s="990"/>
      <c r="F4" s="990"/>
      <c r="G4" s="990"/>
      <c r="H4" s="990"/>
      <c r="I4" s="990"/>
      <c r="J4" s="990"/>
      <c r="K4" s="990"/>
      <c r="L4" s="990"/>
      <c r="M4" s="990"/>
      <c r="N4" s="990"/>
      <c r="O4" s="990"/>
      <c r="P4" s="2192" t="s">
        <v>569</v>
      </c>
      <c r="Q4" s="990"/>
      <c r="R4" s="990"/>
      <c r="S4" s="990"/>
      <c r="T4" s="990"/>
      <c r="U4" s="2192"/>
      <c r="V4" s="990"/>
      <c r="W4" s="990"/>
      <c r="X4" s="990"/>
      <c r="Y4" s="990"/>
      <c r="Z4" s="990"/>
      <c r="AA4" s="990"/>
    </row>
    <row r="5" spans="1:33" ht="30" customHeight="1">
      <c r="A5" s="992"/>
      <c r="B5" s="990"/>
      <c r="C5" s="990"/>
      <c r="D5" s="990"/>
      <c r="E5" s="990"/>
      <c r="F5" s="990"/>
      <c r="G5" s="990"/>
      <c r="H5" s="990"/>
      <c r="I5" s="990"/>
      <c r="J5" s="990"/>
      <c r="K5" s="990"/>
      <c r="L5" s="990"/>
      <c r="M5" s="990"/>
      <c r="N5" s="990"/>
      <c r="O5" s="990"/>
      <c r="P5" s="990"/>
      <c r="Q5" s="990"/>
      <c r="R5" s="990"/>
      <c r="S5" s="990"/>
      <c r="T5" s="990"/>
      <c r="U5" s="990"/>
      <c r="V5" s="990"/>
      <c r="W5" s="990"/>
      <c r="X5" s="990"/>
      <c r="Y5" s="990"/>
      <c r="Z5" s="990"/>
      <c r="AA5" s="990"/>
    </row>
    <row r="6" spans="1:33" s="987" customFormat="1" ht="40.5" customHeight="1">
      <c r="A6" s="992"/>
      <c r="B6" s="993"/>
      <c r="C6" s="2613" t="s">
        <v>6024</v>
      </c>
      <c r="D6" s="990"/>
      <c r="E6" s="990"/>
      <c r="F6" s="990"/>
      <c r="G6" s="990"/>
      <c r="H6" s="990"/>
      <c r="I6" s="990"/>
      <c r="J6" s="990"/>
      <c r="K6" s="990"/>
      <c r="L6" s="990"/>
      <c r="M6" s="2440"/>
      <c r="N6" s="990"/>
      <c r="O6" s="990"/>
      <c r="P6" s="990"/>
      <c r="Q6" s="990"/>
      <c r="R6" s="990"/>
      <c r="S6" s="990"/>
      <c r="T6" s="990"/>
      <c r="U6" s="990"/>
      <c r="V6" s="990"/>
      <c r="W6" s="990"/>
      <c r="X6" s="990"/>
      <c r="Y6" s="990"/>
      <c r="Z6" s="990"/>
      <c r="AA6" s="990"/>
      <c r="AG6" s="989"/>
    </row>
    <row r="7" spans="1:33" s="987" customFormat="1" ht="40.5" customHeight="1">
      <c r="A7" s="992"/>
      <c r="B7" s="993"/>
      <c r="C7" s="1081"/>
      <c r="D7" s="990"/>
      <c r="E7" s="2604" t="s">
        <v>6017</v>
      </c>
      <c r="F7" s="990"/>
      <c r="G7" s="2609" t="s">
        <v>6015</v>
      </c>
      <c r="H7" s="990"/>
      <c r="I7" s="990"/>
      <c r="J7" s="990"/>
      <c r="K7" s="990"/>
      <c r="L7" s="2604" t="s">
        <v>6017</v>
      </c>
      <c r="M7" s="990"/>
      <c r="N7" s="2609" t="s">
        <v>6015</v>
      </c>
      <c r="O7" s="990"/>
      <c r="P7" s="990"/>
      <c r="Q7" s="990"/>
      <c r="R7" s="990"/>
      <c r="S7" s="990"/>
      <c r="T7" s="990"/>
      <c r="U7" s="990"/>
      <c r="V7" s="990"/>
      <c r="W7" s="990"/>
      <c r="X7" s="990"/>
      <c r="Y7" s="990"/>
      <c r="Z7" s="990"/>
      <c r="AA7" s="990"/>
      <c r="AG7" s="989"/>
    </row>
    <row r="8" spans="1:33" s="987" customFormat="1" ht="40.5" customHeight="1">
      <c r="A8" s="992"/>
      <c r="B8" s="993"/>
      <c r="C8" s="1105"/>
      <c r="D8" s="2608" t="s">
        <v>6023</v>
      </c>
      <c r="E8" s="2612">
        <f>COLUMN()</f>
        <v>5</v>
      </c>
      <c r="F8" s="990"/>
      <c r="G8" s="2597" t="str">
        <f ca="1">_xlfn.FORMULATEXT(E8)</f>
        <v>=COLONNE()</v>
      </c>
      <c r="H8" s="2602"/>
      <c r="I8" s="990"/>
      <c r="J8" s="2608"/>
      <c r="K8" s="2608" t="s">
        <v>6022</v>
      </c>
      <c r="L8" s="1631" t="str">
        <f>ADDRESS(ROW(),COLUMN(),4)</f>
        <v>L8</v>
      </c>
      <c r="M8" s="990"/>
      <c r="N8" s="2597" t="str">
        <f ca="1">_xlfn.FORMULATEXT(L8)</f>
        <v>=ADRESSE(LIGNE();COLONNE();4)</v>
      </c>
      <c r="O8" s="990"/>
      <c r="P8" s="990"/>
      <c r="Q8" s="990"/>
      <c r="R8" s="2602"/>
      <c r="S8" s="2602"/>
      <c r="T8" s="2602"/>
      <c r="U8" s="990"/>
      <c r="V8" s="990"/>
      <c r="W8" s="990"/>
      <c r="X8" s="990"/>
      <c r="Y8" s="990"/>
      <c r="Z8" s="990"/>
      <c r="AA8" s="990"/>
      <c r="AG8" s="989"/>
    </row>
    <row r="9" spans="1:33" s="987" customFormat="1" ht="40.5" customHeight="1">
      <c r="A9" s="992"/>
      <c r="B9" s="993"/>
      <c r="C9" s="990"/>
      <c r="D9" s="990"/>
      <c r="E9" s="2604" t="s">
        <v>6017</v>
      </c>
      <c r="F9" s="990"/>
      <c r="G9" s="2609" t="s">
        <v>6015</v>
      </c>
      <c r="H9" s="990"/>
      <c r="I9" s="990"/>
      <c r="J9" s="2440"/>
      <c r="K9" s="990"/>
      <c r="L9" s="2604" t="s">
        <v>6017</v>
      </c>
      <c r="M9" s="990"/>
      <c r="N9" s="2609" t="s">
        <v>6015</v>
      </c>
      <c r="O9" s="990"/>
      <c r="P9" s="990"/>
      <c r="Q9" s="990"/>
      <c r="R9" s="990"/>
      <c r="S9" s="990"/>
      <c r="T9" s="990"/>
      <c r="U9" s="990"/>
      <c r="V9" s="990"/>
      <c r="W9" s="990"/>
      <c r="X9" s="990"/>
      <c r="Y9" s="990"/>
      <c r="Z9" s="990"/>
      <c r="AA9" s="990"/>
      <c r="AG9" s="989"/>
    </row>
    <row r="10" spans="1:33" s="987" customFormat="1" ht="40.5" customHeight="1">
      <c r="A10" s="992"/>
      <c r="B10" s="993"/>
      <c r="C10" s="1105"/>
      <c r="D10" s="2608" t="s">
        <v>6021</v>
      </c>
      <c r="E10" s="2611">
        <f>ROW()</f>
        <v>10</v>
      </c>
      <c r="F10" s="990"/>
      <c r="G10" s="2597" t="str">
        <f ca="1">_xlfn.FORMULATEXT(E10)</f>
        <v>=LIGNE()</v>
      </c>
      <c r="H10" s="2602"/>
      <c r="I10" s="990"/>
      <c r="J10" s="1105"/>
      <c r="K10" s="2608" t="s">
        <v>6020</v>
      </c>
      <c r="L10" s="2610">
        <f ca="1">CELL("largeur",L10)</f>
        <v>15</v>
      </c>
      <c r="M10" s="990"/>
      <c r="N10" s="2597" t="str">
        <f ca="1">_xlfn.FORMULATEXT(L10)</f>
        <v>=CELLULE("largeur";L10)</v>
      </c>
      <c r="O10" s="990"/>
      <c r="P10" s="990"/>
      <c r="Q10" s="990"/>
      <c r="R10" s="2602"/>
      <c r="S10" s="2602"/>
      <c r="T10" s="2602"/>
      <c r="U10" s="990"/>
      <c r="V10" s="990"/>
      <c r="W10" s="990"/>
      <c r="X10" s="990"/>
      <c r="Y10" s="990"/>
      <c r="Z10" s="990"/>
      <c r="AA10" s="990"/>
      <c r="AG10" s="989"/>
    </row>
    <row r="11" spans="1:33" s="987" customFormat="1" ht="40.5" customHeight="1">
      <c r="A11" s="992"/>
      <c r="B11" s="993"/>
      <c r="C11" s="990"/>
      <c r="D11" s="990"/>
      <c r="E11" s="2604" t="s">
        <v>6017</v>
      </c>
      <c r="F11" s="990"/>
      <c r="G11" s="2609" t="s">
        <v>6015</v>
      </c>
      <c r="H11" s="990"/>
      <c r="I11" s="990"/>
      <c r="J11" s="990"/>
      <c r="K11" s="990"/>
      <c r="L11" s="990"/>
      <c r="M11" s="2440"/>
      <c r="N11" s="990"/>
      <c r="O11" s="990"/>
      <c r="P11" s="990"/>
      <c r="Q11" s="990"/>
      <c r="R11" s="990"/>
      <c r="S11" s="990"/>
      <c r="T11" s="990"/>
      <c r="U11" s="990"/>
      <c r="V11" s="990"/>
      <c r="W11" s="990"/>
      <c r="X11" s="990"/>
      <c r="Y11" s="990"/>
      <c r="Z11" s="990"/>
      <c r="AA11" s="990"/>
      <c r="AG11" s="989"/>
    </row>
    <row r="12" spans="1:33" s="987" customFormat="1" ht="40.5" customHeight="1">
      <c r="A12" s="992"/>
      <c r="B12" s="993"/>
      <c r="C12" s="2608"/>
      <c r="D12" s="2608" t="s">
        <v>6019</v>
      </c>
      <c r="E12" s="2607" t="str">
        <f>LEFT(ADDRESS(1,COLUMN(),4),LEN(ADDRESS(1,COLUMN(),4))-1)</f>
        <v>E</v>
      </c>
      <c r="F12" s="990"/>
      <c r="G12" s="2597" t="str">
        <f ca="1">_xlfn.FORMULATEXT(E12)</f>
        <v>=GAUCHE(ADRESSE(1;COLONNE();4);NBCAR(ADRESSE(1;COLONNE();4))-1)</v>
      </c>
      <c r="H12" s="2597"/>
      <c r="I12" s="2597"/>
      <c r="J12" s="2597"/>
      <c r="K12" s="2597"/>
      <c r="L12" s="2597"/>
      <c r="M12" s="2597"/>
      <c r="N12" s="2597"/>
      <c r="O12" s="2597"/>
      <c r="P12" s="990"/>
      <c r="Q12" s="990"/>
      <c r="R12" s="990"/>
      <c r="S12" s="990"/>
      <c r="T12" s="990"/>
      <c r="U12" s="990"/>
      <c r="V12" s="990"/>
      <c r="W12" s="990"/>
      <c r="X12" s="990"/>
      <c r="Y12" s="990"/>
      <c r="Z12" s="990"/>
      <c r="AA12" s="990"/>
      <c r="AG12" s="989"/>
    </row>
    <row r="13" spans="1:33" s="1487" customFormat="1" ht="40.5" customHeight="1">
      <c r="A13" s="2464"/>
      <c r="B13" s="2465"/>
      <c r="C13" s="1094"/>
      <c r="D13" s="2464"/>
      <c r="E13" s="1094"/>
      <c r="F13" s="2464"/>
      <c r="G13" s="2464"/>
      <c r="H13" s="2440"/>
      <c r="I13" s="2440"/>
      <c r="J13" s="2440"/>
      <c r="K13" s="2606"/>
      <c r="L13" s="2605" t="str">
        <f ca="1">"Page "&amp;_xlfn.SHEET()&amp;" sur "&amp;_xlfn.SHEETS()</f>
        <v>Page 20 sur 22</v>
      </c>
      <c r="M13" s="2440"/>
      <c r="N13" s="2597" t="s">
        <v>6018</v>
      </c>
      <c r="O13" s="2463"/>
      <c r="P13" s="2463"/>
      <c r="Q13" s="2463"/>
      <c r="R13" s="2463"/>
      <c r="S13" s="2463"/>
      <c r="T13" s="2463"/>
      <c r="U13" s="2463"/>
      <c r="V13" s="2463"/>
      <c r="W13" s="2463"/>
      <c r="X13" s="2463"/>
      <c r="Y13" s="2462"/>
      <c r="Z13" s="2463"/>
      <c r="AA13" s="2462"/>
      <c r="AG13" s="989"/>
    </row>
    <row r="14" spans="1:33" s="987" customFormat="1" ht="40.5" customHeight="1">
      <c r="A14" s="992"/>
      <c r="B14" s="993"/>
      <c r="C14" s="1029"/>
      <c r="D14" s="992"/>
      <c r="E14" s="1029"/>
      <c r="F14" s="2604" t="s">
        <v>6017</v>
      </c>
      <c r="G14" s="992"/>
      <c r="H14" s="992"/>
      <c r="I14" s="992"/>
      <c r="J14" s="992"/>
      <c r="K14" s="992"/>
      <c r="L14" s="2440"/>
      <c r="M14" s="2440"/>
      <c r="N14" s="990"/>
      <c r="O14" s="990"/>
      <c r="P14" s="990"/>
      <c r="Q14" s="990"/>
      <c r="R14" s="990"/>
      <c r="S14" s="990"/>
      <c r="T14" s="990"/>
      <c r="U14" s="990"/>
      <c r="V14" s="990"/>
      <c r="W14" s="990"/>
      <c r="X14" s="990"/>
      <c r="Y14" s="990"/>
      <c r="Z14" s="1027"/>
      <c r="AA14" s="1027"/>
      <c r="AG14" s="989"/>
    </row>
    <row r="15" spans="1:33" s="987" customFormat="1" ht="40.5" customHeight="1">
      <c r="A15" s="992"/>
      <c r="B15" s="993"/>
      <c r="C15" s="2603" t="s">
        <v>6016</v>
      </c>
      <c r="D15" s="2602"/>
      <c r="E15" s="2602"/>
      <c r="F15" s="2601" t="str">
        <f ca="1">CELL("nomfichier")</f>
        <v>E:\0-UPRT\1-UPRT.FR-SITE-WEB\ff-fiches-fabrications\ff-fiches-fabrication-maj-08-2020\[ff-2-A-collectivite.poids.portion.xlsx]Nota</v>
      </c>
      <c r="G15" s="2600"/>
      <c r="H15" s="2600"/>
      <c r="I15" s="2600"/>
      <c r="J15" s="2600"/>
      <c r="K15" s="2600"/>
      <c r="L15" s="2599"/>
      <c r="M15" s="2599"/>
      <c r="N15" s="2598"/>
      <c r="O15" s="2598"/>
      <c r="P15" s="2598"/>
      <c r="Q15" s="2598"/>
      <c r="R15" s="2598"/>
      <c r="S15" s="2598"/>
      <c r="T15" s="2598"/>
      <c r="U15" s="2598"/>
      <c r="V15" s="2598"/>
      <c r="W15" s="2598"/>
      <c r="X15" s="2598"/>
      <c r="Y15" s="990"/>
      <c r="Z15" s="990"/>
      <c r="AA15" s="990"/>
      <c r="AG15" s="989"/>
    </row>
    <row r="16" spans="1:33" s="987" customFormat="1" ht="40.5" customHeight="1">
      <c r="A16" s="992"/>
      <c r="B16" s="993"/>
      <c r="C16" s="992"/>
      <c r="D16" s="992"/>
      <c r="E16" s="992"/>
      <c r="F16" s="2597" t="str">
        <f ca="1">_xlfn.FORMULATEXT(F15)</f>
        <v>=CELLULE("nomfichier")</v>
      </c>
      <c r="G16" s="2597"/>
      <c r="H16" s="2597"/>
      <c r="I16" s="2597"/>
      <c r="J16" s="992"/>
      <c r="K16" s="992"/>
      <c r="L16" s="2440"/>
      <c r="M16" s="2440"/>
      <c r="N16" s="990"/>
      <c r="O16" s="990"/>
      <c r="P16" s="990"/>
      <c r="Q16" s="990"/>
      <c r="R16" s="990"/>
      <c r="S16" s="990"/>
      <c r="T16" s="990"/>
      <c r="U16" s="990"/>
      <c r="V16" s="990"/>
      <c r="W16" s="990"/>
      <c r="X16" s="990"/>
      <c r="Y16" s="990"/>
      <c r="Z16" s="990"/>
      <c r="AA16" s="990"/>
      <c r="AG16" s="989"/>
    </row>
    <row r="17" spans="1:44" s="1487" customFormat="1" ht="40.5" customHeight="1">
      <c r="A17" s="2464"/>
      <c r="B17" s="2465"/>
      <c r="C17" s="1094"/>
      <c r="D17" s="2464"/>
      <c r="E17" s="1094"/>
      <c r="F17" s="2596" t="s">
        <v>6015</v>
      </c>
      <c r="G17" s="2464"/>
      <c r="H17" s="2440"/>
      <c r="I17" s="2440"/>
      <c r="J17" s="2440"/>
      <c r="K17" s="2440"/>
      <c r="L17" s="2440"/>
      <c r="M17" s="2440"/>
      <c r="N17" s="2463"/>
      <c r="O17" s="2463"/>
      <c r="P17" s="2463"/>
      <c r="Q17" s="2463"/>
      <c r="R17" s="2463"/>
      <c r="S17" s="2463"/>
      <c r="T17" s="2463"/>
      <c r="U17" s="2463"/>
      <c r="V17" s="2463"/>
      <c r="W17" s="2463"/>
      <c r="X17" s="2463"/>
      <c r="Y17" s="2462"/>
      <c r="Z17" s="2463"/>
      <c r="AA17" s="2462"/>
      <c r="AG17" s="989"/>
    </row>
    <row r="18" spans="1:44" s="1487" customFormat="1" ht="40.5" customHeight="1">
      <c r="A18" s="2464"/>
      <c r="B18" s="2465"/>
      <c r="C18" s="1094"/>
      <c r="D18" s="2464"/>
      <c r="E18" s="1094"/>
      <c r="F18" s="2464"/>
      <c r="G18" s="2464"/>
      <c r="H18" s="2440"/>
      <c r="I18" s="2440"/>
      <c r="J18" s="2440"/>
      <c r="K18" s="2440"/>
      <c r="L18" s="2440"/>
      <c r="M18" s="2440"/>
      <c r="N18" s="2463"/>
      <c r="O18" s="2463"/>
      <c r="P18" s="2463"/>
      <c r="Q18" s="2463"/>
      <c r="R18" s="2463"/>
      <c r="S18" s="2463"/>
      <c r="T18" s="2463"/>
      <c r="U18" s="2463"/>
      <c r="V18" s="2463"/>
      <c r="W18" s="2463"/>
      <c r="X18" s="2463"/>
      <c r="Y18" s="2462"/>
      <c r="Z18" s="2463"/>
      <c r="AA18" s="2462"/>
      <c r="AG18" s="989"/>
    </row>
    <row r="19" spans="1:44" ht="53.25" customHeight="1">
      <c r="A19" s="1026"/>
      <c r="B19" s="1025"/>
      <c r="C19" s="1021"/>
      <c r="D19" s="1024"/>
      <c r="E19" s="1024"/>
      <c r="F19" s="1023"/>
      <c r="G19" s="1023"/>
      <c r="H19" s="1023"/>
      <c r="I19" s="1023"/>
      <c r="J19" s="1022"/>
      <c r="K19" s="1021"/>
      <c r="L19" s="1021"/>
      <c r="M19" s="1021"/>
      <c r="N19" s="1021"/>
      <c r="O19" s="1021"/>
      <c r="P19" s="1021"/>
      <c r="Q19" s="1021"/>
      <c r="R19" s="1021"/>
      <c r="S19" s="1021"/>
      <c r="T19" s="1021"/>
      <c r="U19" s="1021"/>
      <c r="V19" s="1021"/>
      <c r="W19" s="1021"/>
      <c r="X19" s="1021"/>
      <c r="Y19" s="1021"/>
      <c r="Z19" s="1021"/>
      <c r="AA19" s="1021"/>
    </row>
    <row r="20" spans="1:44" ht="24.95" customHeight="1">
      <c r="A20" s="992"/>
      <c r="B20" s="4938" t="s">
        <v>6014</v>
      </c>
      <c r="C20" s="4938"/>
      <c r="D20" s="4938"/>
      <c r="E20" s="4938"/>
      <c r="F20" s="4938"/>
      <c r="G20" s="4938"/>
      <c r="H20" s="4938"/>
      <c r="I20" s="4938"/>
      <c r="J20" s="4938"/>
      <c r="K20" s="4938"/>
      <c r="L20" s="4938"/>
      <c r="M20" s="4938"/>
      <c r="N20" s="4938"/>
      <c r="O20" s="4938"/>
      <c r="P20" s="2440"/>
      <c r="Q20" s="990"/>
      <c r="R20" s="990"/>
      <c r="S20" s="990"/>
      <c r="T20" s="990"/>
      <c r="U20" s="990"/>
      <c r="V20" s="990"/>
      <c r="W20" s="990"/>
      <c r="X20" s="990"/>
      <c r="Y20" s="990"/>
      <c r="Z20" s="990"/>
      <c r="AA20" s="990"/>
    </row>
    <row r="21" spans="1:44" s="987" customFormat="1" ht="24.95" customHeight="1">
      <c r="A21" s="992"/>
      <c r="B21" s="4938"/>
      <c r="C21" s="4938"/>
      <c r="D21" s="4938"/>
      <c r="E21" s="4938"/>
      <c r="F21" s="4938"/>
      <c r="G21" s="4938"/>
      <c r="H21" s="4938"/>
      <c r="I21" s="4938"/>
      <c r="J21" s="4938"/>
      <c r="K21" s="4938"/>
      <c r="L21" s="4938"/>
      <c r="M21" s="4938"/>
      <c r="N21" s="4938"/>
      <c r="O21" s="4938"/>
      <c r="P21" s="2440"/>
      <c r="Q21" s="990"/>
      <c r="R21" s="990"/>
      <c r="S21" s="990"/>
      <c r="T21" s="990"/>
      <c r="U21" s="990"/>
      <c r="V21" s="990"/>
      <c r="W21" s="990"/>
      <c r="X21" s="990"/>
      <c r="Y21" s="990"/>
      <c r="Z21" s="990"/>
      <c r="AA21" s="990"/>
      <c r="AB21" s="989"/>
      <c r="AC21" s="989"/>
      <c r="AD21" s="989"/>
      <c r="AE21" s="989"/>
      <c r="AF21" s="989"/>
      <c r="AG21" s="989"/>
      <c r="AH21" s="989"/>
      <c r="AI21" s="989"/>
      <c r="AJ21" s="989"/>
      <c r="AK21" s="989"/>
      <c r="AL21" s="989"/>
      <c r="AM21" s="989"/>
      <c r="AN21" s="989"/>
      <c r="AO21" s="989"/>
      <c r="AP21" s="989"/>
      <c r="AQ21" s="989"/>
      <c r="AR21" s="989"/>
    </row>
    <row r="22" spans="1:44" ht="24.95" customHeight="1">
      <c r="A22" s="2442"/>
      <c r="B22" s="4938"/>
      <c r="C22" s="4938"/>
      <c r="D22" s="4938"/>
      <c r="E22" s="4938"/>
      <c r="F22" s="4938"/>
      <c r="G22" s="4938"/>
      <c r="H22" s="4938"/>
      <c r="I22" s="4938"/>
      <c r="J22" s="4938"/>
      <c r="K22" s="4938"/>
      <c r="L22" s="4938"/>
      <c r="M22" s="4938"/>
      <c r="N22" s="4938"/>
      <c r="O22" s="4938"/>
      <c r="P22" s="2455"/>
      <c r="Q22" s="990"/>
      <c r="R22" s="990"/>
      <c r="S22" s="990"/>
      <c r="T22" s="990"/>
      <c r="U22" s="990"/>
      <c r="V22" s="990"/>
      <c r="W22" s="990"/>
      <c r="X22" s="990"/>
      <c r="Y22" s="990"/>
      <c r="Z22" s="990"/>
      <c r="AA22" s="990"/>
    </row>
    <row r="23" spans="1:44" ht="24.95" customHeight="1">
      <c r="A23" s="2442"/>
      <c r="B23" s="4938"/>
      <c r="C23" s="4938"/>
      <c r="D23" s="4938"/>
      <c r="E23" s="4938"/>
      <c r="F23" s="4938"/>
      <c r="G23" s="4938"/>
      <c r="H23" s="4938"/>
      <c r="I23" s="4938"/>
      <c r="J23" s="4938"/>
      <c r="K23" s="4938"/>
      <c r="L23" s="4938"/>
      <c r="M23" s="4938"/>
      <c r="N23" s="4938"/>
      <c r="O23" s="4938"/>
      <c r="P23" s="2455"/>
      <c r="Q23" s="990"/>
      <c r="R23" s="990"/>
      <c r="S23" s="990"/>
      <c r="T23" s="990"/>
      <c r="U23" s="990"/>
      <c r="V23" s="990"/>
      <c r="W23" s="990"/>
      <c r="X23" s="990"/>
      <c r="Y23" s="990"/>
      <c r="Z23" s="990"/>
      <c r="AA23" s="990"/>
    </row>
    <row r="24" spans="1:44" ht="24.95" customHeight="1">
      <c r="A24" s="2442"/>
      <c r="B24" s="2455"/>
      <c r="C24" s="2455"/>
      <c r="D24" s="2592"/>
      <c r="E24" s="2593"/>
      <c r="F24" s="2592"/>
      <c r="G24" s="2592"/>
      <c r="H24" s="2592"/>
      <c r="I24" s="2592"/>
      <c r="J24" s="2591"/>
      <c r="K24" s="2455"/>
      <c r="L24" s="2455"/>
      <c r="M24" s="2455"/>
      <c r="N24" s="2455"/>
      <c r="O24" s="2455"/>
      <c r="P24" s="2455"/>
      <c r="Q24" s="990"/>
      <c r="R24" s="990"/>
      <c r="S24" s="990"/>
      <c r="T24" s="990"/>
      <c r="U24" s="990"/>
      <c r="V24" s="990"/>
      <c r="W24" s="990"/>
      <c r="X24" s="990"/>
      <c r="Y24" s="990"/>
      <c r="Z24" s="990"/>
      <c r="AA24" s="990"/>
    </row>
    <row r="25" spans="1:44" ht="24.95" customHeight="1">
      <c r="A25" s="2442"/>
      <c r="B25" s="2455"/>
      <c r="C25" s="2595" t="s">
        <v>6013</v>
      </c>
      <c r="D25" s="2592"/>
      <c r="E25" s="2593"/>
      <c r="F25" s="2592"/>
      <c r="G25" s="2592"/>
      <c r="H25" s="2592"/>
      <c r="I25" s="2592"/>
      <c r="J25" s="2591"/>
      <c r="K25" s="2455"/>
      <c r="L25" s="2455"/>
      <c r="M25" s="2455"/>
      <c r="N25" s="2455"/>
      <c r="O25" s="2455"/>
      <c r="P25" s="2455"/>
      <c r="Q25" s="990"/>
      <c r="R25" s="990"/>
      <c r="S25" s="990"/>
      <c r="T25" s="990"/>
      <c r="U25" s="990"/>
      <c r="V25" s="990"/>
      <c r="W25" s="990"/>
      <c r="X25" s="990"/>
      <c r="Y25" s="990"/>
      <c r="Z25" s="990"/>
      <c r="AA25" s="990"/>
    </row>
    <row r="26" spans="1:44" ht="24.95" customHeight="1">
      <c r="A26" s="2442"/>
      <c r="B26" s="2455"/>
      <c r="C26" s="2594" t="s">
        <v>6012</v>
      </c>
      <c r="D26" s="2592"/>
      <c r="E26" s="2593"/>
      <c r="F26" s="2592"/>
      <c r="G26" s="2592"/>
      <c r="H26" s="2592"/>
      <c r="I26" s="2592"/>
      <c r="J26" s="2591"/>
      <c r="K26" s="2455"/>
      <c r="L26" s="2455"/>
      <c r="M26" s="2455"/>
      <c r="N26" s="2455"/>
      <c r="O26" s="2455"/>
      <c r="P26" s="2455"/>
      <c r="Q26" s="990"/>
      <c r="R26" s="990"/>
      <c r="S26" s="990"/>
      <c r="T26" s="990"/>
      <c r="U26" s="990"/>
      <c r="V26" s="990"/>
      <c r="W26" s="990"/>
      <c r="X26" s="990"/>
      <c r="Y26" s="990"/>
      <c r="Z26" s="990"/>
      <c r="AA26" s="990"/>
    </row>
    <row r="27" spans="1:44" ht="24.95" customHeight="1">
      <c r="A27" s="2442"/>
      <c r="B27" s="2455"/>
      <c r="C27" s="2455"/>
      <c r="D27" s="2592"/>
      <c r="E27" s="2593"/>
      <c r="F27" s="2592"/>
      <c r="G27" s="2592"/>
      <c r="H27" s="2592"/>
      <c r="I27" s="2592"/>
      <c r="J27" s="2591"/>
      <c r="K27" s="2455"/>
      <c r="L27" s="2455"/>
      <c r="M27" s="2455"/>
      <c r="N27" s="2455"/>
      <c r="O27" s="2455"/>
      <c r="P27" s="2455"/>
      <c r="Q27" s="990"/>
      <c r="R27" s="990"/>
      <c r="S27" s="990"/>
      <c r="T27" s="990"/>
      <c r="U27" s="990"/>
      <c r="V27" s="990"/>
      <c r="W27" s="990"/>
      <c r="X27" s="990"/>
      <c r="Y27" s="990"/>
      <c r="Z27" s="990"/>
      <c r="AA27" s="990"/>
    </row>
    <row r="28" spans="1:44" ht="24.95" customHeight="1">
      <c r="A28" s="2442"/>
      <c r="B28" s="2455"/>
      <c r="C28" s="2590" t="s">
        <v>6011</v>
      </c>
      <c r="D28" s="2589" t="s">
        <v>334</v>
      </c>
      <c r="E28" s="2588" t="s">
        <v>6010</v>
      </c>
      <c r="F28" s="2587"/>
      <c r="G28" s="2587"/>
      <c r="H28" s="2587"/>
      <c r="I28" s="2587"/>
      <c r="J28" s="2587"/>
      <c r="K28" s="2587"/>
      <c r="L28" s="2455"/>
      <c r="M28" s="2455"/>
      <c r="N28" s="2455"/>
      <c r="O28" s="2455"/>
      <c r="P28" s="2455"/>
      <c r="Q28" s="990"/>
      <c r="R28" s="2586"/>
      <c r="S28" s="990"/>
      <c r="T28" s="990"/>
      <c r="U28" s="990"/>
      <c r="V28" s="990"/>
      <c r="W28" s="990"/>
      <c r="X28" s="990"/>
      <c r="Y28" s="990"/>
      <c r="Z28" s="990"/>
      <c r="AA28" s="990"/>
    </row>
    <row r="29" spans="1:44" ht="24.95" customHeight="1">
      <c r="A29" s="2442"/>
      <c r="B29" s="2455"/>
      <c r="C29" s="2442"/>
      <c r="D29" s="2442"/>
      <c r="E29" s="2442"/>
      <c r="F29" s="2442"/>
      <c r="G29" s="2442"/>
      <c r="H29" s="2442"/>
      <c r="I29" s="2442"/>
      <c r="J29" s="2442"/>
      <c r="K29" s="2442"/>
      <c r="L29" s="2442"/>
      <c r="M29" s="2442"/>
      <c r="N29" s="2442"/>
      <c r="O29" s="2455"/>
      <c r="P29" s="2455"/>
      <c r="Q29" s="990"/>
      <c r="R29" s="2586"/>
      <c r="S29" s="990"/>
      <c r="T29" s="990"/>
      <c r="U29" s="990"/>
      <c r="V29" s="990"/>
      <c r="W29" s="990"/>
      <c r="X29" s="990"/>
      <c r="Y29" s="990"/>
      <c r="Z29" s="990"/>
      <c r="AA29" s="990"/>
    </row>
    <row r="30" spans="1:44" ht="24.95" customHeight="1" thickBot="1">
      <c r="A30" s="2466"/>
      <c r="B30" s="2466"/>
      <c r="C30" s="2466"/>
      <c r="D30" s="2466"/>
      <c r="E30" s="2466"/>
      <c r="F30" s="2466"/>
      <c r="G30" s="2466"/>
      <c r="H30" s="2466"/>
      <c r="I30" s="2466"/>
      <c r="J30" s="2466"/>
      <c r="K30" s="2466"/>
      <c r="L30" s="2466"/>
      <c r="M30" s="2466"/>
      <c r="N30" s="2466"/>
      <c r="O30" s="2466"/>
      <c r="P30" s="2466"/>
      <c r="Q30" s="2466"/>
      <c r="R30" s="2466"/>
      <c r="S30" s="2466"/>
      <c r="T30" s="2466"/>
      <c r="U30" s="2466"/>
      <c r="V30" s="2466"/>
      <c r="W30" s="2466"/>
      <c r="X30" s="2466"/>
      <c r="Y30" s="2466"/>
      <c r="Z30" s="2466"/>
      <c r="AA30" s="2466"/>
    </row>
    <row r="31" spans="1:44" ht="24.95" customHeight="1">
      <c r="A31" s="2442"/>
      <c r="B31" s="2486"/>
      <c r="C31" s="2485"/>
      <c r="D31" s="2498"/>
      <c r="E31" s="2498"/>
      <c r="F31" s="2498"/>
      <c r="G31" s="2498"/>
      <c r="H31" s="2498"/>
      <c r="I31" s="2498"/>
      <c r="J31" s="2507"/>
      <c r="K31" s="2485"/>
      <c r="L31" s="2485"/>
      <c r="M31" s="2485"/>
      <c r="N31" s="2506"/>
      <c r="O31" s="2466"/>
      <c r="P31" s="2466"/>
      <c r="Q31" s="2466"/>
      <c r="R31" s="2466"/>
      <c r="S31" s="2466"/>
      <c r="T31" s="2466"/>
      <c r="U31" s="2466"/>
      <c r="V31" s="2466"/>
      <c r="W31" s="2466"/>
      <c r="X31" s="2466"/>
      <c r="Y31" s="2466"/>
      <c r="Z31" s="2466"/>
      <c r="AA31" s="2466"/>
    </row>
    <row r="32" spans="1:44" ht="24.95" customHeight="1">
      <c r="A32" s="2442"/>
      <c r="B32" s="2478" t="s">
        <v>5980</v>
      </c>
      <c r="C32" s="2585" t="s">
        <v>6009</v>
      </c>
      <c r="D32" s="2494"/>
      <c r="E32" s="2494"/>
      <c r="F32" s="2494"/>
      <c r="G32" s="2494"/>
      <c r="H32" s="2494"/>
      <c r="I32" s="2494"/>
      <c r="J32" s="2499"/>
      <c r="K32" s="2480"/>
      <c r="L32" s="2480"/>
      <c r="M32" s="2480"/>
      <c r="N32" s="2490"/>
      <c r="O32" s="2466"/>
      <c r="P32" s="2466"/>
      <c r="Q32" s="2466"/>
      <c r="R32" s="2466"/>
      <c r="S32" s="2466"/>
      <c r="T32" s="2466"/>
      <c r="U32" s="2466"/>
      <c r="V32" s="2466"/>
      <c r="W32" s="2466"/>
      <c r="X32" s="2466"/>
      <c r="Y32" s="2466"/>
      <c r="Z32" s="2466"/>
      <c r="AA32" s="2466"/>
    </row>
    <row r="33" spans="1:27" ht="24.95" customHeight="1">
      <c r="A33" s="2442"/>
      <c r="B33" s="2478"/>
      <c r="C33" s="2552" t="str">
        <f ca="1">MID(LEFT(CELL("filename",A1),FIND("[",CELL("filename",A1))-2),SEARCH("µ",SUBSTITUTE(LEFT(CELL("filename",A1),FIND("[",CELL("filename",A1))-2),"\","µ",LEN(LEFT(CELL("filename",A1),FIND("[",CELL("filename",A1))-2))-LEN(SUBSTITUTE(LEFT(CELL("filename",A1),FIND("[",CELL("filename",A1))-2),"\",""))))+1,100)</f>
        <v>ff-fiches-fabrication-maj-08-2020</v>
      </c>
      <c r="D33" s="2537"/>
      <c r="E33" s="2537"/>
      <c r="F33" s="2537"/>
      <c r="G33" s="2537"/>
      <c r="H33" s="2537"/>
      <c r="I33" s="2537"/>
      <c r="J33" s="2550"/>
      <c r="K33" s="2550"/>
      <c r="L33" s="2536"/>
      <c r="M33" s="2536"/>
      <c r="N33" s="2584"/>
      <c r="O33" s="2536"/>
      <c r="P33" s="2466"/>
      <c r="Q33" s="2466"/>
      <c r="R33" s="2466"/>
      <c r="S33" s="2466"/>
      <c r="T33" s="2466"/>
      <c r="U33" s="2466"/>
      <c r="V33" s="2466"/>
      <c r="W33" s="2466"/>
      <c r="X33" s="2466"/>
      <c r="Y33" s="2466"/>
      <c r="Z33" s="2466"/>
      <c r="AA33" s="2466"/>
    </row>
    <row r="34" spans="1:27" ht="24.95" customHeight="1">
      <c r="A34" s="2442"/>
      <c r="B34" s="2478">
        <f>ROW()</f>
        <v>34</v>
      </c>
      <c r="C34" s="2477" t="str">
        <f ca="1">_xlfn.FORMULATEXT(C33)</f>
        <v>=STXT(GAUCHE(CELLULE("filename";A1);TROUVE("[";CELLULE("filename";A1))-2);CHERCHE("µ";SUBSTITUE(GAUCHE(CELLULE("filename";A1);TROUVE("[";CELLULE("filename";A1))-2);"\";"µ";NBCAR(GAUCHE(CELLULE("filename";A1);TROUVE("[";CELLULE("filename";A1))-2))-NBCAR(SUBSTITUE(GAUCHE(CELLULE("filename";A1);TROUVE("[";CELLULE("filename";A1))-2);"\";""))))+1;100)</v>
      </c>
      <c r="D34" s="2477"/>
      <c r="E34" s="2477"/>
      <c r="F34" s="2477"/>
      <c r="G34" s="2477"/>
      <c r="H34" s="2477"/>
      <c r="I34" s="2477"/>
      <c r="J34" s="2477"/>
      <c r="K34" s="2477"/>
      <c r="L34" s="2477"/>
      <c r="M34" s="2477"/>
      <c r="N34" s="2583"/>
      <c r="O34" s="2477" t="s">
        <v>1987</v>
      </c>
      <c r="P34" s="2466"/>
      <c r="Q34" s="2466"/>
      <c r="R34" s="2466"/>
      <c r="S34" s="2466"/>
      <c r="T34" s="2466"/>
      <c r="U34" s="2466"/>
      <c r="V34" s="2466"/>
      <c r="W34" s="2466"/>
      <c r="X34" s="2466"/>
      <c r="Y34" s="2466"/>
      <c r="Z34" s="2466"/>
      <c r="AA34" s="2466"/>
    </row>
    <row r="35" spans="1:27" ht="24.95" customHeight="1" thickBot="1">
      <c r="A35" s="2442"/>
      <c r="B35" s="2489"/>
      <c r="C35" s="2535" t="s">
        <v>5993</v>
      </c>
      <c r="D35" s="2501"/>
      <c r="E35" s="2501"/>
      <c r="F35" s="2501"/>
      <c r="G35" s="2501"/>
      <c r="H35" s="2501"/>
      <c r="I35" s="2501"/>
      <c r="J35" s="2500"/>
      <c r="K35" s="2488"/>
      <c r="L35" s="2488"/>
      <c r="M35" s="2488"/>
      <c r="N35" s="2487"/>
      <c r="O35" s="2466"/>
      <c r="P35" s="2466"/>
      <c r="Q35" s="2466"/>
      <c r="R35" s="2466"/>
      <c r="S35" s="2466"/>
      <c r="T35" s="2466"/>
      <c r="U35" s="2466"/>
      <c r="V35" s="2466"/>
      <c r="W35" s="2466"/>
      <c r="X35" s="2466"/>
      <c r="Y35" s="2466"/>
      <c r="Z35" s="2466"/>
      <c r="AA35" s="2466"/>
    </row>
    <row r="36" spans="1:27" ht="24.95" customHeight="1" thickBot="1">
      <c r="A36" s="2442"/>
      <c r="B36" s="2455"/>
      <c r="C36" s="2466"/>
      <c r="D36" s="2468"/>
      <c r="E36" s="2468"/>
      <c r="F36" s="2467"/>
      <c r="G36" s="2467"/>
      <c r="H36" s="2467"/>
      <c r="I36" s="2467"/>
      <c r="J36" s="1004"/>
      <c r="K36" s="2466"/>
      <c r="L36" s="2466"/>
      <c r="M36" s="2466"/>
      <c r="N36" s="2466"/>
      <c r="O36" s="2466"/>
      <c r="P36" s="2466"/>
      <c r="Q36" s="2466"/>
      <c r="R36" s="2466"/>
      <c r="S36" s="2466"/>
      <c r="T36" s="2466"/>
      <c r="U36" s="2466"/>
      <c r="V36" s="2466"/>
      <c r="W36" s="2466"/>
      <c r="X36" s="2466"/>
      <c r="Y36" s="2466"/>
      <c r="Z36" s="2466"/>
      <c r="AA36" s="2466"/>
    </row>
    <row r="37" spans="1:27" ht="24.95" customHeight="1">
      <c r="A37" s="2442"/>
      <c r="B37" s="2564"/>
      <c r="C37" s="2484"/>
      <c r="D37" s="2563"/>
      <c r="E37" s="2563"/>
      <c r="F37" s="2562"/>
      <c r="G37" s="2562"/>
      <c r="H37" s="2562"/>
      <c r="I37" s="2562"/>
      <c r="J37" s="2534"/>
      <c r="K37" s="2484"/>
      <c r="L37" s="2483"/>
      <c r="M37" s="2466"/>
      <c r="N37" s="2466"/>
      <c r="O37" s="2466"/>
      <c r="P37" s="2466"/>
      <c r="Q37" s="2466"/>
      <c r="R37" s="2466"/>
      <c r="S37" s="2466"/>
      <c r="T37" s="2466"/>
      <c r="U37" s="2466"/>
      <c r="V37" s="2466"/>
      <c r="W37" s="2466"/>
      <c r="X37" s="2466"/>
      <c r="Y37" s="2466"/>
      <c r="Z37" s="2466"/>
      <c r="AA37" s="2466"/>
    </row>
    <row r="38" spans="1:27" ht="24.95" customHeight="1">
      <c r="A38" s="2442"/>
      <c r="B38" s="2478" t="s">
        <v>5980</v>
      </c>
      <c r="C38" s="2481" t="s">
        <v>6008</v>
      </c>
      <c r="D38" s="2494"/>
      <c r="E38" s="2494"/>
      <c r="F38" s="2494"/>
      <c r="G38" s="2494"/>
      <c r="H38" s="2494"/>
      <c r="I38" s="2494"/>
      <c r="J38" s="2499"/>
      <c r="K38" s="2480"/>
      <c r="L38" s="2490"/>
      <c r="M38" s="2466"/>
      <c r="N38" s="2466"/>
      <c r="O38" s="2466"/>
      <c r="P38" s="2466"/>
      <c r="Q38" s="2466"/>
      <c r="R38" s="2466"/>
      <c r="S38" s="2466"/>
      <c r="T38" s="2466"/>
      <c r="U38" s="2466"/>
      <c r="V38" s="2466"/>
      <c r="W38" s="2466"/>
      <c r="X38" s="2466"/>
      <c r="Y38" s="2466"/>
      <c r="Z38" s="2466"/>
      <c r="AA38" s="2466"/>
    </row>
    <row r="39" spans="1:27" ht="24.95" customHeight="1">
      <c r="A39" s="2442"/>
      <c r="B39" s="2478"/>
      <c r="C39" s="2552" t="str">
        <f ca="1">RIGHT(CELL("filename",A1),LEN(CELL("filename",A1))-SEARCH("]",CELL("filename",A1)))</f>
        <v>Formats-Formules-Fonctions</v>
      </c>
      <c r="D39" s="2551"/>
      <c r="E39" s="2551"/>
      <c r="F39" s="2537"/>
      <c r="G39" s="2537"/>
      <c r="H39" s="2537"/>
      <c r="I39" s="2537"/>
      <c r="J39" s="2550"/>
      <c r="K39" s="2550"/>
      <c r="L39" s="2490"/>
      <c r="M39" s="2466"/>
      <c r="N39" s="2536"/>
      <c r="O39" s="2536"/>
      <c r="P39" s="2466"/>
      <c r="Q39" s="2466"/>
      <c r="R39" s="2466"/>
      <c r="S39" s="2466"/>
      <c r="T39" s="2466"/>
      <c r="U39" s="2466"/>
      <c r="V39" s="2466"/>
      <c r="W39" s="2466"/>
      <c r="X39" s="2466"/>
      <c r="Y39" s="2466"/>
      <c r="Z39" s="2466"/>
      <c r="AA39" s="2466"/>
    </row>
    <row r="40" spans="1:27" ht="24.95" customHeight="1">
      <c r="A40" s="2442"/>
      <c r="B40" s="2478">
        <f>ROW()</f>
        <v>40</v>
      </c>
      <c r="C40" s="2477" t="str">
        <f ca="1">_xlfn.FORMULATEXT(C39)</f>
        <v>=DROITE(CELLULE("filename";A1);NBCAR(CELLULE("filename";A1))-CHERCHE("]";CELLULE("filename";A1)))</v>
      </c>
      <c r="D40" s="2477"/>
      <c r="E40" s="2477"/>
      <c r="F40" s="2477"/>
      <c r="G40" s="2477"/>
      <c r="H40" s="2477"/>
      <c r="I40" s="2477"/>
      <c r="J40" s="2477"/>
      <c r="K40" s="2477"/>
      <c r="L40" s="2490"/>
      <c r="M40" s="2466"/>
      <c r="N40" s="2477"/>
      <c r="O40" s="2477"/>
      <c r="P40" s="2466"/>
      <c r="Q40" s="2466"/>
      <c r="R40" s="2466"/>
      <c r="S40" s="2466"/>
      <c r="T40" s="2466"/>
      <c r="U40" s="2466"/>
      <c r="V40" s="2466"/>
      <c r="W40" s="2466"/>
      <c r="X40" s="2466"/>
      <c r="Y40" s="2466"/>
      <c r="Z40" s="2466"/>
      <c r="AA40" s="2466"/>
    </row>
    <row r="41" spans="1:27" ht="24.95" customHeight="1" thickBot="1">
      <c r="A41" s="2442"/>
      <c r="B41" s="2475"/>
      <c r="C41" s="2535" t="s">
        <v>5993</v>
      </c>
      <c r="D41" s="2501"/>
      <c r="E41" s="2501"/>
      <c r="F41" s="2501"/>
      <c r="G41" s="2501"/>
      <c r="H41" s="2501"/>
      <c r="I41" s="2501"/>
      <c r="J41" s="2500"/>
      <c r="K41" s="2488"/>
      <c r="L41" s="2487"/>
      <c r="M41" s="2466"/>
      <c r="N41" s="2466"/>
      <c r="O41" s="2466"/>
      <c r="P41" s="2466"/>
      <c r="Q41" s="2466"/>
      <c r="R41" s="2466"/>
      <c r="S41" s="2466"/>
      <c r="T41" s="2466"/>
      <c r="U41" s="2466"/>
      <c r="V41" s="2466"/>
      <c r="W41" s="2466"/>
      <c r="X41" s="2466"/>
      <c r="Y41" s="2466"/>
      <c r="Z41" s="2466"/>
      <c r="AA41" s="2466"/>
    </row>
    <row r="42" spans="1:27" ht="24.95" customHeight="1" thickBot="1">
      <c r="A42" s="2442"/>
      <c r="B42" s="2455"/>
      <c r="C42" s="2466"/>
      <c r="D42" s="2468"/>
      <c r="E42" s="2468"/>
      <c r="F42" s="2467"/>
      <c r="G42" s="2467"/>
      <c r="H42" s="2467"/>
      <c r="I42" s="2467"/>
      <c r="J42" s="1004"/>
      <c r="K42" s="2466"/>
      <c r="L42" s="2466"/>
      <c r="M42" s="2466"/>
      <c r="N42" s="2466"/>
      <c r="O42" s="2466"/>
      <c r="P42" s="2466"/>
      <c r="Q42" s="2466"/>
      <c r="R42" s="2466"/>
      <c r="S42" s="2466"/>
      <c r="T42" s="2466"/>
      <c r="U42" s="2466"/>
      <c r="V42" s="2466"/>
      <c r="W42" s="2466"/>
      <c r="X42" s="2466"/>
      <c r="Y42" s="2466"/>
      <c r="Z42" s="2466"/>
      <c r="AA42" s="2466"/>
    </row>
    <row r="43" spans="1:27" ht="24.95" customHeight="1">
      <c r="A43" s="2442"/>
      <c r="B43" s="2486"/>
      <c r="C43" s="2485"/>
      <c r="D43" s="2498"/>
      <c r="E43" s="2498"/>
      <c r="F43" s="2498"/>
      <c r="G43" s="2498"/>
      <c r="H43" s="2498"/>
      <c r="I43" s="2498"/>
      <c r="J43" s="2507"/>
      <c r="K43" s="2485"/>
      <c r="L43" s="2485"/>
      <c r="M43" s="2485"/>
      <c r="N43" s="2506"/>
      <c r="O43" s="2466"/>
      <c r="P43" s="2466"/>
      <c r="Q43" s="2466"/>
      <c r="R43" s="2466"/>
      <c r="S43" s="2466"/>
      <c r="T43" s="2466"/>
      <c r="U43" s="2466"/>
      <c r="V43" s="2466"/>
      <c r="W43" s="2466"/>
      <c r="X43" s="2466"/>
      <c r="Y43" s="2466"/>
      <c r="Z43" s="2466"/>
      <c r="AA43" s="2466"/>
    </row>
    <row r="44" spans="1:27" ht="24.95" customHeight="1">
      <c r="A44" s="2442"/>
      <c r="B44" s="2478" t="s">
        <v>5980</v>
      </c>
      <c r="C44" s="2481" t="s">
        <v>6007</v>
      </c>
      <c r="D44" s="2494"/>
      <c r="E44" s="2494"/>
      <c r="F44" s="2494"/>
      <c r="G44" s="2494"/>
      <c r="H44" s="2494"/>
      <c r="I44" s="2494"/>
      <c r="J44" s="2499"/>
      <c r="K44" s="2480"/>
      <c r="L44" s="2480"/>
      <c r="M44" s="2480"/>
      <c r="N44" s="2490"/>
      <c r="O44" s="2466"/>
      <c r="P44" s="2466"/>
      <c r="Q44" s="2466"/>
      <c r="R44" s="2466"/>
      <c r="S44" s="2466"/>
      <c r="T44" s="2466"/>
      <c r="U44" s="2466"/>
      <c r="V44" s="2466"/>
      <c r="W44" s="2466"/>
      <c r="X44" s="2466"/>
      <c r="Y44" s="2466"/>
      <c r="Z44" s="2466"/>
      <c r="AA44" s="2466"/>
    </row>
    <row r="45" spans="1:27" ht="24.95" customHeight="1">
      <c r="A45" s="2442"/>
      <c r="B45" s="2478"/>
      <c r="C45" s="2552" t="str">
        <f t="array" aca="1" ref="C45" ca="1">MID(CELL("filename",A1),SEARCH("[",CELL("filename",A1))+1,SEARCH("]",CELL("filename",A1))-SEARCH("[",CELL("filename",A1))-1)</f>
        <v>ff-2-A-collectivite.poids.portion.xlsx</v>
      </c>
      <c r="D45" s="2551"/>
      <c r="E45" s="2551"/>
      <c r="F45" s="2551"/>
      <c r="G45" s="2551"/>
      <c r="H45" s="2537"/>
      <c r="I45" s="2537"/>
      <c r="J45" s="2550"/>
      <c r="K45" s="2550"/>
      <c r="L45" s="2536"/>
      <c r="M45" s="2536"/>
      <c r="N45" s="2490"/>
      <c r="O45" s="2466"/>
      <c r="P45" s="2466"/>
      <c r="Q45" s="2466"/>
      <c r="R45" s="2466"/>
      <c r="S45" s="2466"/>
      <c r="T45" s="2466"/>
      <c r="U45" s="2466"/>
      <c r="V45" s="2466"/>
      <c r="W45" s="2466"/>
      <c r="X45" s="2466"/>
      <c r="Y45" s="2466"/>
      <c r="Z45" s="2466"/>
      <c r="AA45" s="2466"/>
    </row>
    <row r="46" spans="1:27" ht="24.95" customHeight="1">
      <c r="A46" s="2442"/>
      <c r="B46" s="2478">
        <f>ROW()</f>
        <v>46</v>
      </c>
      <c r="C46" s="2477" t="str">
        <f ca="1">_xlfn.FORMULATEXT(C45)</f>
        <v>{=STXT(CELLULE("filename";A1);CHERCHE("[";CELLULE("filename";A1))+1;CHERCHE("]";CELLULE("filename";A1))-CHERCHE("[";CELLULE("filename";A1))-1)}</v>
      </c>
      <c r="D46" s="2477"/>
      <c r="E46" s="2477"/>
      <c r="F46" s="2477"/>
      <c r="G46" s="2477"/>
      <c r="H46" s="2477"/>
      <c r="I46" s="2477"/>
      <c r="J46" s="2477"/>
      <c r="K46" s="2477"/>
      <c r="L46" s="2477"/>
      <c r="M46" s="2477"/>
      <c r="N46" s="2490"/>
      <c r="O46" s="2466" t="s">
        <v>1987</v>
      </c>
      <c r="P46" s="2466"/>
      <c r="Q46" s="2466"/>
      <c r="R46" s="2466"/>
      <c r="S46" s="2466"/>
      <c r="T46" s="2466"/>
      <c r="U46" s="2466"/>
      <c r="V46" s="2466"/>
      <c r="W46" s="2466"/>
      <c r="X46" s="2466"/>
      <c r="Y46" s="2466"/>
      <c r="Z46" s="2466"/>
      <c r="AA46" s="2466"/>
    </row>
    <row r="47" spans="1:27" ht="24.95" customHeight="1" thickBot="1">
      <c r="A47" s="2442"/>
      <c r="B47" s="2489"/>
      <c r="C47" s="2535" t="s">
        <v>5993</v>
      </c>
      <c r="D47" s="2582"/>
      <c r="E47" s="2582"/>
      <c r="F47" s="2582"/>
      <c r="G47" s="2582"/>
      <c r="H47" s="2582"/>
      <c r="I47" s="2582"/>
      <c r="J47" s="2582"/>
      <c r="K47" s="2582"/>
      <c r="L47" s="2582"/>
      <c r="M47" s="2582"/>
      <c r="N47" s="2581"/>
      <c r="O47" s="2466"/>
      <c r="P47" s="2466"/>
      <c r="Q47" s="2466"/>
      <c r="R47" s="2466"/>
      <c r="S47" s="2466"/>
      <c r="T47" s="2466"/>
      <c r="U47" s="2466"/>
      <c r="V47" s="2466"/>
      <c r="W47" s="2466"/>
      <c r="X47" s="2466"/>
      <c r="Y47" s="2466"/>
      <c r="Z47" s="2466"/>
      <c r="AA47" s="2466"/>
    </row>
    <row r="48" spans="1:27" ht="24.95" customHeight="1" thickBot="1">
      <c r="A48" s="2442"/>
      <c r="B48" s="2455"/>
      <c r="C48" s="2466"/>
      <c r="D48" s="2468"/>
      <c r="E48" s="2468"/>
      <c r="F48" s="2467"/>
      <c r="G48" s="2467"/>
      <c r="H48" s="2467"/>
      <c r="I48" s="2467"/>
      <c r="J48" s="1004"/>
      <c r="K48" s="2466"/>
      <c r="L48" s="2466"/>
      <c r="M48" s="2466"/>
      <c r="N48" s="2466"/>
      <c r="O48" s="2466"/>
      <c r="P48" s="2466"/>
      <c r="Q48" s="2466"/>
      <c r="R48" s="2466"/>
      <c r="S48" s="2466"/>
      <c r="T48" s="2466"/>
      <c r="U48" s="2466"/>
      <c r="V48" s="2466"/>
      <c r="W48" s="2466"/>
      <c r="X48" s="2466"/>
      <c r="Y48" s="2466"/>
      <c r="Z48" s="2466"/>
      <c r="AA48" s="2466"/>
    </row>
    <row r="49" spans="1:27" ht="24.95" customHeight="1">
      <c r="A49" s="2442"/>
      <c r="B49" s="2564"/>
      <c r="C49" s="2484"/>
      <c r="D49" s="2563"/>
      <c r="E49" s="2563"/>
      <c r="F49" s="2562"/>
      <c r="G49" s="2562"/>
      <c r="H49" s="2562"/>
      <c r="I49" s="2562"/>
      <c r="J49" s="2534"/>
      <c r="K49" s="2484"/>
      <c r="L49" s="2483"/>
      <c r="M49" s="2466"/>
      <c r="N49" s="2466"/>
      <c r="O49" s="2466"/>
      <c r="P49" s="2466"/>
      <c r="Q49" s="2466"/>
      <c r="R49" s="2466"/>
      <c r="S49" s="2466"/>
      <c r="T49" s="2466"/>
      <c r="U49" s="2466"/>
      <c r="V49" s="2466"/>
      <c r="W49" s="2466"/>
      <c r="X49" s="2466"/>
      <c r="Y49" s="2466"/>
      <c r="Z49" s="2466"/>
      <c r="AA49" s="2466"/>
    </row>
    <row r="50" spans="1:27" ht="24.95" customHeight="1">
      <c r="A50" s="2442"/>
      <c r="B50" s="2478" t="s">
        <v>5980</v>
      </c>
      <c r="C50" s="2481" t="s">
        <v>6006</v>
      </c>
      <c r="D50" s="2494"/>
      <c r="E50" s="2494"/>
      <c r="F50" s="2494"/>
      <c r="G50" s="2494"/>
      <c r="H50" s="2494"/>
      <c r="I50" s="2494"/>
      <c r="J50" s="2499"/>
      <c r="K50" s="2480"/>
      <c r="L50" s="2490"/>
      <c r="M50" s="2466"/>
      <c r="N50" s="2466"/>
      <c r="O50" s="2466"/>
      <c r="P50" s="2466"/>
      <c r="Q50" s="2466"/>
      <c r="R50" s="2466"/>
      <c r="S50" s="2466"/>
      <c r="T50" s="2466"/>
      <c r="U50" s="2466"/>
      <c r="V50" s="2466"/>
      <c r="W50" s="2466"/>
      <c r="X50" s="2466"/>
      <c r="Y50" s="2466"/>
      <c r="Z50" s="2466"/>
      <c r="AA50" s="2466"/>
    </row>
    <row r="51" spans="1:27" ht="24.95" customHeight="1">
      <c r="A51" s="2442"/>
      <c r="B51" s="2478"/>
      <c r="C51" s="2552" t="str">
        <f ca="1">RIGHT(CELL("filename",A1),LEN(CELL("filename",A1))-SEARCH("[",CELL("filename",A1))+1)</f>
        <v>[ff-2-A-collectivite.poids.portion.xlsx]Formats-Formules-Fonctions</v>
      </c>
      <c r="D51" s="2551"/>
      <c r="E51" s="2551"/>
      <c r="F51" s="2551"/>
      <c r="G51" s="2551"/>
      <c r="H51" s="2551"/>
      <c r="I51" s="2551"/>
      <c r="J51" s="2550"/>
      <c r="K51" s="2550"/>
      <c r="L51" s="2490"/>
      <c r="M51" s="2466"/>
      <c r="N51" s="2536"/>
      <c r="O51" s="2536"/>
      <c r="P51" s="2466"/>
      <c r="Q51" s="2466"/>
      <c r="R51" s="2466"/>
      <c r="S51" s="2466"/>
      <c r="T51" s="2466"/>
      <c r="U51" s="2466"/>
      <c r="V51" s="2466"/>
      <c r="W51" s="2466"/>
      <c r="X51" s="2466"/>
      <c r="Y51" s="2466"/>
      <c r="Z51" s="2466"/>
      <c r="AA51" s="2466"/>
    </row>
    <row r="52" spans="1:27" ht="24.95" customHeight="1">
      <c r="A52" s="2442"/>
      <c r="B52" s="2478">
        <f>ROW()</f>
        <v>52</v>
      </c>
      <c r="C52" s="2477" t="str">
        <f ca="1">_xlfn.FORMULATEXT(C51)</f>
        <v>=DROITE(CELLULE("filename";A1);NBCAR(CELLULE("filename";A1))-CHERCHE("[";CELLULE("filename";A1))+1)</v>
      </c>
      <c r="D52" s="2477"/>
      <c r="E52" s="2477"/>
      <c r="F52" s="2477"/>
      <c r="G52" s="2477"/>
      <c r="H52" s="2477"/>
      <c r="I52" s="2477"/>
      <c r="J52" s="2477"/>
      <c r="K52" s="2477"/>
      <c r="L52" s="2490"/>
      <c r="M52" s="2466"/>
      <c r="N52" s="2477"/>
      <c r="O52" s="2477"/>
      <c r="P52" s="2466"/>
      <c r="Q52" s="2466"/>
      <c r="R52" s="2466"/>
      <c r="S52" s="2466"/>
      <c r="T52" s="2466"/>
      <c r="U52" s="2466"/>
      <c r="V52" s="2466"/>
      <c r="W52" s="2466"/>
      <c r="X52" s="2466"/>
      <c r="Y52" s="2466"/>
      <c r="Z52" s="2466"/>
      <c r="AA52" s="2466"/>
    </row>
    <row r="53" spans="1:27" ht="24.95" customHeight="1" thickBot="1">
      <c r="A53" s="2442"/>
      <c r="B53" s="2475"/>
      <c r="C53" s="2535" t="s">
        <v>5993</v>
      </c>
      <c r="D53" s="2501"/>
      <c r="E53" s="2501"/>
      <c r="F53" s="2501"/>
      <c r="G53" s="2501"/>
      <c r="H53" s="2501"/>
      <c r="I53" s="2501"/>
      <c r="J53" s="2500"/>
      <c r="K53" s="2488"/>
      <c r="L53" s="2487"/>
      <c r="M53" s="2466"/>
      <c r="N53" s="2466"/>
      <c r="O53" s="2466"/>
      <c r="P53" s="2466"/>
      <c r="Q53" s="2466"/>
      <c r="R53" s="2466"/>
      <c r="S53" s="2466"/>
      <c r="T53" s="2466"/>
      <c r="U53" s="2466"/>
      <c r="V53" s="2466"/>
      <c r="W53" s="2466"/>
      <c r="X53" s="2466"/>
      <c r="Y53" s="2466"/>
      <c r="Z53" s="2466"/>
      <c r="AA53" s="2466"/>
    </row>
    <row r="54" spans="1:27" ht="24.95" customHeight="1" thickBot="1">
      <c r="A54" s="2442"/>
      <c r="B54" s="2466"/>
      <c r="C54" s="2466"/>
      <c r="D54" s="2466"/>
      <c r="E54" s="2466"/>
      <c r="F54" s="2466"/>
      <c r="G54" s="2466"/>
      <c r="H54" s="2466"/>
      <c r="I54" s="2466"/>
      <c r="J54" s="2466"/>
      <c r="K54" s="2466"/>
      <c r="L54" s="2466"/>
      <c r="M54" s="2466"/>
      <c r="N54" s="2466"/>
      <c r="O54" s="2466"/>
      <c r="P54" s="2466"/>
      <c r="Q54" s="2466"/>
      <c r="R54" s="2466"/>
      <c r="S54" s="2466"/>
      <c r="T54" s="2466"/>
      <c r="U54" s="2466"/>
      <c r="V54" s="2466"/>
      <c r="W54" s="2466"/>
      <c r="X54" s="2466"/>
      <c r="Y54" s="2466"/>
      <c r="Z54" s="2466"/>
      <c r="AA54" s="2466"/>
    </row>
    <row r="55" spans="1:27" ht="24.95" customHeight="1">
      <c r="A55" s="2442"/>
      <c r="B55" s="2564"/>
      <c r="C55" s="2485"/>
      <c r="D55" s="2498"/>
      <c r="E55" s="2498"/>
      <c r="F55" s="2498"/>
      <c r="G55" s="2498"/>
      <c r="H55" s="2498"/>
      <c r="I55" s="2498"/>
      <c r="J55" s="2497"/>
      <c r="K55" s="2466"/>
      <c r="L55" s="2466"/>
      <c r="M55" s="2466"/>
      <c r="N55" s="2466"/>
      <c r="O55" s="2466"/>
      <c r="P55" s="2466"/>
      <c r="Q55" s="2466"/>
      <c r="R55" s="2466"/>
      <c r="S55" s="2466"/>
      <c r="T55" s="2466"/>
      <c r="U55" s="2466"/>
      <c r="V55" s="2466"/>
      <c r="W55" s="2466"/>
      <c r="X55" s="2466"/>
      <c r="Y55" s="2466"/>
      <c r="Z55" s="2466"/>
      <c r="AA55" s="2466"/>
    </row>
    <row r="56" spans="1:27" ht="24.95" customHeight="1">
      <c r="A56" s="2442"/>
      <c r="B56" s="2478" t="s">
        <v>5980</v>
      </c>
      <c r="C56" s="2481" t="s">
        <v>6005</v>
      </c>
      <c r="D56" s="2565"/>
      <c r="E56" s="2480"/>
      <c r="F56" s="2480"/>
      <c r="G56" s="2477"/>
      <c r="H56" s="2477"/>
      <c r="I56" s="2580"/>
      <c r="J56" s="2490"/>
      <c r="K56" s="2466"/>
      <c r="L56" s="2466"/>
      <c r="M56" s="2466"/>
      <c r="N56" s="2466"/>
      <c r="O56" s="2466"/>
      <c r="P56" s="2466"/>
      <c r="Q56" s="2466"/>
      <c r="R56" s="2466"/>
      <c r="S56" s="2466"/>
      <c r="T56" s="2466"/>
      <c r="U56" s="2466"/>
      <c r="V56" s="2466"/>
      <c r="W56" s="2466"/>
      <c r="X56" s="2466"/>
      <c r="Y56" s="2466"/>
      <c r="Z56" s="2466"/>
      <c r="AA56" s="2466"/>
    </row>
    <row r="57" spans="1:27" ht="24.95" customHeight="1">
      <c r="A57" s="2442"/>
      <c r="B57" s="2478"/>
      <c r="C57" s="2552" t="str">
        <f t="array" aca="1" ref="C57" ca="1">LEFT(CELL("filename",A1),SEARCH("[",CELL("filename",A1))-1)</f>
        <v>E:\0-UPRT\1-UPRT.FR-SITE-WEB\ff-fiches-fabrications\ff-fiches-fabrication-maj-08-2020\</v>
      </c>
      <c r="D57" s="2551"/>
      <c r="E57" s="2551"/>
      <c r="F57" s="2551"/>
      <c r="G57" s="2551"/>
      <c r="H57" s="2551"/>
      <c r="I57" s="2537"/>
      <c r="J57" s="2490"/>
      <c r="K57" s="2466"/>
      <c r="L57" s="2536"/>
      <c r="M57" s="2536"/>
      <c r="N57" s="2536"/>
      <c r="O57" s="2536"/>
      <c r="P57" s="2466"/>
      <c r="Q57" s="2466"/>
      <c r="R57" s="2466"/>
      <c r="S57" s="2466"/>
      <c r="T57" s="2466"/>
      <c r="U57" s="2466"/>
      <c r="V57" s="2466"/>
      <c r="W57" s="2466"/>
      <c r="X57" s="2466"/>
      <c r="Y57" s="2466"/>
      <c r="Z57" s="2466"/>
      <c r="AA57" s="2466"/>
    </row>
    <row r="58" spans="1:27" ht="24.95" customHeight="1">
      <c r="A58" s="2442"/>
      <c r="B58" s="2478">
        <f>ROW()</f>
        <v>58</v>
      </c>
      <c r="C58" s="2477" t="str">
        <f ca="1">_xlfn.FORMULATEXT(C57)</f>
        <v>{=GAUCHE(CELLULE("filename";A1);CHERCHE("[";CELLULE("filename";A1))-1)}</v>
      </c>
      <c r="D58" s="2477"/>
      <c r="E58" s="2477"/>
      <c r="F58" s="2477"/>
      <c r="G58" s="2477"/>
      <c r="H58" s="2477"/>
      <c r="I58" s="2477"/>
      <c r="J58" s="2490"/>
      <c r="K58" s="2466"/>
      <c r="L58" s="2477"/>
      <c r="M58" s="2477"/>
      <c r="N58" s="2477"/>
      <c r="O58" s="2536"/>
      <c r="P58" s="2466"/>
      <c r="Q58" s="2466"/>
      <c r="R58" s="2466"/>
      <c r="S58" s="2466"/>
      <c r="T58" s="2466"/>
      <c r="U58" s="2466"/>
      <c r="V58" s="2466"/>
      <c r="W58" s="2466"/>
      <c r="X58" s="2466"/>
      <c r="Y58" s="2466"/>
      <c r="Z58" s="2466"/>
      <c r="AA58" s="2466"/>
    </row>
    <row r="59" spans="1:27" ht="24.95" customHeight="1" thickBot="1">
      <c r="A59" s="2442"/>
      <c r="B59" s="2475"/>
      <c r="C59" s="2535" t="s">
        <v>5993</v>
      </c>
      <c r="D59" s="2488"/>
      <c r="E59" s="2488"/>
      <c r="F59" s="2488"/>
      <c r="G59" s="2488"/>
      <c r="H59" s="2488"/>
      <c r="I59" s="2488"/>
      <c r="J59" s="2487"/>
      <c r="K59" s="2466"/>
      <c r="L59" s="2466"/>
      <c r="M59" s="2466"/>
      <c r="N59" s="2466"/>
      <c r="O59" s="2466"/>
      <c r="P59" s="2466"/>
      <c r="Q59" s="2466"/>
      <c r="R59" s="2466"/>
      <c r="S59" s="2466"/>
      <c r="T59" s="2466"/>
      <c r="U59" s="2466"/>
      <c r="V59" s="2466"/>
      <c r="W59" s="2466"/>
      <c r="X59" s="2466"/>
      <c r="Y59" s="2466"/>
      <c r="Z59" s="2466"/>
      <c r="AA59" s="2466"/>
    </row>
    <row r="60" spans="1:27" ht="24.95" customHeight="1" thickBot="1">
      <c r="A60" s="2442"/>
      <c r="B60" s="2455"/>
      <c r="C60" s="2466"/>
      <c r="D60" s="2468"/>
      <c r="E60" s="2468"/>
      <c r="F60" s="2467"/>
      <c r="G60" s="2467"/>
      <c r="H60" s="2467"/>
      <c r="I60" s="2467"/>
      <c r="J60" s="1004"/>
      <c r="K60" s="2466"/>
      <c r="L60" s="2466"/>
      <c r="M60" s="2466"/>
      <c r="N60" s="2466"/>
      <c r="O60" s="2466"/>
      <c r="P60" s="2466"/>
      <c r="Q60" s="2466"/>
      <c r="R60" s="2466"/>
      <c r="S60" s="2466"/>
      <c r="T60" s="2466"/>
      <c r="U60" s="2466"/>
      <c r="V60" s="2466"/>
      <c r="W60" s="2466"/>
      <c r="X60" s="2466"/>
      <c r="Y60" s="2466"/>
      <c r="Z60" s="2466"/>
      <c r="AA60" s="2466"/>
    </row>
    <row r="61" spans="1:27" ht="24.95" customHeight="1">
      <c r="A61" s="2442"/>
      <c r="B61" s="2486"/>
      <c r="C61" s="2485"/>
      <c r="D61" s="2498"/>
      <c r="E61" s="2498"/>
      <c r="F61" s="2498"/>
      <c r="G61" s="2498"/>
      <c r="H61" s="2498"/>
      <c r="I61" s="2498"/>
      <c r="J61" s="2507"/>
      <c r="K61" s="2485"/>
      <c r="L61" s="2506"/>
      <c r="M61" s="2466"/>
      <c r="N61" s="2466"/>
      <c r="O61" s="2466"/>
      <c r="P61" s="2466"/>
      <c r="Q61" s="2466"/>
      <c r="R61" s="2466"/>
      <c r="S61" s="2466"/>
      <c r="T61" s="2466"/>
      <c r="U61" s="2466"/>
      <c r="V61" s="2466"/>
      <c r="W61" s="2466"/>
      <c r="X61" s="2466"/>
      <c r="Y61" s="2466"/>
      <c r="Z61" s="2466"/>
      <c r="AA61" s="2466"/>
    </row>
    <row r="62" spans="1:27" ht="24.95" customHeight="1">
      <c r="A62" s="2442"/>
      <c r="B62" s="2478" t="s">
        <v>5980</v>
      </c>
      <c r="C62" s="2481" t="s">
        <v>6004</v>
      </c>
      <c r="D62" s="2565"/>
      <c r="E62" s="2480"/>
      <c r="F62" s="2480"/>
      <c r="G62" s="2480"/>
      <c r="H62" s="2480"/>
      <c r="I62" s="2480"/>
      <c r="J62" s="2480"/>
      <c r="K62" s="2480"/>
      <c r="L62" s="2490"/>
      <c r="M62" s="2466"/>
      <c r="N62" s="2466"/>
      <c r="O62" s="2466"/>
      <c r="P62" s="2466"/>
      <c r="Q62" s="2466"/>
      <c r="R62" s="2466"/>
      <c r="S62" s="2466"/>
      <c r="T62" s="2466"/>
      <c r="U62" s="2466"/>
      <c r="V62" s="2466"/>
      <c r="W62" s="2466"/>
      <c r="X62" s="2466"/>
      <c r="Y62" s="2466"/>
      <c r="Z62" s="2466"/>
      <c r="AA62" s="2466"/>
    </row>
    <row r="63" spans="1:27" ht="24.95" customHeight="1">
      <c r="A63" s="2442"/>
      <c r="B63" s="2478"/>
      <c r="C63" s="2552" t="str">
        <f t="array" aca="1" ref="C63" ca="1">LEFT(CELL("filename",A1),SEARCH("]",CELL("filename",A1)))</f>
        <v>E:\0-UPRT\1-UPRT.FR-SITE-WEB\ff-fiches-fabrications\ff-fiches-fabrication-maj-08-2020\[ff-2-A-collectivite.poids.portion.xlsx]</v>
      </c>
      <c r="D63" s="2551"/>
      <c r="E63" s="2579"/>
      <c r="F63" s="2579"/>
      <c r="G63" s="2579"/>
      <c r="H63" s="2579"/>
      <c r="I63" s="2579"/>
      <c r="J63" s="2578"/>
      <c r="K63" s="2578"/>
      <c r="L63" s="2577"/>
      <c r="M63" s="2466"/>
      <c r="N63" s="2536"/>
      <c r="O63" s="2536"/>
      <c r="P63" s="2466"/>
      <c r="Q63" s="2466"/>
      <c r="R63" s="2466"/>
      <c r="S63" s="2466"/>
      <c r="T63" s="2466"/>
      <c r="U63" s="2466"/>
      <c r="V63" s="2466"/>
      <c r="W63" s="2466"/>
      <c r="X63" s="2466"/>
      <c r="Y63" s="2466"/>
      <c r="Z63" s="2466"/>
      <c r="AA63" s="2466"/>
    </row>
    <row r="64" spans="1:27" ht="24.95" customHeight="1">
      <c r="A64" s="2442"/>
      <c r="B64" s="2478">
        <f>ROW()</f>
        <v>64</v>
      </c>
      <c r="C64" s="2477" t="str">
        <f ca="1">_xlfn.FORMULATEXT(C63)</f>
        <v>{=GAUCHE(CELLULE("filename";A1);CHERCHE("]";CELLULE("filename";A1)))}</v>
      </c>
      <c r="D64" s="2477"/>
      <c r="E64" s="2477"/>
      <c r="F64" s="2477"/>
      <c r="G64" s="2477"/>
      <c r="H64" s="2477"/>
      <c r="I64" s="2477"/>
      <c r="J64" s="2477"/>
      <c r="K64" s="2477"/>
      <c r="L64" s="2490"/>
      <c r="M64" s="2466"/>
      <c r="N64" s="2477"/>
      <c r="O64" s="2477"/>
      <c r="P64" s="2466"/>
      <c r="Q64" s="2466"/>
      <c r="R64" s="2466"/>
      <c r="S64" s="2466"/>
      <c r="T64" s="2466"/>
      <c r="U64" s="2466"/>
      <c r="V64" s="2466"/>
      <c r="W64" s="2466"/>
      <c r="X64" s="2466"/>
      <c r="Y64" s="2466"/>
      <c r="Z64" s="2466"/>
      <c r="AA64" s="2466"/>
    </row>
    <row r="65" spans="1:27" ht="24.95" customHeight="1" thickBot="1">
      <c r="A65" s="2442"/>
      <c r="B65" s="2489"/>
      <c r="C65" s="2535" t="s">
        <v>5993</v>
      </c>
      <c r="D65" s="2488"/>
      <c r="E65" s="2488"/>
      <c r="F65" s="2488"/>
      <c r="G65" s="2488"/>
      <c r="H65" s="2488"/>
      <c r="I65" s="2488"/>
      <c r="J65" s="2488"/>
      <c r="K65" s="2488"/>
      <c r="L65" s="2487"/>
      <c r="M65" s="2466"/>
      <c r="N65" s="2466"/>
      <c r="O65" s="2466"/>
      <c r="P65" s="2466"/>
      <c r="Q65" s="2466"/>
      <c r="R65" s="2466"/>
      <c r="S65" s="2466"/>
      <c r="T65" s="2466"/>
      <c r="U65" s="2466"/>
      <c r="V65" s="2466"/>
      <c r="W65" s="2466"/>
      <c r="X65" s="2466"/>
      <c r="Y65" s="2466"/>
      <c r="Z65" s="2466"/>
      <c r="AA65" s="2466"/>
    </row>
    <row r="66" spans="1:27" ht="24.95" customHeight="1" thickBot="1">
      <c r="A66" s="2442"/>
      <c r="B66" s="2455"/>
      <c r="C66" s="2466"/>
      <c r="D66" s="2468"/>
      <c r="E66" s="2468"/>
      <c r="F66" s="2467"/>
      <c r="G66" s="2467"/>
      <c r="H66" s="2467"/>
      <c r="I66" s="2467"/>
      <c r="J66" s="1004"/>
      <c r="K66" s="2466"/>
      <c r="L66" s="2466"/>
      <c r="M66" s="2466"/>
      <c r="N66" s="2466"/>
      <c r="O66" s="2466"/>
      <c r="P66" s="2466"/>
      <c r="Q66" s="2466"/>
      <c r="R66" s="2466"/>
      <c r="S66" s="2466"/>
      <c r="T66" s="2466"/>
      <c r="U66" s="2466"/>
      <c r="V66" s="2466"/>
      <c r="W66" s="2466"/>
      <c r="X66" s="2466"/>
      <c r="Y66" s="2466"/>
      <c r="Z66" s="2466"/>
      <c r="AA66" s="2466"/>
    </row>
    <row r="67" spans="1:27" ht="24.95" customHeight="1">
      <c r="A67" s="2442"/>
      <c r="B67" s="2564"/>
      <c r="C67" s="2484"/>
      <c r="D67" s="2563"/>
      <c r="E67" s="2563"/>
      <c r="F67" s="2562"/>
      <c r="G67" s="2562"/>
      <c r="H67" s="2562"/>
      <c r="I67" s="2576"/>
      <c r="J67" s="1004"/>
      <c r="K67" s="2466"/>
      <c r="L67" s="2466"/>
      <c r="M67" s="2466"/>
      <c r="N67" s="2466"/>
      <c r="O67" s="2466"/>
      <c r="P67" s="2466"/>
      <c r="Q67" s="2466"/>
      <c r="R67" s="2466"/>
      <c r="S67" s="2466"/>
      <c r="T67" s="2466"/>
      <c r="U67" s="2466"/>
      <c r="V67" s="2466"/>
      <c r="W67" s="2466"/>
      <c r="X67" s="2466"/>
      <c r="Y67" s="2466"/>
      <c r="Z67" s="2466"/>
      <c r="AA67" s="2466"/>
    </row>
    <row r="68" spans="1:27" ht="24.95" customHeight="1">
      <c r="A68" s="2442"/>
      <c r="B68" s="2478" t="s">
        <v>5980</v>
      </c>
      <c r="C68" s="2481" t="s">
        <v>6003</v>
      </c>
      <c r="D68" s="2466"/>
      <c r="E68" s="2468"/>
      <c r="F68" s="2467"/>
      <c r="G68" s="2467"/>
      <c r="H68" s="2467"/>
      <c r="I68" s="2573"/>
      <c r="J68" s="1004"/>
      <c r="K68" s="2466"/>
      <c r="L68" s="2466"/>
      <c r="M68" s="2466"/>
      <c r="N68" s="2466"/>
      <c r="O68" s="2466"/>
      <c r="P68" s="2466"/>
      <c r="Q68" s="2466"/>
      <c r="R68" s="2466"/>
      <c r="S68" s="2466"/>
      <c r="T68" s="2466"/>
      <c r="U68" s="2466"/>
      <c r="V68" s="2466"/>
      <c r="W68" s="2466"/>
      <c r="X68" s="2466"/>
      <c r="Y68" s="2466"/>
      <c r="Z68" s="2466"/>
      <c r="AA68" s="2466"/>
    </row>
    <row r="69" spans="1:27" ht="24.95" customHeight="1">
      <c r="A69" s="2442"/>
      <c r="B69" s="2478">
        <f>ROW()</f>
        <v>69</v>
      </c>
      <c r="C69" s="2575" t="s">
        <v>6002</v>
      </c>
      <c r="D69" s="2574"/>
      <c r="E69" s="2468"/>
      <c r="F69" s="2467"/>
      <c r="G69" s="2467"/>
      <c r="H69" s="2467"/>
      <c r="I69" s="2573"/>
      <c r="J69" s="1004"/>
      <c r="K69" s="2466"/>
      <c r="L69" s="2466"/>
      <c r="M69" s="2466"/>
      <c r="N69" s="2466"/>
      <c r="O69" s="2466"/>
      <c r="P69" s="2466"/>
      <c r="Q69" s="2466"/>
      <c r="R69" s="2466"/>
      <c r="S69" s="2466"/>
      <c r="T69" s="2466"/>
      <c r="U69" s="2466"/>
      <c r="V69" s="2466"/>
      <c r="W69" s="2466"/>
      <c r="X69" s="2466"/>
      <c r="Y69" s="2466"/>
      <c r="Z69" s="2466"/>
      <c r="AA69" s="2466"/>
    </row>
    <row r="70" spans="1:27" ht="24.95" customHeight="1" thickBot="1">
      <c r="A70" s="2442"/>
      <c r="B70" s="2475"/>
      <c r="C70" s="2535" t="s">
        <v>6001</v>
      </c>
      <c r="D70" s="2470"/>
      <c r="E70" s="2473"/>
      <c r="F70" s="2472"/>
      <c r="G70" s="2472"/>
      <c r="H70" s="2472"/>
      <c r="I70" s="2572"/>
      <c r="J70" s="1004"/>
      <c r="K70" s="2466"/>
      <c r="L70" s="2466"/>
      <c r="M70" s="2466"/>
      <c r="N70" s="2466"/>
      <c r="O70" s="2466"/>
      <c r="P70" s="2466"/>
      <c r="Q70" s="2466"/>
      <c r="R70" s="2466"/>
      <c r="S70" s="2466"/>
      <c r="T70" s="2466"/>
      <c r="U70" s="2466"/>
      <c r="V70" s="2466"/>
      <c r="W70" s="2466"/>
      <c r="X70" s="2466"/>
      <c r="Y70" s="2466"/>
      <c r="Z70" s="2466"/>
      <c r="AA70" s="2466"/>
    </row>
    <row r="71" spans="1:27" ht="24.95" customHeight="1">
      <c r="A71" s="2442"/>
      <c r="B71" s="2455"/>
      <c r="C71" s="2466"/>
      <c r="D71" s="2468"/>
      <c r="E71" s="2468"/>
      <c r="F71" s="2467"/>
      <c r="G71" s="2467"/>
      <c r="H71" s="2467"/>
      <c r="I71" s="2467"/>
      <c r="J71" s="1004"/>
      <c r="K71" s="2466"/>
      <c r="L71" s="2466"/>
      <c r="M71" s="2466"/>
      <c r="N71" s="2466"/>
      <c r="O71" s="2466"/>
      <c r="P71" s="2466"/>
      <c r="Q71" s="2466"/>
      <c r="R71" s="2466"/>
      <c r="S71" s="2466"/>
      <c r="T71" s="2466"/>
      <c r="U71" s="2466"/>
      <c r="V71" s="2466"/>
      <c r="W71" s="2466"/>
      <c r="X71" s="2466"/>
      <c r="Y71" s="2466"/>
      <c r="Z71" s="2466"/>
      <c r="AA71" s="2466"/>
    </row>
    <row r="72" spans="1:27" ht="24.95" customHeight="1">
      <c r="A72" s="1026"/>
      <c r="B72" s="1025"/>
      <c r="C72" s="1021"/>
      <c r="D72" s="1024"/>
      <c r="E72" s="1024"/>
      <c r="F72" s="1023"/>
      <c r="G72" s="1023"/>
      <c r="H72" s="1023"/>
      <c r="I72" s="1023"/>
      <c r="J72" s="1022"/>
      <c r="K72" s="1021"/>
      <c r="L72" s="1021"/>
      <c r="M72" s="1021"/>
      <c r="N72" s="1021"/>
      <c r="O72" s="1021"/>
      <c r="P72" s="1021"/>
      <c r="Q72" s="1021"/>
      <c r="R72" s="1021"/>
      <c r="S72" s="1021"/>
      <c r="T72" s="1021"/>
      <c r="U72" s="1021"/>
      <c r="V72" s="1021"/>
      <c r="W72" s="1021"/>
      <c r="X72" s="1021"/>
      <c r="Y72" s="1021"/>
      <c r="Z72" s="1021"/>
      <c r="AA72" s="1021"/>
    </row>
    <row r="73" spans="1:27" ht="24.95" customHeight="1">
      <c r="A73" s="2442"/>
      <c r="B73" s="2455"/>
      <c r="C73" s="2466"/>
      <c r="D73" s="2468"/>
      <c r="E73" s="2468"/>
      <c r="F73" s="2467"/>
      <c r="G73" s="2467"/>
      <c r="H73" s="2467"/>
      <c r="I73" s="2467"/>
      <c r="J73" s="1004"/>
      <c r="K73" s="2466"/>
      <c r="L73" s="2466"/>
      <c r="M73" s="2466"/>
      <c r="N73" s="2466"/>
      <c r="O73" s="2466"/>
      <c r="P73" s="2466"/>
      <c r="Q73" s="2466"/>
      <c r="R73" s="2466"/>
      <c r="S73" s="2466"/>
      <c r="T73" s="2466"/>
      <c r="U73" s="2466"/>
      <c r="V73" s="2466"/>
      <c r="W73" s="2466"/>
      <c r="X73" s="2466"/>
      <c r="Y73" s="2466"/>
      <c r="Z73" s="2466"/>
      <c r="AA73" s="2466"/>
    </row>
    <row r="74" spans="1:27" ht="24.95" customHeight="1" thickBot="1">
      <c r="A74" s="2442"/>
      <c r="B74" s="2455"/>
      <c r="C74" s="2466"/>
      <c r="D74" s="2468"/>
      <c r="E74" s="2468"/>
      <c r="F74" s="2467"/>
      <c r="G74" s="2467"/>
      <c r="H74" s="2467"/>
      <c r="I74" s="2467"/>
      <c r="J74" s="1004"/>
      <c r="K74" s="2466"/>
      <c r="L74" s="2466"/>
      <c r="M74" s="2466"/>
      <c r="N74" s="2466"/>
      <c r="O74" s="2466"/>
      <c r="P74" s="2466"/>
      <c r="Q74" s="2466"/>
      <c r="R74" s="2466"/>
      <c r="S74" s="2466"/>
      <c r="T74" s="2466"/>
      <c r="U74" s="2466"/>
      <c r="V74" s="2466"/>
      <c r="W74" s="2466"/>
      <c r="X74" s="2466"/>
      <c r="Y74" s="2466"/>
      <c r="Z74" s="2466"/>
      <c r="AA74" s="2466"/>
    </row>
    <row r="75" spans="1:27" ht="24.95" customHeight="1">
      <c r="A75" s="2442"/>
      <c r="B75" s="2486"/>
      <c r="C75" s="2485"/>
      <c r="D75" s="2498"/>
      <c r="E75" s="2498"/>
      <c r="F75" s="2498"/>
      <c r="G75" s="2498"/>
      <c r="H75" s="2498"/>
      <c r="I75" s="2498"/>
      <c r="J75" s="2507"/>
      <c r="K75" s="2485"/>
      <c r="L75" s="2485"/>
      <c r="M75" s="2506"/>
      <c r="N75" s="2466"/>
      <c r="O75" s="2466"/>
      <c r="P75" s="2466"/>
      <c r="Q75" s="2466"/>
      <c r="R75" s="2466"/>
      <c r="S75" s="2466"/>
      <c r="T75" s="2466"/>
      <c r="U75" s="2466"/>
      <c r="V75" s="2466"/>
      <c r="W75" s="2466"/>
      <c r="X75" s="2466"/>
      <c r="Y75" s="2466"/>
      <c r="Z75" s="2466"/>
      <c r="AA75" s="2466"/>
    </row>
    <row r="76" spans="1:27" ht="24.95" customHeight="1">
      <c r="A76" s="2442"/>
      <c r="B76" s="2478" t="s">
        <v>5980</v>
      </c>
      <c r="C76" s="2481" t="s">
        <v>6000</v>
      </c>
      <c r="D76" s="2494"/>
      <c r="E76" s="2494"/>
      <c r="F76" s="2494"/>
      <c r="G76" s="2494"/>
      <c r="H76" s="2494"/>
      <c r="I76" s="2494"/>
      <c r="J76" s="2499"/>
      <c r="K76" s="2480"/>
      <c r="L76" s="2480"/>
      <c r="M76" s="2490"/>
      <c r="N76" s="2466"/>
      <c r="O76" s="2466"/>
      <c r="P76" s="2466"/>
      <c r="Q76" s="2466"/>
      <c r="R76" s="2466"/>
      <c r="S76" s="2466"/>
      <c r="T76" s="2466"/>
      <c r="U76" s="2466"/>
      <c r="V76" s="2466"/>
      <c r="W76" s="2466"/>
      <c r="X76" s="2466"/>
      <c r="Y76" s="2466"/>
      <c r="Z76" s="2466"/>
      <c r="AA76" s="2466"/>
    </row>
    <row r="77" spans="1:27" ht="24.95" customHeight="1">
      <c r="A77" s="2442"/>
      <c r="B77" s="2478">
        <f>ROW()</f>
        <v>77</v>
      </c>
      <c r="C77" s="2552" t="str">
        <f ca="1">CELL("nomfichier")</f>
        <v>E:\0-UPRT\1-UPRT.FR-SITE-WEB\ff-fiches-fabrications\ff-fiches-fabrication-maj-08-2020\[ff-2-A-collectivite.poids.portion.xlsx]Nota</v>
      </c>
      <c r="D77" s="2551"/>
      <c r="E77" s="2551"/>
      <c r="F77" s="2551"/>
      <c r="G77" s="2551"/>
      <c r="H77" s="2551"/>
      <c r="I77" s="2551"/>
      <c r="J77" s="2571"/>
      <c r="K77" s="2571"/>
      <c r="L77" s="2570"/>
      <c r="M77" s="2569"/>
      <c r="N77" s="2466" t="s">
        <v>1987</v>
      </c>
      <c r="O77" s="2536"/>
      <c r="P77" s="2466"/>
      <c r="Q77" s="2466"/>
      <c r="R77" s="2466"/>
      <c r="S77" s="2466"/>
      <c r="T77" s="2466"/>
      <c r="U77" s="2466"/>
      <c r="V77" s="2466"/>
      <c r="W77" s="2466"/>
      <c r="X77" s="2466"/>
      <c r="Y77" s="2466"/>
      <c r="Z77" s="2466"/>
      <c r="AA77" s="2466"/>
    </row>
    <row r="78" spans="1:27" ht="24.95" customHeight="1">
      <c r="A78" s="2442"/>
      <c r="B78" s="2492"/>
      <c r="C78" s="2477" t="str">
        <f ca="1">_xlfn.FORMULATEXT(C77)</f>
        <v>=CELLULE("nomfichier")</v>
      </c>
      <c r="D78" s="2477"/>
      <c r="E78" s="2477"/>
      <c r="F78" s="2477"/>
      <c r="G78" s="2477"/>
      <c r="H78" s="2477"/>
      <c r="I78" s="2477"/>
      <c r="J78" s="2477"/>
      <c r="K78" s="2477"/>
      <c r="L78" s="2477"/>
      <c r="M78" s="2490"/>
      <c r="N78" s="2466"/>
      <c r="O78" s="2477"/>
      <c r="P78" s="2466"/>
      <c r="Q78" s="2466"/>
      <c r="R78" s="2466"/>
      <c r="S78" s="2466"/>
      <c r="T78" s="2466"/>
      <c r="U78" s="2466"/>
      <c r="V78" s="2466"/>
      <c r="W78" s="2466"/>
      <c r="X78" s="2466"/>
      <c r="Y78" s="2466"/>
      <c r="Z78" s="2466"/>
      <c r="AA78" s="2466"/>
    </row>
    <row r="79" spans="1:27" ht="24.95" customHeight="1" thickBot="1">
      <c r="A79" s="2442"/>
      <c r="B79" s="2489"/>
      <c r="C79" s="2566" t="s">
        <v>5999</v>
      </c>
      <c r="D79" s="2501"/>
      <c r="E79" s="2501"/>
      <c r="F79" s="2501"/>
      <c r="G79" s="2501"/>
      <c r="H79" s="2501"/>
      <c r="I79" s="2501"/>
      <c r="J79" s="2500"/>
      <c r="K79" s="2488"/>
      <c r="L79" s="2488"/>
      <c r="M79" s="2487"/>
      <c r="N79" s="2466"/>
      <c r="O79" s="2466"/>
      <c r="P79" s="2466"/>
      <c r="Q79" s="2466"/>
      <c r="R79" s="2466"/>
      <c r="S79" s="2466"/>
      <c r="T79" s="2466"/>
      <c r="U79" s="2466"/>
      <c r="V79" s="2466"/>
      <c r="W79" s="2466"/>
      <c r="X79" s="2466"/>
      <c r="Y79" s="2466"/>
      <c r="Z79" s="2466"/>
      <c r="AA79" s="2466"/>
    </row>
    <row r="80" spans="1:27" ht="24.95" customHeight="1" thickBot="1">
      <c r="A80" s="2442"/>
      <c r="B80" s="2455"/>
      <c r="C80" s="2466"/>
      <c r="D80" s="2468"/>
      <c r="E80" s="2468"/>
      <c r="F80" s="2467"/>
      <c r="G80" s="2467"/>
      <c r="H80" s="2467"/>
      <c r="I80" s="2467"/>
      <c r="J80" s="1004"/>
      <c r="K80" s="2466"/>
      <c r="L80" s="2466"/>
      <c r="M80" s="2466"/>
      <c r="N80" s="2466"/>
      <c r="O80" s="2466"/>
      <c r="P80" s="2466"/>
      <c r="Q80" s="2466"/>
      <c r="R80" s="2466"/>
      <c r="S80" s="2466"/>
      <c r="T80" s="2466"/>
      <c r="U80" s="2466"/>
      <c r="V80" s="2466"/>
      <c r="W80" s="2466"/>
      <c r="X80" s="2466"/>
      <c r="Y80" s="2466"/>
      <c r="Z80" s="2466"/>
      <c r="AA80" s="2466"/>
    </row>
    <row r="81" spans="1:27" ht="24.95" customHeight="1">
      <c r="A81" s="2442"/>
      <c r="B81" s="2486"/>
      <c r="C81" s="2485"/>
      <c r="D81" s="2498"/>
      <c r="E81" s="2498"/>
      <c r="F81" s="2498"/>
      <c r="G81" s="2498"/>
      <c r="H81" s="2498"/>
      <c r="I81" s="2498"/>
      <c r="J81" s="2507"/>
      <c r="K81" s="2506"/>
      <c r="L81" s="2466"/>
      <c r="M81" s="2466"/>
      <c r="N81" s="2466"/>
      <c r="O81" s="2466"/>
      <c r="P81" s="2466"/>
      <c r="Q81" s="2466"/>
      <c r="R81" s="2466"/>
      <c r="S81" s="2466"/>
      <c r="T81" s="2466"/>
      <c r="U81" s="2466"/>
      <c r="V81" s="2466"/>
      <c r="W81" s="2466"/>
      <c r="X81" s="2466"/>
      <c r="Y81" s="2466"/>
      <c r="Z81" s="2466"/>
      <c r="AA81" s="2466"/>
    </row>
    <row r="82" spans="1:27" ht="24.95" customHeight="1">
      <c r="A82" s="2442"/>
      <c r="B82" s="2478" t="s">
        <v>5980</v>
      </c>
      <c r="C82" s="2481" t="s">
        <v>5998</v>
      </c>
      <c r="D82" s="2494"/>
      <c r="E82" s="2494"/>
      <c r="F82" s="2494"/>
      <c r="G82" s="2494"/>
      <c r="H82" s="2494"/>
      <c r="I82" s="2494"/>
      <c r="J82" s="2499"/>
      <c r="K82" s="2490"/>
      <c r="L82" s="2466"/>
      <c r="M82" s="2466"/>
      <c r="N82" s="2466"/>
      <c r="O82" s="2466"/>
      <c r="P82" s="2466"/>
      <c r="Q82" s="2466"/>
      <c r="R82" s="2466"/>
      <c r="S82" s="2466"/>
      <c r="T82" s="2466"/>
      <c r="U82" s="2466"/>
      <c r="V82" s="2466"/>
      <c r="W82" s="2466"/>
      <c r="X82" s="2466"/>
      <c r="Y82" s="2466"/>
      <c r="Z82" s="2466"/>
      <c r="AA82" s="2466"/>
    </row>
    <row r="83" spans="1:27" ht="24.95" customHeight="1">
      <c r="A83" s="2442"/>
      <c r="B83" s="2478">
        <f>ROW()</f>
        <v>83</v>
      </c>
      <c r="C83" s="2568" t="s">
        <v>5997</v>
      </c>
      <c r="D83" s="2567"/>
      <c r="E83" s="2567"/>
      <c r="F83" s="2567"/>
      <c r="G83" s="2567"/>
      <c r="H83" s="2567"/>
      <c r="I83" s="2567"/>
      <c r="J83" s="2567"/>
      <c r="K83" s="2490"/>
      <c r="L83" s="2466"/>
      <c r="M83" s="2466"/>
      <c r="N83" s="2466"/>
      <c r="O83" s="2466"/>
      <c r="P83" s="2466"/>
      <c r="Q83" s="2466"/>
      <c r="R83" s="2466"/>
      <c r="S83" s="2466"/>
      <c r="T83" s="2466"/>
      <c r="U83" s="2466"/>
      <c r="V83" s="2466"/>
      <c r="W83" s="2466"/>
      <c r="X83" s="2466"/>
      <c r="Y83" s="2466"/>
      <c r="Z83" s="2466"/>
      <c r="AA83" s="2466"/>
    </row>
    <row r="84" spans="1:27" ht="24.95" customHeight="1" thickBot="1">
      <c r="A84" s="2442"/>
      <c r="B84" s="2489"/>
      <c r="C84" s="2566" t="s">
        <v>5996</v>
      </c>
      <c r="D84" s="2501"/>
      <c r="E84" s="2501"/>
      <c r="F84" s="2501"/>
      <c r="G84" s="2501"/>
      <c r="H84" s="2501"/>
      <c r="I84" s="2501"/>
      <c r="J84" s="2500"/>
      <c r="K84" s="2487"/>
      <c r="L84" s="2466"/>
      <c r="M84" s="2466"/>
      <c r="N84" s="2466"/>
      <c r="O84" s="2466"/>
      <c r="P84" s="2466"/>
      <c r="Q84" s="2466"/>
      <c r="R84" s="2466"/>
      <c r="S84" s="2466"/>
      <c r="T84" s="2466"/>
      <c r="U84" s="2466"/>
      <c r="V84" s="2466"/>
      <c r="W84" s="2466"/>
      <c r="X84" s="2466"/>
      <c r="Y84" s="2466"/>
      <c r="Z84" s="2466"/>
      <c r="AA84" s="2466"/>
    </row>
    <row r="85" spans="1:27" ht="24.95" customHeight="1" thickBot="1">
      <c r="A85" s="2442"/>
      <c r="B85" s="2455"/>
      <c r="C85" s="2466"/>
      <c r="D85" s="2468"/>
      <c r="E85" s="2468"/>
      <c r="F85" s="2467"/>
      <c r="G85" s="2467"/>
      <c r="H85" s="2467"/>
      <c r="I85" s="2467"/>
      <c r="J85" s="1004"/>
      <c r="K85" s="2466"/>
      <c r="L85" s="2466"/>
      <c r="M85" s="2466"/>
      <c r="N85" s="2466"/>
      <c r="O85" s="2466"/>
      <c r="P85" s="2466"/>
      <c r="Q85" s="2466"/>
      <c r="R85" s="2466"/>
      <c r="S85" s="2466"/>
      <c r="T85" s="2466"/>
      <c r="U85" s="2466"/>
      <c r="V85" s="2466"/>
      <c r="W85" s="2466"/>
      <c r="X85" s="2466"/>
      <c r="Y85" s="2466"/>
      <c r="Z85" s="2466"/>
      <c r="AA85" s="2466"/>
    </row>
    <row r="86" spans="1:27" ht="24.95" customHeight="1">
      <c r="A86" s="2442"/>
      <c r="B86" s="2486"/>
      <c r="C86" s="2485"/>
      <c r="D86" s="2498"/>
      <c r="E86" s="2498"/>
      <c r="F86" s="2498"/>
      <c r="G86" s="2498"/>
      <c r="H86" s="2498"/>
      <c r="I86" s="2498"/>
      <c r="J86" s="2507"/>
      <c r="K86" s="2485"/>
      <c r="L86" s="2485"/>
      <c r="M86" s="2485"/>
      <c r="N86" s="2485"/>
      <c r="O86" s="2485"/>
      <c r="P86" s="2506"/>
      <c r="Q86" s="2466"/>
      <c r="R86" s="2466"/>
      <c r="S86" s="2466"/>
      <c r="T86" s="2466"/>
      <c r="U86" s="2466"/>
      <c r="V86" s="2466"/>
      <c r="W86" s="2466"/>
      <c r="X86" s="2466"/>
      <c r="Y86" s="2466"/>
      <c r="Z86" s="2466"/>
      <c r="AA86" s="2466"/>
    </row>
    <row r="87" spans="1:27" ht="24.95" customHeight="1">
      <c r="A87" s="2442"/>
      <c r="B87" s="2478" t="s">
        <v>5980</v>
      </c>
      <c r="C87" s="2481" t="s">
        <v>5995</v>
      </c>
      <c r="D87" s="2565"/>
      <c r="E87" s="2480"/>
      <c r="F87" s="2480"/>
      <c r="G87" s="2480"/>
      <c r="H87" s="2480"/>
      <c r="I87" s="2480"/>
      <c r="J87" s="2480"/>
      <c r="K87" s="2480"/>
      <c r="L87" s="2480"/>
      <c r="M87" s="2480"/>
      <c r="N87" s="2480"/>
      <c r="O87" s="2480"/>
      <c r="P87" s="2490"/>
      <c r="Q87" s="2447"/>
      <c r="R87" s="2466"/>
      <c r="S87" s="2466"/>
      <c r="T87" s="2466"/>
      <c r="U87" s="2466"/>
      <c r="V87" s="2466"/>
      <c r="W87" s="2466"/>
      <c r="X87" s="2466"/>
      <c r="Y87" s="2466"/>
      <c r="Z87" s="2466"/>
      <c r="AA87" s="2466"/>
    </row>
    <row r="88" spans="1:27" ht="24.95" customHeight="1">
      <c r="A88" s="2442"/>
      <c r="B88" s="2478"/>
      <c r="C88" s="2552" t="str">
        <f ca="1">SUBSTITUTE(SUBSTITUTE(RIGHT(CELL("filename",A1),LEN(CELL("filename",A1))-SEARCH("[",CELL("filename",A1))+1),"[",""),"]"," ")</f>
        <v>ff-2-A-collectivite.poids.portion.xlsx Formats-Formules-Fonctions</v>
      </c>
      <c r="D88" s="2551"/>
      <c r="E88" s="2551"/>
      <c r="F88" s="2551"/>
      <c r="G88" s="2551"/>
      <c r="H88" s="2551"/>
      <c r="I88" s="2551"/>
      <c r="J88" s="2550"/>
      <c r="K88" s="2550"/>
      <c r="L88" s="2536"/>
      <c r="M88" s="2536"/>
      <c r="N88" s="2536"/>
      <c r="O88" s="2536"/>
      <c r="P88" s="2549"/>
      <c r="Q88" s="2447"/>
      <c r="R88" s="2466"/>
      <c r="S88" s="2466"/>
      <c r="T88" s="2466"/>
      <c r="U88" s="2466"/>
      <c r="V88" s="2466"/>
      <c r="W88" s="2466"/>
      <c r="X88" s="2466"/>
      <c r="Y88" s="2466"/>
      <c r="Z88" s="2466"/>
      <c r="AA88" s="2466"/>
    </row>
    <row r="89" spans="1:27" ht="24.95" customHeight="1">
      <c r="A89" s="2442"/>
      <c r="B89" s="2478">
        <f>ROW()</f>
        <v>89</v>
      </c>
      <c r="C89" s="2477" t="str">
        <f ca="1">_xlfn.FORMULATEXT(C88)</f>
        <v>=SUBSTITUE(SUBSTITUE(DROITE(CELLULE("filename";A1);NBCAR(CELLULE("filename";A1))-CHERCHE("[";CELLULE("filename";A1))+1);"[";"");"]";" ")</v>
      </c>
      <c r="D89" s="2477"/>
      <c r="E89" s="2477"/>
      <c r="F89" s="2477"/>
      <c r="G89" s="2477"/>
      <c r="H89" s="2477"/>
      <c r="I89" s="2477"/>
      <c r="J89" s="2477"/>
      <c r="K89" s="2477"/>
      <c r="L89" s="2477"/>
      <c r="M89" s="2477"/>
      <c r="N89" s="2477"/>
      <c r="O89" s="2477"/>
      <c r="P89" s="2548"/>
      <c r="Q89" s="2447"/>
      <c r="R89" s="2466"/>
      <c r="S89" s="2466"/>
      <c r="T89" s="2466"/>
      <c r="U89" s="2466"/>
      <c r="V89" s="2466"/>
      <c r="W89" s="2466"/>
      <c r="X89" s="2466"/>
      <c r="Y89" s="2466"/>
      <c r="Z89" s="2466"/>
      <c r="AA89" s="2466"/>
    </row>
    <row r="90" spans="1:27" ht="24.95" customHeight="1" thickBot="1">
      <c r="A90" s="2442"/>
      <c r="B90" s="2489"/>
      <c r="C90" s="2535" t="s">
        <v>5993</v>
      </c>
      <c r="D90" s="2560"/>
      <c r="E90" s="2501"/>
      <c r="F90" s="2501"/>
      <c r="G90" s="2501"/>
      <c r="H90" s="2501"/>
      <c r="I90" s="2501"/>
      <c r="J90" s="2488"/>
      <c r="K90" s="2488"/>
      <c r="L90" s="2488"/>
      <c r="M90" s="2488"/>
      <c r="N90" s="2488"/>
      <c r="O90" s="2488"/>
      <c r="P90" s="2487"/>
      <c r="Q90" s="2447"/>
      <c r="R90" s="2466"/>
      <c r="S90" s="2466"/>
      <c r="T90" s="2466"/>
      <c r="U90" s="2466"/>
      <c r="V90" s="2466"/>
      <c r="W90" s="2466"/>
      <c r="X90" s="2466"/>
      <c r="Y90" s="2466"/>
      <c r="Z90" s="2466"/>
      <c r="AA90" s="2466"/>
    </row>
    <row r="91" spans="1:27" ht="24.95" customHeight="1" thickBot="1">
      <c r="A91" s="2442"/>
      <c r="B91" s="2455"/>
      <c r="C91" s="2466"/>
      <c r="D91" s="2468"/>
      <c r="E91" s="2468"/>
      <c r="F91" s="2467"/>
      <c r="G91" s="2467"/>
      <c r="H91" s="2467"/>
      <c r="I91" s="2467"/>
      <c r="J91" s="1004"/>
      <c r="K91" s="2466"/>
      <c r="L91" s="2466"/>
      <c r="M91" s="2466"/>
      <c r="N91" s="2466"/>
      <c r="O91" s="2466"/>
      <c r="P91" s="2466"/>
      <c r="Q91" s="2466"/>
      <c r="R91" s="2466"/>
      <c r="S91" s="2466"/>
      <c r="T91" s="2466"/>
      <c r="U91" s="2466"/>
      <c r="V91" s="2466"/>
      <c r="W91" s="2466"/>
      <c r="X91" s="2466"/>
      <c r="Y91" s="2466"/>
      <c r="Z91" s="2466"/>
      <c r="AA91" s="2466"/>
    </row>
    <row r="92" spans="1:27" ht="24.95" customHeight="1">
      <c r="A92" s="2442"/>
      <c r="B92" s="2564"/>
      <c r="C92" s="2484"/>
      <c r="D92" s="2563"/>
      <c r="E92" s="2563"/>
      <c r="F92" s="2562"/>
      <c r="G92" s="2562"/>
      <c r="H92" s="2562"/>
      <c r="I92" s="2562"/>
      <c r="J92" s="2534"/>
      <c r="K92" s="2484"/>
      <c r="L92" s="2484"/>
      <c r="M92" s="2483"/>
      <c r="N92" s="2466"/>
      <c r="O92" s="2466"/>
      <c r="P92" s="2466"/>
      <c r="Q92" s="2466"/>
      <c r="R92" s="2466"/>
      <c r="S92" s="2466"/>
      <c r="T92" s="2466"/>
      <c r="U92" s="2466"/>
      <c r="V92" s="2466"/>
      <c r="W92" s="2466"/>
      <c r="X92" s="2466"/>
      <c r="Y92" s="2466"/>
      <c r="Z92" s="2466"/>
      <c r="AA92" s="2466"/>
    </row>
    <row r="93" spans="1:27" ht="24.95" customHeight="1">
      <c r="A93" s="2442"/>
      <c r="B93" s="2478" t="s">
        <v>5980</v>
      </c>
      <c r="C93" s="2481" t="s">
        <v>5994</v>
      </c>
      <c r="D93" s="2561"/>
      <c r="E93" s="2466"/>
      <c r="F93" s="2466"/>
      <c r="G93" s="2466"/>
      <c r="H93" s="2466"/>
      <c r="I93" s="2466"/>
      <c r="J93" s="2466"/>
      <c r="K93" s="2466"/>
      <c r="L93" s="2466"/>
      <c r="M93" s="2490"/>
      <c r="N93" s="2466"/>
      <c r="O93" s="2466"/>
      <c r="P93" s="2466"/>
      <c r="Q93" s="2466"/>
      <c r="R93" s="2466"/>
      <c r="S93" s="2466"/>
      <c r="T93" s="2466"/>
      <c r="U93" s="2466"/>
      <c r="V93" s="2466"/>
      <c r="W93" s="2466"/>
      <c r="X93" s="2466"/>
      <c r="Y93" s="2466"/>
      <c r="Z93" s="2466"/>
      <c r="AA93" s="2466"/>
    </row>
    <row r="94" spans="1:27" ht="24.95" customHeight="1">
      <c r="A94" s="2442"/>
      <c r="B94" s="2478"/>
      <c r="C94" s="2552" t="str">
        <f ca="1">SUBSTITUTE(SUBSTITUTE(LEFT(CELL("filename",A1),SEARCH("]",CELL("filename",A1))),"[",""),"]","")</f>
        <v>E:\0-UPRT\1-UPRT.FR-SITE-WEB\ff-fiches-fabrications\ff-fiches-fabrication-maj-08-2020\ff-2-A-collectivite.poids.portion.xlsx</v>
      </c>
      <c r="D94" s="2551"/>
      <c r="E94" s="2551"/>
      <c r="F94" s="2551"/>
      <c r="G94" s="2551"/>
      <c r="H94" s="2551"/>
      <c r="I94" s="2551"/>
      <c r="J94" s="2551"/>
      <c r="K94" s="2551"/>
      <c r="L94" s="2551"/>
      <c r="M94" s="2490"/>
      <c r="N94" s="2466"/>
      <c r="O94" s="2536"/>
      <c r="P94" s="2466"/>
      <c r="Q94" s="2466"/>
      <c r="R94" s="2466"/>
      <c r="S94" s="2466"/>
      <c r="T94" s="2466"/>
      <c r="U94" s="2466"/>
      <c r="V94" s="2466"/>
      <c r="W94" s="2466"/>
      <c r="X94" s="2466"/>
      <c r="Y94" s="2466"/>
      <c r="Z94" s="2466"/>
      <c r="AA94" s="2466"/>
    </row>
    <row r="95" spans="1:27" ht="24.95" customHeight="1">
      <c r="A95" s="2442"/>
      <c r="B95" s="2478">
        <f>ROW()</f>
        <v>95</v>
      </c>
      <c r="C95" s="2477" t="str">
        <f ca="1">_xlfn.FORMULATEXT(C94)</f>
        <v>=SUBSTITUE(SUBSTITUE(GAUCHE(CELLULE("filename";A1);CHERCHE("]";CELLULE("filename";A1)));"[";"");"]";"")</v>
      </c>
      <c r="D95" s="2477"/>
      <c r="E95" s="2477"/>
      <c r="F95" s="2477"/>
      <c r="G95" s="2477"/>
      <c r="H95" s="2477"/>
      <c r="I95" s="2477"/>
      <c r="J95" s="2477"/>
      <c r="K95" s="2477"/>
      <c r="L95" s="2477"/>
      <c r="M95" s="2490"/>
      <c r="N95" s="2466"/>
      <c r="O95" s="2477"/>
      <c r="P95" s="2466"/>
      <c r="Q95" s="2466"/>
      <c r="R95" s="2466"/>
      <c r="S95" s="2466"/>
      <c r="T95" s="2466"/>
      <c r="U95" s="2466"/>
      <c r="V95" s="2466"/>
      <c r="W95" s="2466"/>
      <c r="X95" s="2466"/>
      <c r="Y95" s="2466"/>
      <c r="Z95" s="2466"/>
      <c r="AA95" s="2466"/>
    </row>
    <row r="96" spans="1:27" ht="24.95" customHeight="1" thickBot="1">
      <c r="A96" s="2442"/>
      <c r="B96" s="2475"/>
      <c r="C96" s="2535" t="s">
        <v>5993</v>
      </c>
      <c r="D96" s="2560"/>
      <c r="E96" s="2501"/>
      <c r="F96" s="2501"/>
      <c r="G96" s="2501"/>
      <c r="H96" s="2501"/>
      <c r="I96" s="2501"/>
      <c r="J96" s="2471"/>
      <c r="K96" s="2470"/>
      <c r="L96" s="2470"/>
      <c r="M96" s="2469"/>
      <c r="N96" s="2466"/>
      <c r="O96" s="2466"/>
      <c r="P96" s="2466"/>
      <c r="Q96" s="2466"/>
      <c r="R96" s="2466"/>
      <c r="S96" s="2466"/>
      <c r="T96" s="2466"/>
      <c r="U96" s="2466"/>
      <c r="V96" s="2466"/>
      <c r="W96" s="2466"/>
      <c r="X96" s="2466"/>
      <c r="Y96" s="2466"/>
      <c r="Z96" s="2466"/>
      <c r="AA96" s="2466"/>
    </row>
    <row r="97" spans="1:27" ht="24.95" customHeight="1" thickBot="1">
      <c r="A97" s="2442"/>
      <c r="B97" s="2455"/>
      <c r="C97" s="2466"/>
      <c r="D97" s="2468"/>
      <c r="E97" s="2468"/>
      <c r="F97" s="2467"/>
      <c r="G97" s="2467"/>
      <c r="H97" s="2467"/>
      <c r="I97" s="2467"/>
      <c r="J97" s="1004"/>
      <c r="K97" s="2466"/>
      <c r="L97" s="2466"/>
      <c r="M97" s="2466"/>
      <c r="N97" s="2466"/>
      <c r="O97" s="2466"/>
      <c r="P97" s="2466"/>
      <c r="Q97" s="2466"/>
      <c r="R97" s="2466"/>
      <c r="S97" s="2466"/>
      <c r="T97" s="2466"/>
      <c r="U97" s="2466"/>
      <c r="V97" s="2466"/>
      <c r="W97" s="2466"/>
      <c r="X97" s="2466"/>
      <c r="Y97" s="2466"/>
      <c r="Z97" s="2466"/>
      <c r="AA97" s="2466"/>
    </row>
    <row r="98" spans="1:27" ht="24.95" customHeight="1">
      <c r="A98" s="2442"/>
      <c r="B98" s="2559"/>
      <c r="C98" s="2556"/>
      <c r="D98" s="2525"/>
      <c r="E98" s="2525"/>
      <c r="F98" s="2558"/>
      <c r="G98" s="2558"/>
      <c r="H98" s="2558"/>
      <c r="I98" s="2558"/>
      <c r="J98" s="2557"/>
      <c r="K98" s="2556"/>
      <c r="L98" s="2556"/>
      <c r="M98" s="2556"/>
      <c r="N98" s="2556"/>
      <c r="O98" s="2556"/>
      <c r="P98" s="2555"/>
      <c r="Q98" s="2466"/>
      <c r="R98" s="2466"/>
      <c r="S98" s="2466"/>
      <c r="T98" s="2466"/>
      <c r="U98" s="2466"/>
      <c r="V98" s="2466"/>
      <c r="W98" s="2466"/>
      <c r="X98" s="2466"/>
      <c r="Y98" s="2466"/>
      <c r="Z98" s="2466"/>
      <c r="AA98" s="2466"/>
    </row>
    <row r="99" spans="1:27" ht="24.95" customHeight="1">
      <c r="A99" s="2442"/>
      <c r="B99" s="2478" t="s">
        <v>5980</v>
      </c>
      <c r="C99" s="2481" t="s">
        <v>5992</v>
      </c>
      <c r="D99" s="2494"/>
      <c r="E99" s="2494"/>
      <c r="F99" s="2554"/>
      <c r="G99" s="2554"/>
      <c r="H99" s="2554"/>
      <c r="I99" s="2554"/>
      <c r="J99" s="2553"/>
      <c r="K99" s="2536"/>
      <c r="L99" s="2536"/>
      <c r="M99" s="2536"/>
      <c r="N99" s="2536"/>
      <c r="O99" s="2536"/>
      <c r="P99" s="2549"/>
      <c r="Q99" s="2466"/>
      <c r="R99" s="2466"/>
      <c r="S99" s="2466"/>
      <c r="T99" s="2466"/>
      <c r="U99" s="2466"/>
      <c r="V99" s="2466"/>
      <c r="W99" s="2466"/>
      <c r="X99" s="2466"/>
      <c r="Y99" s="2466"/>
      <c r="Z99" s="2466"/>
      <c r="AA99" s="2466"/>
    </row>
    <row r="100" spans="1:27" ht="24.95" customHeight="1">
      <c r="A100" s="2442"/>
      <c r="B100" s="2478"/>
      <c r="C100" s="2552" t="str">
        <f ca="1">IF(CELL("nomfichier",C55)="\\rcg006bur\usei_cartographie\[ff-29-formats-formules-pourcentages.xlsx]sites","","ff-29-formats-formules-pourcentages COPIE")</f>
        <v>ff-29-formats-formules-pourcentages COPIE</v>
      </c>
      <c r="D100" s="2551"/>
      <c r="E100" s="2551"/>
      <c r="F100" s="2551"/>
      <c r="G100" s="2537"/>
      <c r="H100" s="2537"/>
      <c r="I100" s="2537"/>
      <c r="J100" s="2550"/>
      <c r="K100" s="2550"/>
      <c r="L100" s="2536"/>
      <c r="M100" s="2536"/>
      <c r="N100" s="2536"/>
      <c r="O100" s="2536"/>
      <c r="P100" s="2549"/>
      <c r="Q100" s="2466"/>
      <c r="R100" s="2466"/>
      <c r="S100" s="2466"/>
      <c r="T100" s="2466"/>
      <c r="U100" s="2466"/>
      <c r="V100" s="2466"/>
      <c r="W100" s="2466"/>
      <c r="X100" s="2466"/>
      <c r="Y100" s="2466"/>
      <c r="Z100" s="2466"/>
      <c r="AA100" s="2466"/>
    </row>
    <row r="101" spans="1:27" ht="24.95" customHeight="1">
      <c r="A101" s="2442"/>
      <c r="B101" s="2478">
        <f>ROW()</f>
        <v>101</v>
      </c>
      <c r="C101" s="2477" t="str">
        <f ca="1">_xlfn.FORMULATEXT(C100)</f>
        <v>=SI(CELLULE("nomfichier";C55)="\\rcg006bur\usei_cartographie\[ff-29-formats-formules-pourcentages.xlsx]sites";"";"ff-29-formats-formules-pourcentages COPIE")</v>
      </c>
      <c r="D101" s="2477"/>
      <c r="E101" s="2477"/>
      <c r="F101" s="2477"/>
      <c r="G101" s="2477"/>
      <c r="H101" s="2477"/>
      <c r="I101" s="2477"/>
      <c r="J101" s="2477"/>
      <c r="K101" s="2477"/>
      <c r="L101" s="2477"/>
      <c r="M101" s="2477"/>
      <c r="N101" s="2477"/>
      <c r="O101" s="2477"/>
      <c r="P101" s="2548"/>
      <c r="Q101" s="2466"/>
      <c r="R101" s="2466"/>
      <c r="S101" s="2466"/>
      <c r="T101" s="2466"/>
      <c r="U101" s="2466"/>
      <c r="V101" s="2466"/>
      <c r="W101" s="2466"/>
      <c r="X101" s="2466"/>
      <c r="Y101" s="2466"/>
      <c r="Z101" s="2466"/>
      <c r="AA101" s="2466"/>
    </row>
    <row r="102" spans="1:27" ht="24.95" customHeight="1" thickBot="1">
      <c r="A102" s="2442"/>
      <c r="B102" s="2547"/>
      <c r="C102" s="2546" t="s">
        <v>5991</v>
      </c>
      <c r="D102" s="2545"/>
      <c r="E102" s="2545"/>
      <c r="F102" s="2544"/>
      <c r="G102" s="2544"/>
      <c r="H102" s="2544"/>
      <c r="I102" s="2544"/>
      <c r="J102" s="2543"/>
      <c r="K102" s="2543"/>
      <c r="L102" s="2543"/>
      <c r="M102" s="2543"/>
      <c r="N102" s="2543"/>
      <c r="O102" s="2543"/>
      <c r="P102" s="2542"/>
      <c r="Q102" s="2466"/>
      <c r="R102" s="2466"/>
      <c r="S102" s="2466"/>
      <c r="T102" s="2466"/>
      <c r="U102" s="2466"/>
      <c r="V102" s="2466"/>
      <c r="W102" s="2466"/>
      <c r="X102" s="2466"/>
      <c r="Y102" s="2466"/>
      <c r="Z102" s="2466"/>
      <c r="AA102" s="2466"/>
    </row>
    <row r="103" spans="1:27" ht="24.95" customHeight="1" thickBot="1">
      <c r="A103" s="2442"/>
      <c r="B103" s="2455"/>
      <c r="C103" s="2466"/>
      <c r="D103" s="2468"/>
      <c r="E103" s="2468"/>
      <c r="F103" s="2467"/>
      <c r="G103" s="2467"/>
      <c r="H103" s="2467"/>
      <c r="I103" s="2467"/>
      <c r="J103" s="1004"/>
      <c r="K103" s="2466"/>
      <c r="L103" s="2466"/>
      <c r="M103" s="2466"/>
      <c r="N103" s="2466"/>
      <c r="O103" s="2466"/>
      <c r="P103" s="2466"/>
      <c r="Q103" s="2466"/>
      <c r="R103" s="2466"/>
      <c r="S103" s="2466"/>
      <c r="T103" s="2466"/>
      <c r="U103" s="2466"/>
      <c r="V103" s="2466"/>
      <c r="W103" s="2466"/>
      <c r="X103" s="2466"/>
      <c r="Y103" s="2466"/>
      <c r="Z103" s="2466"/>
      <c r="AA103" s="2466"/>
    </row>
    <row r="104" spans="1:27" ht="24.95" customHeight="1">
      <c r="A104" s="2442"/>
      <c r="B104" s="2486"/>
      <c r="C104" s="2485"/>
      <c r="D104" s="2498"/>
      <c r="E104" s="2498"/>
      <c r="F104" s="2498"/>
      <c r="G104" s="2498"/>
      <c r="H104" s="2498"/>
      <c r="I104" s="2498"/>
      <c r="J104" s="2507"/>
      <c r="K104" s="2485"/>
      <c r="L104" s="2506"/>
      <c r="M104" s="2466"/>
      <c r="N104" s="2466"/>
      <c r="O104" s="2466"/>
      <c r="P104" s="2466"/>
      <c r="Q104" s="2466"/>
      <c r="R104" s="2466"/>
      <c r="S104" s="2466"/>
      <c r="T104" s="2466"/>
      <c r="U104" s="2466"/>
      <c r="V104" s="2466"/>
      <c r="W104" s="2466"/>
      <c r="X104" s="2466"/>
      <c r="Y104" s="2466"/>
      <c r="Z104" s="2466"/>
      <c r="AA104" s="2466"/>
    </row>
    <row r="105" spans="1:27" ht="24.95" customHeight="1">
      <c r="A105" s="2442"/>
      <c r="B105" s="2492"/>
      <c r="C105" s="2481" t="s">
        <v>5990</v>
      </c>
      <c r="D105" s="2518"/>
      <c r="E105" s="2517"/>
      <c r="F105" s="2494"/>
      <c r="G105" s="2494"/>
      <c r="H105" s="2494"/>
      <c r="I105" s="2494"/>
      <c r="J105" s="2499"/>
      <c r="K105" s="2480"/>
      <c r="L105" s="2490"/>
      <c r="M105" s="2466"/>
      <c r="N105" s="2466"/>
      <c r="O105" s="2466"/>
      <c r="P105" s="2466"/>
      <c r="Q105" s="2466"/>
      <c r="R105" s="2466"/>
      <c r="S105" s="2466"/>
      <c r="T105" s="2466"/>
      <c r="U105" s="2466"/>
      <c r="V105" s="2466"/>
      <c r="W105" s="2466"/>
      <c r="X105" s="2466"/>
      <c r="Y105" s="2466"/>
      <c r="Z105" s="2466"/>
      <c r="AA105" s="2466"/>
    </row>
    <row r="106" spans="1:27" ht="24.95" customHeight="1" thickBot="1">
      <c r="A106" s="2442"/>
      <c r="B106" s="2478" t="s">
        <v>5980</v>
      </c>
      <c r="C106" s="2532" t="s">
        <v>5989</v>
      </c>
      <c r="D106" s="2518"/>
      <c r="E106" s="2517"/>
      <c r="F106" s="2494"/>
      <c r="G106" s="2494"/>
      <c r="H106" s="2494"/>
      <c r="I106" s="2494"/>
      <c r="J106" s="2499"/>
      <c r="K106" s="2480"/>
      <c r="L106" s="2490"/>
      <c r="M106" s="2466"/>
      <c r="N106" s="2466"/>
      <c r="O106" s="2466"/>
      <c r="P106" s="2466"/>
      <c r="Q106" s="2466"/>
      <c r="R106" s="2466"/>
      <c r="S106" s="2466"/>
      <c r="T106" s="2466"/>
      <c r="U106" s="2466"/>
      <c r="V106" s="2466"/>
      <c r="W106" s="2466"/>
      <c r="X106" s="2466"/>
      <c r="Y106" s="2466"/>
      <c r="Z106" s="2466"/>
      <c r="AA106" s="2466"/>
    </row>
    <row r="107" spans="1:27" ht="24.95" customHeight="1" thickBot="1">
      <c r="A107" s="2442"/>
      <c r="B107" s="2478">
        <f>ROW()</f>
        <v>107</v>
      </c>
      <c r="C107" s="2541" t="s">
        <v>5988</v>
      </c>
      <c r="D107" s="2540"/>
      <c r="E107" s="2539" t="str">
        <f>RIGHT(C107,LEN(C107)-SEARCH(" ",C107))&amp;" "&amp;LEFT(C107,SEARCH(" ",C107))</f>
        <v xml:space="preserve">paul  legendre </v>
      </c>
      <c r="F107" s="2538"/>
      <c r="G107" s="2537"/>
      <c r="H107" s="2537"/>
      <c r="I107" s="2537"/>
      <c r="J107" s="2537"/>
      <c r="K107" s="2537"/>
      <c r="L107" s="2490"/>
      <c r="M107" s="2466"/>
      <c r="N107" s="2536"/>
      <c r="O107" s="2536"/>
      <c r="P107" s="2536"/>
      <c r="Q107" s="2536"/>
      <c r="R107" s="2466"/>
      <c r="S107" s="2466"/>
      <c r="T107" s="2466"/>
      <c r="U107" s="2466"/>
      <c r="V107" s="2466"/>
      <c r="W107" s="2466"/>
      <c r="X107" s="2466"/>
      <c r="Y107" s="2466"/>
      <c r="Z107" s="2466"/>
      <c r="AA107" s="2466"/>
    </row>
    <row r="108" spans="1:27" ht="24.95" customHeight="1">
      <c r="A108" s="2442"/>
      <c r="B108" s="2492"/>
      <c r="C108" s="2480"/>
      <c r="D108" s="2494"/>
      <c r="E108" s="2477" t="str">
        <f ca="1">_xlfn.FORMULATEXT(E107)</f>
        <v>=DROITE(C107;NBCAR(C107)-CHERCHE(" ";C107))&amp;" "&amp;GAUCHE(C107;CHERCHE(" ";C107))</v>
      </c>
      <c r="F108" s="2477"/>
      <c r="G108" s="2477"/>
      <c r="H108" s="2477"/>
      <c r="I108" s="2477"/>
      <c r="J108" s="2477"/>
      <c r="K108" s="2477"/>
      <c r="L108" s="2490"/>
      <c r="M108" s="2466"/>
      <c r="N108" s="2477"/>
      <c r="O108" s="2477"/>
      <c r="P108" s="2477"/>
      <c r="Q108" s="2477"/>
      <c r="R108" s="2466"/>
      <c r="S108" s="2466"/>
      <c r="T108" s="2466"/>
      <c r="U108" s="2466"/>
      <c r="V108" s="2466"/>
      <c r="W108" s="2466"/>
      <c r="X108" s="2466"/>
      <c r="Y108" s="2466"/>
      <c r="Z108" s="2466"/>
      <c r="AA108" s="2466"/>
    </row>
    <row r="109" spans="1:27" ht="24.95" customHeight="1" thickBot="1">
      <c r="A109" s="2442"/>
      <c r="B109" s="2489"/>
      <c r="C109" s="2488"/>
      <c r="D109" s="2501"/>
      <c r="E109" s="2535" t="s">
        <v>5987</v>
      </c>
      <c r="F109" s="2501"/>
      <c r="G109" s="2501"/>
      <c r="H109" s="2501"/>
      <c r="I109" s="2501"/>
      <c r="J109" s="2500"/>
      <c r="K109" s="2488"/>
      <c r="L109" s="2487"/>
      <c r="M109" s="2466"/>
      <c r="N109" s="2466"/>
      <c r="O109" s="2466"/>
      <c r="P109" s="2466"/>
      <c r="Q109" s="2466"/>
      <c r="R109" s="2466"/>
      <c r="S109" s="2466"/>
      <c r="T109" s="2466"/>
      <c r="U109" s="2466"/>
      <c r="V109" s="2466"/>
      <c r="W109" s="2466"/>
      <c r="X109" s="2466"/>
      <c r="Y109" s="2466"/>
      <c r="Z109" s="2466"/>
      <c r="AA109" s="2466"/>
    </row>
    <row r="110" spans="1:27" ht="24.95" customHeight="1" thickBot="1">
      <c r="A110" s="2442"/>
      <c r="B110" s="2455"/>
      <c r="C110" s="2466"/>
      <c r="D110" s="2468"/>
      <c r="E110" s="2468"/>
      <c r="F110" s="2467"/>
      <c r="G110" s="2467"/>
      <c r="H110" s="2467"/>
      <c r="I110" s="2467"/>
      <c r="J110" s="1004"/>
      <c r="K110" s="2466"/>
      <c r="L110" s="2466"/>
      <c r="M110" s="2466"/>
      <c r="N110" s="2466"/>
      <c r="O110" s="2466"/>
      <c r="P110" s="2466"/>
      <c r="Q110" s="2466"/>
      <c r="R110" s="2466"/>
      <c r="S110" s="2466"/>
      <c r="T110" s="2466"/>
      <c r="U110" s="2466"/>
      <c r="V110" s="2466"/>
      <c r="W110" s="2466"/>
      <c r="X110" s="2466"/>
      <c r="Y110" s="2466"/>
      <c r="Z110" s="2466"/>
      <c r="AA110" s="2466"/>
    </row>
    <row r="111" spans="1:27" ht="24.95" customHeight="1">
      <c r="A111" s="2442"/>
      <c r="B111" s="2486"/>
      <c r="C111" s="2485"/>
      <c r="D111" s="2498"/>
      <c r="E111" s="2498"/>
      <c r="F111" s="2498"/>
      <c r="G111" s="2498"/>
      <c r="H111" s="2498"/>
      <c r="I111" s="2498"/>
      <c r="J111" s="2534"/>
      <c r="K111" s="2483"/>
      <c r="L111" s="2466"/>
      <c r="M111" s="2466"/>
      <c r="N111" s="2466"/>
      <c r="O111" s="2466"/>
      <c r="P111" s="2466"/>
      <c r="Q111" s="2466"/>
      <c r="R111" s="2466"/>
      <c r="S111" s="2466"/>
      <c r="T111" s="2466"/>
      <c r="U111" s="2466"/>
      <c r="V111" s="2466"/>
      <c r="W111" s="2466"/>
      <c r="X111" s="2466"/>
      <c r="Y111" s="2466"/>
      <c r="Z111" s="2466"/>
      <c r="AA111" s="2466"/>
    </row>
    <row r="112" spans="1:27" ht="24.95" customHeight="1">
      <c r="A112" s="2442"/>
      <c r="B112" s="2492"/>
      <c r="C112" s="2481" t="s">
        <v>5986</v>
      </c>
      <c r="D112" s="2494"/>
      <c r="E112" s="2494"/>
      <c r="F112" s="2494"/>
      <c r="G112" s="2494"/>
      <c r="H112" s="2494"/>
      <c r="I112" s="2494"/>
      <c r="J112" s="1004"/>
      <c r="K112" s="2476"/>
      <c r="L112" s="2466"/>
      <c r="M112" s="2466"/>
      <c r="N112" s="2466"/>
      <c r="O112" s="2466"/>
      <c r="P112" s="2466"/>
      <c r="Q112" s="2466"/>
      <c r="R112" s="2466"/>
      <c r="S112" s="2466"/>
      <c r="T112" s="2466"/>
      <c r="U112" s="2466"/>
      <c r="V112" s="2466"/>
      <c r="W112" s="2466"/>
      <c r="X112" s="2466"/>
      <c r="Y112" s="2466"/>
      <c r="Z112" s="2466"/>
      <c r="AA112" s="2466"/>
    </row>
    <row r="113" spans="1:27" ht="24.95" customHeight="1">
      <c r="A113" s="2442"/>
      <c r="B113" s="2478" t="s">
        <v>5980</v>
      </c>
      <c r="C113" s="2494"/>
      <c r="D113" s="2494"/>
      <c r="E113" s="2494"/>
      <c r="F113" s="2494"/>
      <c r="G113" s="2494"/>
      <c r="H113" s="2494"/>
      <c r="I113" s="2494"/>
      <c r="J113" s="1004"/>
      <c r="K113" s="2476"/>
      <c r="L113" s="2466"/>
      <c r="M113" s="2466"/>
      <c r="N113" s="2466"/>
      <c r="O113" s="2466"/>
      <c r="P113" s="2466"/>
      <c r="Q113" s="2466"/>
      <c r="R113" s="2466"/>
      <c r="S113" s="2466"/>
      <c r="T113" s="2466"/>
      <c r="U113" s="2466"/>
      <c r="V113" s="2466"/>
      <c r="W113" s="2466"/>
      <c r="X113" s="2466"/>
      <c r="Y113" s="2466"/>
      <c r="Z113" s="2466"/>
      <c r="AA113" s="2466"/>
    </row>
    <row r="114" spans="1:27" ht="24.95" customHeight="1">
      <c r="A114" s="2442"/>
      <c r="B114" s="2478">
        <f>ROW()</f>
        <v>114</v>
      </c>
      <c r="C114" s="2531">
        <v>5</v>
      </c>
      <c r="D114" s="2533">
        <f>RANK(C114,C114:C118,0)</f>
        <v>3</v>
      </c>
      <c r="E114" s="2477" t="str">
        <f ca="1">_xlfn.FORMULATEXT(D114)</f>
        <v>=RANG(C114;C114:C118;0)</v>
      </c>
      <c r="F114" s="2517"/>
      <c r="G114" s="2494"/>
      <c r="H114" s="2468"/>
      <c r="I114" s="2494"/>
      <c r="J114" s="1004"/>
      <c r="K114" s="2476"/>
      <c r="L114" s="2466"/>
      <c r="M114" s="2466"/>
      <c r="N114" s="2466"/>
      <c r="O114" s="2466"/>
      <c r="P114" s="2466"/>
      <c r="Q114" s="2466"/>
      <c r="R114" s="2466"/>
      <c r="S114" s="2466"/>
      <c r="T114" s="2466"/>
      <c r="U114" s="2466"/>
      <c r="V114" s="2466"/>
      <c r="W114" s="2466"/>
      <c r="X114" s="2466"/>
      <c r="Y114" s="2466"/>
      <c r="Z114" s="2466"/>
      <c r="AA114" s="2466"/>
    </row>
    <row r="115" spans="1:27" ht="24.95" customHeight="1">
      <c r="A115" s="2442"/>
      <c r="B115" s="2492"/>
      <c r="C115" s="2531">
        <v>8</v>
      </c>
      <c r="D115" s="2533">
        <f>RANK(C115,C114:C118,0)</f>
        <v>1</v>
      </c>
      <c r="E115" s="2502" t="s">
        <v>5985</v>
      </c>
      <c r="F115" s="2517"/>
      <c r="G115" s="2494"/>
      <c r="H115" s="2494"/>
      <c r="I115" s="2494"/>
      <c r="J115" s="1004"/>
      <c r="K115" s="2476"/>
      <c r="L115" s="2466"/>
      <c r="M115" s="2466"/>
      <c r="N115" s="2466"/>
      <c r="O115" s="2466"/>
      <c r="P115" s="2466"/>
      <c r="Q115" s="2466"/>
      <c r="R115" s="2466"/>
      <c r="S115" s="2466"/>
      <c r="T115" s="2466"/>
      <c r="U115" s="2466"/>
      <c r="V115" s="2466"/>
      <c r="W115" s="2466"/>
      <c r="X115" s="2466"/>
      <c r="Y115" s="2466"/>
      <c r="Z115" s="2466"/>
      <c r="AA115" s="2466"/>
    </row>
    <row r="116" spans="1:27" ht="24.95" customHeight="1">
      <c r="A116" s="2442"/>
      <c r="B116" s="2492"/>
      <c r="C116" s="2531">
        <v>4</v>
      </c>
      <c r="D116" s="2533">
        <f>RANK(C116,C114:C118,0)</f>
        <v>4</v>
      </c>
      <c r="E116" s="2518"/>
      <c r="F116" s="2517"/>
      <c r="G116" s="2494"/>
      <c r="H116" s="2494"/>
      <c r="I116" s="2494"/>
      <c r="J116" s="1004"/>
      <c r="K116" s="2476"/>
      <c r="L116" s="2466"/>
      <c r="M116" s="2466"/>
      <c r="N116" s="2466"/>
      <c r="O116" s="2466"/>
      <c r="P116" s="2466"/>
      <c r="Q116" s="2466"/>
      <c r="R116" s="2466"/>
      <c r="S116" s="2466"/>
      <c r="T116" s="2466"/>
      <c r="U116" s="2466"/>
      <c r="V116" s="2466"/>
      <c r="W116" s="2466"/>
      <c r="X116" s="2466"/>
      <c r="Y116" s="2466"/>
      <c r="Z116" s="2466"/>
      <c r="AA116" s="2466"/>
    </row>
    <row r="117" spans="1:27" ht="24.95" customHeight="1">
      <c r="A117" s="2442"/>
      <c r="B117" s="2492"/>
      <c r="C117" s="2531">
        <v>1</v>
      </c>
      <c r="D117" s="2533">
        <f>RANK(C117,C114:C118,0)</f>
        <v>5</v>
      </c>
      <c r="E117" s="2518"/>
      <c r="F117" s="2517"/>
      <c r="G117" s="2494"/>
      <c r="H117" s="2494"/>
      <c r="I117" s="2494"/>
      <c r="J117" s="1004"/>
      <c r="K117" s="2476"/>
      <c r="L117" s="2466"/>
      <c r="M117" s="2466"/>
      <c r="N117" s="2466"/>
      <c r="O117" s="2466"/>
      <c r="P117" s="2466"/>
      <c r="Q117" s="2466"/>
      <c r="R117" s="2466"/>
      <c r="S117" s="2466"/>
      <c r="T117" s="2466"/>
      <c r="U117" s="2466"/>
      <c r="V117" s="2466"/>
      <c r="W117" s="2466"/>
      <c r="X117" s="2466"/>
      <c r="Y117" s="2466"/>
      <c r="Z117" s="2466"/>
      <c r="AA117" s="2466"/>
    </row>
    <row r="118" spans="1:27" ht="24.95" customHeight="1">
      <c r="A118" s="2442"/>
      <c r="B118" s="2492"/>
      <c r="C118" s="2531">
        <v>7</v>
      </c>
      <c r="D118" s="2533">
        <f>RANK(C118,C114:C118,0)</f>
        <v>2</v>
      </c>
      <c r="E118" s="2518"/>
      <c r="F118" s="2517"/>
      <c r="G118" s="2494"/>
      <c r="H118" s="2494"/>
      <c r="I118" s="2494"/>
      <c r="J118" s="1004"/>
      <c r="K118" s="2476"/>
      <c r="L118" s="2466"/>
      <c r="M118" s="2466"/>
      <c r="N118" s="2466"/>
      <c r="O118" s="2466"/>
      <c r="P118" s="2466"/>
      <c r="Q118" s="2466"/>
      <c r="R118" s="2466"/>
      <c r="S118" s="2466"/>
      <c r="T118" s="2466"/>
      <c r="U118" s="2466"/>
      <c r="V118" s="2466"/>
      <c r="W118" s="2466"/>
      <c r="X118" s="2466"/>
      <c r="Y118" s="2466"/>
      <c r="Z118" s="2466"/>
      <c r="AA118" s="2466"/>
    </row>
    <row r="119" spans="1:27" ht="24.95" customHeight="1" thickBot="1">
      <c r="A119" s="2442"/>
      <c r="B119" s="2529" t="s">
        <v>5979</v>
      </c>
      <c r="C119" s="2488"/>
      <c r="D119" s="2501"/>
      <c r="E119" s="2501"/>
      <c r="F119" s="2501"/>
      <c r="G119" s="2501"/>
      <c r="H119" s="2501"/>
      <c r="I119" s="2501"/>
      <c r="J119" s="2471"/>
      <c r="K119" s="2469"/>
      <c r="L119" s="2466"/>
      <c r="M119" s="2466"/>
      <c r="N119" s="2466"/>
      <c r="O119" s="2466"/>
      <c r="P119" s="2466"/>
      <c r="Q119" s="2466"/>
      <c r="R119" s="2466"/>
      <c r="S119" s="2466"/>
      <c r="T119" s="2466"/>
      <c r="U119" s="2466"/>
      <c r="V119" s="2466"/>
      <c r="W119" s="2466"/>
      <c r="X119" s="2466"/>
      <c r="Y119" s="2466"/>
      <c r="Z119" s="2466"/>
      <c r="AA119" s="2466"/>
    </row>
    <row r="120" spans="1:27" ht="24.95" customHeight="1" thickBot="1">
      <c r="A120" s="2442"/>
      <c r="B120" s="2455"/>
      <c r="C120" s="2466"/>
      <c r="D120" s="2468"/>
      <c r="E120" s="2468"/>
      <c r="F120" s="2467"/>
      <c r="G120" s="2467"/>
      <c r="H120" s="2467"/>
      <c r="I120" s="2467"/>
      <c r="J120" s="1004"/>
      <c r="K120" s="2466"/>
      <c r="L120" s="2466"/>
      <c r="M120" s="2466"/>
      <c r="N120" s="2466"/>
      <c r="O120" s="2466"/>
      <c r="P120" s="2466"/>
      <c r="Q120" s="2466"/>
      <c r="R120" s="2466"/>
      <c r="S120" s="2466"/>
      <c r="T120" s="2466"/>
      <c r="U120" s="2466"/>
      <c r="V120" s="2466"/>
      <c r="W120" s="2466"/>
      <c r="X120" s="2466"/>
      <c r="Y120" s="2466"/>
      <c r="Z120" s="2466"/>
      <c r="AA120" s="2466"/>
    </row>
    <row r="121" spans="1:27" ht="24.95" customHeight="1">
      <c r="A121" s="2442"/>
      <c r="B121" s="2486"/>
      <c r="C121" s="2485"/>
      <c r="D121" s="2498"/>
      <c r="E121" s="2498"/>
      <c r="F121" s="2498"/>
      <c r="G121" s="2498"/>
      <c r="H121" s="2498"/>
      <c r="I121" s="2498"/>
      <c r="J121" s="2507"/>
      <c r="K121" s="2506"/>
      <c r="L121" s="2466"/>
      <c r="M121" s="2466"/>
      <c r="N121" s="2466"/>
      <c r="O121" s="2466"/>
      <c r="P121" s="2466"/>
      <c r="Q121" s="2466"/>
      <c r="R121" s="2466"/>
      <c r="S121" s="2466"/>
      <c r="T121" s="2466"/>
      <c r="U121" s="2466"/>
      <c r="V121" s="2466"/>
      <c r="W121" s="2466"/>
      <c r="X121" s="2466"/>
      <c r="Y121" s="2466"/>
      <c r="Z121" s="2466"/>
      <c r="AA121" s="2466"/>
    </row>
    <row r="122" spans="1:27" ht="24.95" customHeight="1">
      <c r="A122" s="2442"/>
      <c r="B122" s="2492"/>
      <c r="C122" s="2481" t="s">
        <v>5984</v>
      </c>
      <c r="D122" s="2477"/>
      <c r="E122" s="2518"/>
      <c r="F122" s="2517"/>
      <c r="G122" s="2494"/>
      <c r="H122" s="2494"/>
      <c r="I122" s="2494"/>
      <c r="J122" s="2499"/>
      <c r="K122" s="2490"/>
      <c r="L122" s="2466"/>
      <c r="M122" s="2466"/>
      <c r="N122" s="2466"/>
      <c r="O122" s="2466"/>
      <c r="P122" s="2466"/>
      <c r="Q122" s="2466"/>
      <c r="R122" s="2466"/>
      <c r="S122" s="2466"/>
      <c r="T122" s="2466"/>
      <c r="U122" s="2466"/>
      <c r="V122" s="2466"/>
      <c r="W122" s="2466"/>
      <c r="X122" s="2466"/>
      <c r="Y122" s="2466"/>
      <c r="Z122" s="2466"/>
      <c r="AA122" s="2466"/>
    </row>
    <row r="123" spans="1:27" ht="24.95" customHeight="1">
      <c r="A123" s="2442"/>
      <c r="B123" s="2492"/>
      <c r="C123" s="2532" t="s">
        <v>5983</v>
      </c>
      <c r="D123" s="2480"/>
      <c r="E123" s="2518"/>
      <c r="F123" s="2517"/>
      <c r="G123" s="2494"/>
      <c r="H123" s="2494"/>
      <c r="I123" s="2494"/>
      <c r="J123" s="2499"/>
      <c r="K123" s="2490"/>
      <c r="L123" s="2466"/>
      <c r="M123" s="2466"/>
      <c r="N123" s="2466"/>
      <c r="O123" s="2466"/>
      <c r="P123" s="2466"/>
      <c r="Q123" s="2466"/>
      <c r="R123" s="2466"/>
      <c r="S123" s="2466"/>
      <c r="T123" s="2466"/>
      <c r="U123" s="2466"/>
      <c r="V123" s="2466"/>
      <c r="W123" s="2466"/>
      <c r="X123" s="2466"/>
      <c r="Y123" s="2466"/>
      <c r="Z123" s="2466"/>
      <c r="AA123" s="2466"/>
    </row>
    <row r="124" spans="1:27" ht="24.95" customHeight="1">
      <c r="A124" s="2442"/>
      <c r="B124" s="2492"/>
      <c r="C124" s="2532" t="s">
        <v>5982</v>
      </c>
      <c r="D124" s="2480"/>
      <c r="E124" s="2518"/>
      <c r="F124" s="2517"/>
      <c r="G124" s="2494"/>
      <c r="H124" s="2494"/>
      <c r="I124" s="2494"/>
      <c r="J124" s="2499"/>
      <c r="K124" s="2490"/>
      <c r="L124" s="2466"/>
      <c r="M124" s="2466"/>
      <c r="N124" s="2466"/>
      <c r="O124" s="2466"/>
      <c r="P124" s="2466"/>
      <c r="Q124" s="2466"/>
      <c r="R124" s="2466"/>
      <c r="S124" s="2466"/>
      <c r="T124" s="2466"/>
      <c r="U124" s="2466"/>
      <c r="V124" s="2466"/>
      <c r="W124" s="2466"/>
      <c r="X124" s="2466"/>
      <c r="Y124" s="2466"/>
      <c r="Z124" s="2466"/>
      <c r="AA124" s="2466"/>
    </row>
    <row r="125" spans="1:27" ht="24.95" customHeight="1">
      <c r="A125" s="2442"/>
      <c r="B125" s="2492"/>
      <c r="C125" s="2477" t="s">
        <v>5981</v>
      </c>
      <c r="D125" s="2480"/>
      <c r="E125" s="2518"/>
      <c r="F125" s="2517"/>
      <c r="G125" s="2494"/>
      <c r="H125" s="2494"/>
      <c r="I125" s="2494"/>
      <c r="J125" s="2499"/>
      <c r="K125" s="2490"/>
      <c r="L125" s="2466"/>
      <c r="M125" s="2466"/>
      <c r="N125" s="2466"/>
      <c r="O125" s="2466"/>
      <c r="P125" s="2466"/>
      <c r="Q125" s="2466"/>
      <c r="R125" s="2466"/>
      <c r="S125" s="2466"/>
      <c r="T125" s="2466"/>
      <c r="U125" s="2466"/>
      <c r="V125" s="2466"/>
      <c r="W125" s="2466"/>
      <c r="X125" s="2466"/>
      <c r="Y125" s="2466"/>
      <c r="Z125" s="2466"/>
      <c r="AA125" s="2466"/>
    </row>
    <row r="126" spans="1:27" ht="24.95" customHeight="1">
      <c r="A126" s="2442"/>
      <c r="B126" s="2478" t="s">
        <v>5980</v>
      </c>
      <c r="C126" s="2494"/>
      <c r="D126" s="2494"/>
      <c r="E126" s="2494"/>
      <c r="F126" s="2494"/>
      <c r="G126" s="2494"/>
      <c r="H126" s="2494"/>
      <c r="I126" s="2494"/>
      <c r="J126" s="2499"/>
      <c r="K126" s="2490"/>
      <c r="L126" s="2466"/>
      <c r="M126" s="2466"/>
      <c r="N126" s="2466"/>
      <c r="O126" s="2466"/>
      <c r="P126" s="2466"/>
      <c r="Q126" s="2466"/>
      <c r="R126" s="2466"/>
      <c r="S126" s="2466"/>
      <c r="T126" s="2466"/>
      <c r="U126" s="2466"/>
      <c r="V126" s="2466"/>
      <c r="W126" s="2466"/>
      <c r="X126" s="2466"/>
      <c r="Y126" s="2466"/>
      <c r="Z126" s="2466"/>
      <c r="AA126" s="2466"/>
    </row>
    <row r="127" spans="1:27" ht="24.95" customHeight="1">
      <c r="A127" s="2442"/>
      <c r="B127" s="2478">
        <f>ROW()</f>
        <v>127</v>
      </c>
      <c r="C127" s="2531">
        <v>5</v>
      </c>
      <c r="D127" s="2530" t="str">
        <f>REPT(CHAR(7),RANK(C127,C127:C131,1))</f>
        <v>_x0007__x0007__x0007_</v>
      </c>
      <c r="E127" s="2477" t="str">
        <f ca="1">_xlfn.FORMULATEXT(D127)</f>
        <v>=REPT(CAR(7);RANG(C127;C127:C131;1))</v>
      </c>
      <c r="F127" s="2517"/>
      <c r="G127" s="2517"/>
      <c r="H127" s="2517"/>
      <c r="I127" s="2494"/>
      <c r="J127" s="2499"/>
      <c r="K127" s="2490"/>
      <c r="L127" s="2466"/>
      <c r="M127" s="2466"/>
      <c r="N127" s="2466"/>
      <c r="O127" s="2466"/>
      <c r="P127" s="2466"/>
      <c r="Q127" s="2466"/>
      <c r="R127" s="2466"/>
      <c r="S127" s="2466"/>
      <c r="T127" s="2466"/>
      <c r="U127" s="2466"/>
      <c r="V127" s="2466"/>
      <c r="W127" s="2466"/>
      <c r="X127" s="2466"/>
      <c r="Y127" s="2466"/>
      <c r="Z127" s="2466"/>
      <c r="AA127" s="2466"/>
    </row>
    <row r="128" spans="1:27" ht="24.95" customHeight="1">
      <c r="A128" s="2442"/>
      <c r="B128" s="2492"/>
      <c r="C128" s="2531">
        <v>8</v>
      </c>
      <c r="D128" s="2530" t="str">
        <f>REPT(CHAR(7),RANK(C128,C127:C131,1))</f>
        <v>_x0007__x0007__x0007__x0007__x0007_</v>
      </c>
      <c r="E128" s="2518"/>
      <c r="F128" s="2517"/>
      <c r="G128" s="2494"/>
      <c r="H128" s="2494"/>
      <c r="I128" s="2494"/>
      <c r="J128" s="2499"/>
      <c r="K128" s="2490"/>
      <c r="L128" s="2466"/>
      <c r="M128" s="2466"/>
      <c r="N128" s="2466"/>
      <c r="O128" s="2466"/>
      <c r="P128" s="2466"/>
      <c r="Q128" s="2466"/>
      <c r="R128" s="2466"/>
      <c r="S128" s="2466"/>
      <c r="T128" s="2466"/>
      <c r="U128" s="2466"/>
      <c r="V128" s="2466"/>
      <c r="W128" s="2466"/>
      <c r="X128" s="2466"/>
      <c r="Y128" s="2466"/>
      <c r="Z128" s="2466"/>
      <c r="AA128" s="2466"/>
    </row>
    <row r="129" spans="1:27" ht="24.95" customHeight="1">
      <c r="A129" s="2442"/>
      <c r="B129" s="2492"/>
      <c r="C129" s="2531">
        <v>4</v>
      </c>
      <c r="D129" s="2530" t="str">
        <f>REPT(CHAR(7),RANK(C129,C127:C131,1))</f>
        <v>_x0007__x0007_</v>
      </c>
      <c r="E129" s="2518"/>
      <c r="F129" s="2517"/>
      <c r="G129" s="2494"/>
      <c r="H129" s="2494"/>
      <c r="I129" s="2494"/>
      <c r="J129" s="2499"/>
      <c r="K129" s="2490"/>
      <c r="L129" s="2466"/>
      <c r="M129" s="2466"/>
      <c r="N129" s="2466"/>
      <c r="O129" s="2466"/>
      <c r="P129" s="2466"/>
      <c r="Q129" s="2466"/>
      <c r="R129" s="2466"/>
      <c r="S129" s="2466"/>
      <c r="T129" s="2466"/>
      <c r="U129" s="2466"/>
      <c r="V129" s="2466"/>
      <c r="W129" s="2466"/>
      <c r="X129" s="2466"/>
      <c r="Y129" s="2466"/>
      <c r="Z129" s="2466"/>
      <c r="AA129" s="2466"/>
    </row>
    <row r="130" spans="1:27" ht="24.95" customHeight="1">
      <c r="A130" s="2442"/>
      <c r="B130" s="2492"/>
      <c r="C130" s="2531">
        <v>1</v>
      </c>
      <c r="D130" s="2530" t="str">
        <f>REPT(CHAR(7),RANK(C130,C127:C131,1))</f>
        <v>_x0007_</v>
      </c>
      <c r="E130" s="2518"/>
      <c r="F130" s="2517"/>
      <c r="G130" s="2494"/>
      <c r="H130" s="2494"/>
      <c r="I130" s="2494"/>
      <c r="J130" s="2499"/>
      <c r="K130" s="2490"/>
      <c r="L130" s="2466"/>
      <c r="M130" s="2466"/>
      <c r="N130" s="2466"/>
      <c r="O130" s="2466"/>
      <c r="P130" s="2466"/>
      <c r="Q130" s="2466"/>
      <c r="R130" s="2466"/>
      <c r="S130" s="2466"/>
      <c r="T130" s="2466"/>
      <c r="U130" s="2466"/>
      <c r="V130" s="2466"/>
      <c r="W130" s="2466"/>
      <c r="X130" s="2466"/>
      <c r="Y130" s="2466"/>
      <c r="Z130" s="2466"/>
      <c r="AA130" s="2466"/>
    </row>
    <row r="131" spans="1:27" ht="24.95" customHeight="1">
      <c r="A131" s="2442"/>
      <c r="B131" s="2492"/>
      <c r="C131" s="2531">
        <v>7</v>
      </c>
      <c r="D131" s="2530" t="str">
        <f>REPT(CHAR(7),RANK(C131,C127:C131,1))</f>
        <v>_x0007__x0007__x0007__x0007_</v>
      </c>
      <c r="E131" s="2518"/>
      <c r="F131" s="2517"/>
      <c r="G131" s="2494"/>
      <c r="H131" s="2494"/>
      <c r="I131" s="2494"/>
      <c r="J131" s="2499"/>
      <c r="K131" s="2490"/>
      <c r="L131" s="2466"/>
      <c r="M131" s="2466"/>
      <c r="N131" s="2466"/>
      <c r="O131" s="2466"/>
      <c r="P131" s="2466"/>
      <c r="Q131" s="2466"/>
      <c r="R131" s="2466"/>
      <c r="S131" s="2466"/>
      <c r="T131" s="2466"/>
      <c r="U131" s="2466"/>
      <c r="V131" s="2466"/>
      <c r="W131" s="2466"/>
      <c r="X131" s="2466"/>
      <c r="Y131" s="2466"/>
      <c r="Z131" s="2466"/>
      <c r="AA131" s="2466"/>
    </row>
    <row r="132" spans="1:27" ht="24.95" customHeight="1" thickBot="1">
      <c r="A132" s="2442"/>
      <c r="B132" s="2529" t="s">
        <v>5979</v>
      </c>
      <c r="C132" s="2488"/>
      <c r="D132" s="2528"/>
      <c r="E132" s="2528"/>
      <c r="F132" s="2528"/>
      <c r="G132" s="2501"/>
      <c r="H132" s="2501"/>
      <c r="I132" s="2501"/>
      <c r="J132" s="2500"/>
      <c r="K132" s="2487"/>
      <c r="L132" s="2466"/>
      <c r="M132" s="2466"/>
      <c r="N132" s="2466"/>
      <c r="O132" s="2466"/>
      <c r="P132" s="2466"/>
      <c r="Q132" s="2466"/>
      <c r="R132" s="2466"/>
      <c r="S132" s="2466"/>
      <c r="T132" s="2466"/>
      <c r="U132" s="2466"/>
      <c r="V132" s="2466"/>
      <c r="W132" s="2466"/>
      <c r="X132" s="2466"/>
      <c r="Y132" s="2466"/>
      <c r="Z132" s="2466"/>
      <c r="AA132" s="2466"/>
    </row>
    <row r="133" spans="1:27" ht="24.95" customHeight="1" thickBot="1">
      <c r="A133" s="2442"/>
      <c r="B133" s="2455"/>
      <c r="C133" s="2466"/>
      <c r="D133" s="2468"/>
      <c r="E133" s="2468"/>
      <c r="F133" s="2467"/>
      <c r="G133" s="2467"/>
      <c r="H133" s="2467"/>
      <c r="I133" s="2467"/>
      <c r="J133" s="1004"/>
      <c r="K133" s="2466"/>
      <c r="L133" s="2466"/>
      <c r="M133" s="2466"/>
      <c r="N133" s="2466"/>
      <c r="O133" s="2466"/>
      <c r="P133" s="2466"/>
      <c r="Q133" s="2466"/>
      <c r="R133" s="2466"/>
      <c r="S133" s="2466"/>
      <c r="T133" s="2466"/>
      <c r="U133" s="2466"/>
      <c r="V133" s="2466"/>
      <c r="W133" s="2466"/>
      <c r="X133" s="2466"/>
      <c r="Y133" s="2466"/>
      <c r="Z133" s="2466"/>
      <c r="AA133" s="2466"/>
    </row>
    <row r="134" spans="1:27" ht="24.95" customHeight="1">
      <c r="A134" s="2482"/>
      <c r="B134" s="2527"/>
      <c r="C134" s="2526"/>
      <c r="D134" s="2525"/>
      <c r="E134" s="2525"/>
      <c r="F134" s="2525"/>
      <c r="G134" s="2525"/>
      <c r="H134" s="2525"/>
      <c r="I134" s="2524"/>
      <c r="J134" s="2499"/>
      <c r="K134" s="2480"/>
      <c r="L134" s="2480"/>
      <c r="M134" s="2466"/>
      <c r="N134" s="2466"/>
      <c r="O134" s="2466"/>
      <c r="P134" s="2466"/>
      <c r="Q134" s="2466"/>
      <c r="R134" s="2466"/>
      <c r="S134" s="2466"/>
      <c r="T134" s="2466"/>
      <c r="U134" s="2466"/>
      <c r="V134" s="2466"/>
      <c r="W134" s="2466"/>
      <c r="X134" s="2466"/>
      <c r="Y134" s="2466"/>
      <c r="Z134" s="2466"/>
      <c r="AA134" s="2466"/>
    </row>
    <row r="135" spans="1:27" ht="24.95" customHeight="1">
      <c r="A135" s="2482"/>
      <c r="B135" s="2513"/>
      <c r="C135" s="2481" t="s">
        <v>5978</v>
      </c>
      <c r="D135" s="2494"/>
      <c r="E135" s="2494"/>
      <c r="F135" s="2494"/>
      <c r="G135" s="2494"/>
      <c r="H135" s="2494"/>
      <c r="I135" s="2523"/>
      <c r="J135" s="2499"/>
      <c r="K135" s="2480"/>
      <c r="L135" s="2480"/>
      <c r="M135" s="2466"/>
      <c r="N135" s="2466"/>
      <c r="O135" s="2466"/>
      <c r="P135" s="2466"/>
      <c r="Q135" s="2466"/>
      <c r="R135" s="2466"/>
      <c r="S135" s="2466"/>
      <c r="T135" s="2466"/>
      <c r="U135" s="2466"/>
      <c r="V135" s="2466"/>
      <c r="W135" s="2466"/>
      <c r="X135" s="2466"/>
      <c r="Y135" s="2466"/>
      <c r="Z135" s="2466"/>
      <c r="AA135" s="2466"/>
    </row>
    <row r="136" spans="1:27" ht="24.95" customHeight="1">
      <c r="A136" s="2482"/>
      <c r="B136" s="2478" t="s">
        <v>5963</v>
      </c>
      <c r="C136" s="2480"/>
      <c r="D136" s="2480"/>
      <c r="E136" s="2494"/>
      <c r="F136" s="2494"/>
      <c r="G136" s="2522"/>
      <c r="H136" s="2480"/>
      <c r="I136" s="2514"/>
      <c r="J136" s="2480"/>
      <c r="K136" s="2480"/>
      <c r="L136" s="2480"/>
      <c r="M136" s="2466"/>
      <c r="N136" s="2466"/>
      <c r="O136" s="2466"/>
      <c r="P136" s="2466"/>
      <c r="Q136" s="2466"/>
      <c r="R136" s="2466"/>
      <c r="S136" s="2466"/>
      <c r="T136" s="2466"/>
      <c r="U136" s="2466"/>
      <c r="V136" s="2466"/>
      <c r="W136" s="2466"/>
      <c r="X136" s="2466"/>
      <c r="Y136" s="2466"/>
      <c r="Z136" s="2466"/>
      <c r="AA136" s="2466"/>
    </row>
    <row r="137" spans="1:27" ht="24.95" customHeight="1">
      <c r="A137" s="2482"/>
      <c r="B137" s="2515">
        <f>ROW()</f>
        <v>137</v>
      </c>
      <c r="C137" s="4939">
        <f ca="1">TODAY()</f>
        <v>44608</v>
      </c>
      <c r="D137" s="4939"/>
      <c r="E137" s="4939"/>
      <c r="F137" s="2502"/>
      <c r="G137" s="2477" t="str">
        <f ca="1">_xlfn.FORMULATEXT(C137)</f>
        <v>=AUJOURDHUI()</v>
      </c>
      <c r="H137" s="2480"/>
      <c r="I137" s="2514"/>
      <c r="J137" s="2480"/>
      <c r="K137" s="2480"/>
      <c r="L137" s="2480"/>
      <c r="M137" s="2466"/>
      <c r="N137" s="2466"/>
      <c r="O137" s="2466"/>
      <c r="P137" s="2466"/>
      <c r="Q137" s="2466"/>
      <c r="R137" s="2466"/>
      <c r="S137" s="2466"/>
      <c r="T137" s="2466"/>
      <c r="U137" s="2466"/>
      <c r="V137" s="2466"/>
      <c r="W137" s="2466"/>
      <c r="X137" s="2466"/>
      <c r="Y137" s="2466"/>
      <c r="Z137" s="2466"/>
      <c r="AA137" s="2466"/>
    </row>
    <row r="138" spans="1:27" ht="24.95" customHeight="1">
      <c r="A138" s="2482"/>
      <c r="B138" s="2513"/>
      <c r="C138" s="2502" t="s">
        <v>5974</v>
      </c>
      <c r="D138" s="2517"/>
      <c r="E138" s="2517"/>
      <c r="F138" s="2517"/>
      <c r="G138" s="2517"/>
      <c r="H138" s="2480"/>
      <c r="I138" s="2514"/>
      <c r="J138" s="2480"/>
      <c r="K138" s="2480"/>
      <c r="L138" s="2480"/>
      <c r="M138" s="2466"/>
      <c r="N138" s="2466"/>
      <c r="O138" s="2466"/>
      <c r="P138" s="2466"/>
      <c r="Q138" s="2466"/>
      <c r="R138" s="2466"/>
      <c r="S138" s="2466"/>
      <c r="T138" s="2466"/>
      <c r="U138" s="2466"/>
      <c r="V138" s="2466"/>
      <c r="W138" s="2466"/>
      <c r="X138" s="2466"/>
      <c r="Y138" s="2466"/>
      <c r="Z138" s="2466"/>
      <c r="AA138" s="2466"/>
    </row>
    <row r="139" spans="1:27" ht="24.95" customHeight="1">
      <c r="A139" s="2482"/>
      <c r="B139" s="2513"/>
      <c r="C139" s="2502"/>
      <c r="D139" s="2517"/>
      <c r="E139" s="2517"/>
      <c r="F139" s="2517"/>
      <c r="G139" s="2517"/>
      <c r="H139" s="2480"/>
      <c r="I139" s="2514"/>
      <c r="J139" s="2480"/>
      <c r="K139" s="2480"/>
      <c r="L139" s="2480"/>
      <c r="M139" s="2466"/>
      <c r="N139" s="2466"/>
      <c r="O139" s="2466"/>
      <c r="P139" s="2466"/>
      <c r="Q139" s="2466"/>
      <c r="R139" s="2466"/>
      <c r="S139" s="2466"/>
      <c r="T139" s="2466"/>
      <c r="U139" s="2466"/>
      <c r="V139" s="2466"/>
      <c r="W139" s="2466"/>
      <c r="X139" s="2466"/>
      <c r="Y139" s="2466"/>
      <c r="Z139" s="2466"/>
      <c r="AA139" s="2466"/>
    </row>
    <row r="140" spans="1:27" ht="24.95" customHeight="1">
      <c r="A140" s="2482"/>
      <c r="B140" s="2515">
        <f>ROW()</f>
        <v>140</v>
      </c>
      <c r="C140" s="4939">
        <f ca="1">NOW()</f>
        <v>44608.74733564815</v>
      </c>
      <c r="D140" s="4939"/>
      <c r="E140" s="4939"/>
      <c r="F140" s="2502"/>
      <c r="G140" s="2477" t="str">
        <f ca="1">_xlfn.FORMULATEXT(C140)</f>
        <v>=MAINTENANT()</v>
      </c>
      <c r="H140" s="2480"/>
      <c r="I140" s="2514"/>
      <c r="J140" s="2480"/>
      <c r="K140" s="2480"/>
      <c r="L140" s="2480"/>
      <c r="M140" s="2466"/>
      <c r="N140" s="2466"/>
      <c r="O140" s="2466"/>
      <c r="P140" s="2466"/>
      <c r="Q140" s="2466"/>
      <c r="R140" s="2466"/>
      <c r="S140" s="2466"/>
      <c r="T140" s="2466"/>
      <c r="U140" s="2466"/>
      <c r="V140" s="2466"/>
      <c r="W140" s="2466"/>
      <c r="X140" s="2466"/>
      <c r="Y140" s="2466"/>
      <c r="Z140" s="2466"/>
      <c r="AA140" s="2466"/>
    </row>
    <row r="141" spans="1:27" ht="24.95" customHeight="1">
      <c r="A141" s="2482"/>
      <c r="B141" s="2513"/>
      <c r="C141" s="2502" t="s">
        <v>5974</v>
      </c>
      <c r="D141" s="2517"/>
      <c r="E141" s="2517"/>
      <c r="F141" s="2517"/>
      <c r="G141" s="2517"/>
      <c r="H141" s="2480"/>
      <c r="I141" s="2514"/>
      <c r="J141" s="2480"/>
      <c r="K141" s="2480"/>
      <c r="L141" s="2480"/>
      <c r="M141" s="2466"/>
      <c r="N141" s="2466"/>
      <c r="O141" s="2466"/>
      <c r="P141" s="2466"/>
      <c r="Q141" s="2466"/>
      <c r="R141" s="2466"/>
      <c r="S141" s="2466"/>
      <c r="T141" s="2466"/>
      <c r="U141" s="2466"/>
      <c r="V141" s="2466"/>
      <c r="W141" s="2466"/>
      <c r="X141" s="2466"/>
      <c r="Y141" s="2466"/>
      <c r="Z141" s="2466"/>
      <c r="AA141" s="2466"/>
    </row>
    <row r="142" spans="1:27" ht="24.95" customHeight="1">
      <c r="A142" s="2482"/>
      <c r="B142" s="2513"/>
      <c r="C142" s="2517"/>
      <c r="D142" s="2517"/>
      <c r="E142" s="2517"/>
      <c r="F142" s="2517"/>
      <c r="G142" s="2517"/>
      <c r="H142" s="2480"/>
      <c r="I142" s="2514"/>
      <c r="J142" s="2480"/>
      <c r="K142" s="2480"/>
      <c r="L142" s="2480"/>
      <c r="M142" s="2466"/>
      <c r="N142" s="2466"/>
      <c r="O142" s="2466"/>
      <c r="P142" s="2466"/>
      <c r="Q142" s="2466"/>
      <c r="R142" s="2466"/>
      <c r="S142" s="2466"/>
      <c r="T142" s="2466"/>
      <c r="U142" s="2466"/>
      <c r="V142" s="2466"/>
      <c r="W142" s="2466"/>
      <c r="X142" s="2466"/>
      <c r="Y142" s="2466"/>
      <c r="Z142" s="2466"/>
      <c r="AA142" s="2466"/>
    </row>
    <row r="143" spans="1:27" ht="24.95" customHeight="1">
      <c r="A143" s="2482"/>
      <c r="B143" s="2515">
        <f>ROW()</f>
        <v>143</v>
      </c>
      <c r="C143" s="4940">
        <f ca="1">NOW()</f>
        <v>44608.74733564815</v>
      </c>
      <c r="D143" s="4940"/>
      <c r="E143" s="4940"/>
      <c r="F143" s="2502"/>
      <c r="G143" s="2477" t="str">
        <f ca="1">_xlfn.FORMULATEXT(C143)</f>
        <v>=MAINTENANT()</v>
      </c>
      <c r="H143" s="2480"/>
      <c r="I143" s="2514"/>
      <c r="J143" s="2480"/>
      <c r="K143" s="2480"/>
      <c r="L143" s="2480"/>
      <c r="M143" s="2466"/>
      <c r="N143" s="2466"/>
      <c r="O143" s="2466"/>
      <c r="P143" s="2466"/>
      <c r="Q143" s="2466"/>
      <c r="R143" s="2466"/>
      <c r="S143" s="2466"/>
      <c r="T143" s="2466"/>
      <c r="U143" s="2466"/>
      <c r="V143" s="2466"/>
      <c r="W143" s="2466"/>
      <c r="X143" s="2466"/>
      <c r="Y143" s="2466"/>
      <c r="Z143" s="2466"/>
      <c r="AA143" s="2466"/>
    </row>
    <row r="144" spans="1:27" ht="24.95" customHeight="1">
      <c r="A144" s="2482"/>
      <c r="B144" s="2513"/>
      <c r="C144" s="2502"/>
      <c r="D144" s="2521" t="s">
        <v>5977</v>
      </c>
      <c r="E144" s="2520" t="s">
        <v>5976</v>
      </c>
      <c r="F144" s="2517"/>
      <c r="G144" s="2517"/>
      <c r="H144" s="2480"/>
      <c r="I144" s="2514"/>
      <c r="J144" s="2480"/>
      <c r="K144" s="2480"/>
      <c r="L144" s="2480"/>
      <c r="M144" s="2466"/>
      <c r="N144" s="2466"/>
      <c r="O144" s="2466"/>
      <c r="P144" s="2466"/>
      <c r="Q144" s="2466"/>
      <c r="R144" s="2466"/>
      <c r="S144" s="2466"/>
      <c r="T144" s="2466"/>
      <c r="U144" s="2466"/>
      <c r="V144" s="2466"/>
      <c r="W144" s="2466"/>
      <c r="X144" s="2466"/>
      <c r="Y144" s="2466"/>
      <c r="Z144" s="2466"/>
      <c r="AA144" s="2466"/>
    </row>
    <row r="145" spans="1:27" ht="24.95" customHeight="1">
      <c r="A145" s="2482"/>
      <c r="B145" s="2513"/>
      <c r="C145" s="2502"/>
      <c r="D145" s="2517"/>
      <c r="E145" s="2517"/>
      <c r="F145" s="2517"/>
      <c r="G145" s="2517"/>
      <c r="H145" s="2480"/>
      <c r="I145" s="2514"/>
      <c r="J145" s="2480"/>
      <c r="K145" s="2480"/>
      <c r="L145" s="2480"/>
      <c r="M145" s="2466"/>
      <c r="N145" s="2466"/>
      <c r="O145" s="2466"/>
      <c r="P145" s="2466"/>
      <c r="Q145" s="2466"/>
      <c r="R145" s="2466"/>
      <c r="S145" s="2466"/>
      <c r="T145" s="2466"/>
      <c r="U145" s="2466"/>
      <c r="V145" s="2466"/>
      <c r="W145" s="2466"/>
      <c r="X145" s="2466"/>
      <c r="Y145" s="2466"/>
      <c r="Z145" s="2466"/>
      <c r="AA145" s="2466"/>
    </row>
    <row r="146" spans="1:27" ht="24.95" customHeight="1">
      <c r="A146" s="2482"/>
      <c r="B146" s="2515">
        <f>ROW()</f>
        <v>146</v>
      </c>
      <c r="C146" s="2519">
        <f ca="1">NOW()</f>
        <v>44608.74733564815</v>
      </c>
      <c r="D146" s="2518"/>
      <c r="E146" s="2480"/>
      <c r="F146" s="2502"/>
      <c r="G146" s="2477" t="str">
        <f ca="1">_xlfn.FORMULATEXT(C146)</f>
        <v>=MAINTENANT()</v>
      </c>
      <c r="H146" s="2480"/>
      <c r="I146" s="2514"/>
      <c r="J146" s="2480"/>
      <c r="K146" s="2480"/>
      <c r="L146" s="2480"/>
      <c r="M146" s="2466"/>
      <c r="N146" s="2466"/>
      <c r="O146" s="2466"/>
      <c r="P146" s="2466"/>
      <c r="Q146" s="2466"/>
      <c r="R146" s="2466"/>
      <c r="S146" s="2466"/>
      <c r="T146" s="2466"/>
      <c r="U146" s="2466"/>
      <c r="V146" s="2466"/>
      <c r="W146" s="2466"/>
      <c r="X146" s="2466"/>
      <c r="Y146" s="2466"/>
      <c r="Z146" s="2466"/>
      <c r="AA146" s="2466"/>
    </row>
    <row r="147" spans="1:27" ht="24.95" customHeight="1">
      <c r="A147" s="2482"/>
      <c r="B147" s="2513"/>
      <c r="C147" s="2502" t="s">
        <v>5975</v>
      </c>
      <c r="D147" s="2518"/>
      <c r="E147" s="2517"/>
      <c r="F147" s="2491"/>
      <c r="G147" s="2491"/>
      <c r="H147" s="2480"/>
      <c r="I147" s="2514"/>
      <c r="J147" s="2480"/>
      <c r="K147" s="2480"/>
      <c r="L147" s="2480"/>
      <c r="M147" s="2466"/>
      <c r="N147" s="2466"/>
      <c r="O147" s="2466"/>
      <c r="P147" s="2466"/>
      <c r="Q147" s="2466"/>
      <c r="R147" s="2466"/>
      <c r="S147" s="2466"/>
      <c r="T147" s="2466"/>
      <c r="U147" s="2466"/>
      <c r="V147" s="2466"/>
      <c r="W147" s="2466"/>
      <c r="X147" s="2466"/>
      <c r="Y147" s="2466"/>
      <c r="Z147" s="2466"/>
      <c r="AA147" s="2466"/>
    </row>
    <row r="148" spans="1:27" ht="24.95" customHeight="1">
      <c r="A148" s="2482"/>
      <c r="B148" s="2513"/>
      <c r="C148" s="2482"/>
      <c r="D148" s="2482"/>
      <c r="E148" s="2482"/>
      <c r="F148" s="2482"/>
      <c r="G148" s="2482"/>
      <c r="H148" s="2482"/>
      <c r="I148" s="2516"/>
      <c r="J148" s="2482"/>
      <c r="K148" s="2482"/>
      <c r="L148" s="2482"/>
      <c r="M148" s="2442"/>
      <c r="N148" s="2442"/>
      <c r="O148" s="2442"/>
      <c r="P148" s="2442"/>
      <c r="Q148" s="2442"/>
      <c r="R148" s="2466"/>
      <c r="S148" s="2466"/>
      <c r="T148" s="2466"/>
      <c r="U148" s="2466"/>
      <c r="V148" s="2466"/>
      <c r="W148" s="2466"/>
      <c r="X148" s="2466"/>
      <c r="Y148" s="2466"/>
      <c r="Z148" s="2466"/>
      <c r="AA148" s="2466"/>
    </row>
    <row r="149" spans="1:27" ht="24.95" customHeight="1">
      <c r="A149" s="2482"/>
      <c r="B149" s="2515">
        <f>ROW()</f>
        <v>149</v>
      </c>
      <c r="C149" s="4941">
        <f ca="1">TODAY()</f>
        <v>44608</v>
      </c>
      <c r="D149" s="4941"/>
      <c r="E149" s="2482"/>
      <c r="F149" s="2482"/>
      <c r="G149" s="2477" t="str">
        <f ca="1">_xlfn.FORMULATEXT(C149)</f>
        <v>=AUJOURDHUI()</v>
      </c>
      <c r="H149" s="2480"/>
      <c r="I149" s="2514"/>
      <c r="J149" s="2480"/>
      <c r="K149" s="2480"/>
      <c r="L149" s="2480"/>
      <c r="M149" s="2466"/>
      <c r="N149" s="2447"/>
      <c r="O149" s="2447"/>
      <c r="P149" s="2447"/>
      <c r="Q149" s="2447"/>
      <c r="R149" s="2466"/>
      <c r="S149" s="2466"/>
      <c r="T149" s="2466"/>
      <c r="U149" s="2466"/>
      <c r="V149" s="2466"/>
      <c r="W149" s="2466"/>
      <c r="X149" s="2466"/>
      <c r="Y149" s="2466"/>
      <c r="Z149" s="2466"/>
      <c r="AA149" s="2466"/>
    </row>
    <row r="150" spans="1:27" ht="24.95" customHeight="1">
      <c r="A150" s="2482"/>
      <c r="B150" s="2513"/>
      <c r="C150" s="2502" t="s">
        <v>5974</v>
      </c>
      <c r="D150" s="2499"/>
      <c r="E150" s="2502"/>
      <c r="F150" s="2499"/>
      <c r="G150" s="2499"/>
      <c r="H150" s="2499"/>
      <c r="I150" s="2512"/>
      <c r="J150" s="2480"/>
      <c r="K150" s="2480"/>
      <c r="L150" s="2480"/>
      <c r="M150" s="2466"/>
      <c r="N150" s="2447"/>
      <c r="O150" s="2447"/>
      <c r="P150" s="2447"/>
      <c r="Q150" s="2447"/>
      <c r="R150" s="2466"/>
      <c r="S150" s="2466"/>
      <c r="T150" s="2466"/>
      <c r="U150" s="2466"/>
      <c r="V150" s="2466"/>
      <c r="W150" s="2466"/>
      <c r="X150" s="2466"/>
      <c r="Y150" s="2466"/>
      <c r="Z150" s="2466"/>
      <c r="AA150" s="2466"/>
    </row>
    <row r="151" spans="1:27" ht="24.95" customHeight="1" thickBot="1">
      <c r="A151" s="2482"/>
      <c r="B151" s="2511"/>
      <c r="C151" s="2510"/>
      <c r="D151" s="2509"/>
      <c r="E151" s="2510"/>
      <c r="F151" s="2509"/>
      <c r="G151" s="2509"/>
      <c r="H151" s="2509"/>
      <c r="I151" s="2508"/>
      <c r="J151" s="2480"/>
      <c r="K151" s="2480"/>
      <c r="L151" s="2480"/>
      <c r="M151" s="2466"/>
      <c r="N151" s="2447"/>
      <c r="O151" s="2447"/>
      <c r="P151" s="2447"/>
      <c r="Q151" s="2447"/>
      <c r="R151" s="2466"/>
      <c r="S151" s="2466"/>
      <c r="T151" s="2466"/>
      <c r="U151" s="2466"/>
      <c r="V151" s="2466"/>
      <c r="W151" s="2466"/>
      <c r="X151" s="2466"/>
      <c r="Y151" s="2466"/>
      <c r="Z151" s="2466"/>
      <c r="AA151" s="2466"/>
    </row>
    <row r="152" spans="1:27" ht="24.95" customHeight="1" thickBot="1">
      <c r="A152" s="2482"/>
      <c r="B152" s="2482"/>
      <c r="C152" s="2502"/>
      <c r="D152" s="2499"/>
      <c r="E152" s="2502"/>
      <c r="F152" s="2499"/>
      <c r="G152" s="2499"/>
      <c r="H152" s="2499"/>
      <c r="I152" s="2499"/>
      <c r="J152" s="2480"/>
      <c r="K152" s="2480"/>
      <c r="L152" s="2480"/>
      <c r="M152" s="2466"/>
      <c r="N152" s="2447"/>
      <c r="O152" s="2447"/>
      <c r="P152" s="2447"/>
      <c r="Q152" s="2447"/>
      <c r="R152" s="2466"/>
      <c r="S152" s="2466"/>
      <c r="T152" s="2466"/>
      <c r="U152" s="2466"/>
      <c r="V152" s="2466"/>
      <c r="W152" s="2466"/>
      <c r="X152" s="2466"/>
      <c r="Y152" s="2466"/>
      <c r="Z152" s="2466"/>
      <c r="AA152" s="2466"/>
    </row>
    <row r="153" spans="1:27" ht="24.95" customHeight="1">
      <c r="A153" s="2482"/>
      <c r="B153" s="2486"/>
      <c r="C153" s="2485"/>
      <c r="D153" s="2507"/>
      <c r="E153" s="2507"/>
      <c r="F153" s="2507"/>
      <c r="G153" s="2507"/>
      <c r="H153" s="2507"/>
      <c r="I153" s="2507"/>
      <c r="J153" s="2485"/>
      <c r="K153" s="2485"/>
      <c r="L153" s="2506"/>
      <c r="M153" s="2466"/>
      <c r="N153" s="2447"/>
      <c r="O153" s="2447"/>
      <c r="P153" s="2447"/>
      <c r="Q153" s="2447"/>
      <c r="R153" s="2466"/>
      <c r="S153" s="2466"/>
      <c r="T153" s="2466"/>
      <c r="U153" s="2466"/>
      <c r="V153" s="2466"/>
      <c r="W153" s="2466"/>
      <c r="X153" s="2466"/>
      <c r="Y153" s="2466"/>
      <c r="Z153" s="2466"/>
      <c r="AA153" s="2466"/>
    </row>
    <row r="154" spans="1:27" ht="24.95" customHeight="1">
      <c r="A154" s="2482"/>
      <c r="B154" s="2492"/>
      <c r="C154" s="2481" t="s">
        <v>5973</v>
      </c>
      <c r="D154" s="2505"/>
      <c r="E154" s="2494"/>
      <c r="F154" s="2494"/>
      <c r="G154" s="2494"/>
      <c r="H154" s="2494"/>
      <c r="I154" s="2494"/>
      <c r="J154" s="2480"/>
      <c r="K154" s="2480"/>
      <c r="L154" s="2490"/>
      <c r="M154" s="2466"/>
      <c r="N154" s="2447"/>
      <c r="O154" s="2447"/>
      <c r="P154" s="2447"/>
      <c r="Q154" s="2447"/>
      <c r="R154" s="2466"/>
      <c r="S154" s="2466"/>
      <c r="T154" s="2466"/>
      <c r="U154" s="2466"/>
      <c r="V154" s="2466"/>
      <c r="W154" s="2466"/>
      <c r="X154" s="2466"/>
      <c r="Y154" s="2466"/>
      <c r="Z154" s="2466"/>
      <c r="AA154" s="2466"/>
    </row>
    <row r="155" spans="1:27" ht="24.95" customHeight="1">
      <c r="A155" s="2482"/>
      <c r="B155" s="2478" t="s">
        <v>5963</v>
      </c>
      <c r="C155" s="2496" t="s">
        <v>5961</v>
      </c>
      <c r="D155" s="2505"/>
      <c r="E155" s="2494"/>
      <c r="F155" s="2494"/>
      <c r="G155" s="2494"/>
      <c r="H155" s="2494"/>
      <c r="I155" s="2494"/>
      <c r="J155" s="2480"/>
      <c r="K155" s="2480"/>
      <c r="L155" s="2490"/>
      <c r="M155" s="2466"/>
      <c r="N155" s="2447"/>
      <c r="O155" s="2447"/>
      <c r="P155" s="2447"/>
      <c r="Q155" s="2447"/>
      <c r="R155" s="2466"/>
      <c r="S155" s="2466"/>
      <c r="T155" s="2466"/>
      <c r="U155" s="2466"/>
      <c r="V155" s="2466"/>
      <c r="W155" s="2466"/>
      <c r="X155" s="2466"/>
      <c r="Y155" s="2466"/>
      <c r="Z155" s="2466"/>
      <c r="AA155" s="2466"/>
    </row>
    <row r="156" spans="1:27" ht="24.95" customHeight="1">
      <c r="A156" s="2482"/>
      <c r="B156" s="2478">
        <f>ROW()</f>
        <v>156</v>
      </c>
      <c r="C156" s="2504">
        <f ca="1">INT((C149-(DATE(YEAR(C149-WEEKDAY(C149-1)+4),1,3)-WEEKDAY(DATE(YEAR(C149 -WEEKDAY(C149-1)+4),1,3)))+5)/7)</f>
        <v>7</v>
      </c>
      <c r="D156" s="2503"/>
      <c r="E156" s="2494"/>
      <c r="F156" s="2494"/>
      <c r="G156" s="2494"/>
      <c r="H156" s="2494"/>
      <c r="I156" s="2494"/>
      <c r="J156" s="2480"/>
      <c r="K156" s="2480"/>
      <c r="L156" s="2490"/>
      <c r="M156" s="2466"/>
      <c r="N156" s="2447"/>
      <c r="O156" s="2447"/>
      <c r="P156" s="2447"/>
      <c r="Q156" s="2447"/>
      <c r="R156" s="2466"/>
      <c r="S156" s="2466"/>
      <c r="T156" s="2466"/>
      <c r="U156" s="2466"/>
      <c r="V156" s="2466"/>
      <c r="W156" s="2466"/>
      <c r="X156" s="2466"/>
      <c r="Y156" s="2466"/>
      <c r="Z156" s="2466"/>
      <c r="AA156" s="2466"/>
    </row>
    <row r="157" spans="1:27" ht="24.95" customHeight="1">
      <c r="A157" s="2482"/>
      <c r="B157" s="2492"/>
      <c r="C157" s="2477" t="str">
        <f ca="1">_xlfn.FORMULATEXT(C156)</f>
        <v>=ENT((C149-(DATE(ANNEE(C149-JOURSEM(C149-1)+4);1;3)-JOURSEM(DATE(ANNEE(C149 -JOURSEM(C149-1)+4);1;3)))+5)/7)</v>
      </c>
      <c r="D157" s="2494"/>
      <c r="E157" s="2494"/>
      <c r="F157" s="2494"/>
      <c r="G157" s="2494"/>
      <c r="H157" s="2494"/>
      <c r="I157" s="2494"/>
      <c r="J157" s="2480"/>
      <c r="K157" s="2480"/>
      <c r="L157" s="2490"/>
      <c r="M157" s="2466"/>
      <c r="N157" s="2447"/>
      <c r="O157" s="2447"/>
      <c r="P157" s="2447"/>
      <c r="Q157" s="2447"/>
      <c r="R157" s="2466"/>
      <c r="S157" s="2466"/>
      <c r="T157" s="2466"/>
      <c r="U157" s="2466"/>
      <c r="V157" s="2466"/>
      <c r="W157" s="2466"/>
      <c r="X157" s="2466"/>
      <c r="Y157" s="2466"/>
      <c r="Z157" s="2466"/>
      <c r="AA157" s="2466"/>
    </row>
    <row r="158" spans="1:27" ht="24.95" customHeight="1">
      <c r="A158" s="2482"/>
      <c r="B158" s="2492"/>
      <c r="C158" s="2482"/>
      <c r="D158" s="2482"/>
      <c r="E158" s="2494"/>
      <c r="F158" s="2494"/>
      <c r="G158" s="2494"/>
      <c r="H158" s="2494"/>
      <c r="I158" s="2494"/>
      <c r="J158" s="2480"/>
      <c r="K158" s="2480"/>
      <c r="L158" s="2490"/>
      <c r="M158" s="2466"/>
      <c r="N158" s="2466"/>
      <c r="O158" s="2466"/>
      <c r="P158" s="2466"/>
      <c r="Q158" s="2466"/>
      <c r="R158" s="2466"/>
      <c r="S158" s="2466"/>
      <c r="T158" s="2466"/>
      <c r="U158" s="2466"/>
      <c r="V158" s="2466"/>
      <c r="W158" s="2466"/>
      <c r="X158" s="2466"/>
      <c r="Y158" s="2466"/>
      <c r="Z158" s="2466"/>
      <c r="AA158" s="2466"/>
    </row>
    <row r="159" spans="1:27" ht="24.95" customHeight="1">
      <c r="A159" s="2482"/>
      <c r="B159" s="2478">
        <f>ROW()</f>
        <v>159</v>
      </c>
      <c r="C159" s="4942">
        <f ca="1">C156</f>
        <v>7</v>
      </c>
      <c r="D159" s="4942"/>
      <c r="E159" s="2494"/>
      <c r="F159" s="2494"/>
      <c r="G159" s="2494"/>
      <c r="H159" s="2494"/>
      <c r="I159" s="2494"/>
      <c r="J159" s="2499"/>
      <c r="K159" s="2480"/>
      <c r="L159" s="2490"/>
      <c r="M159" s="2466"/>
      <c r="N159" s="2466"/>
      <c r="O159" s="2466"/>
      <c r="P159" s="2466"/>
      <c r="Q159" s="2466"/>
      <c r="R159" s="2466"/>
      <c r="S159" s="2466"/>
      <c r="T159" s="2466"/>
      <c r="U159" s="2466"/>
      <c r="V159" s="2466"/>
      <c r="W159" s="2466"/>
      <c r="X159" s="2466"/>
      <c r="Y159" s="2466"/>
      <c r="Z159" s="2466"/>
      <c r="AA159" s="2466"/>
    </row>
    <row r="160" spans="1:27" ht="24.95" customHeight="1">
      <c r="A160" s="2482"/>
      <c r="B160" s="2492"/>
      <c r="C160" s="2477" t="str">
        <f ca="1">_xlfn.FORMULATEXT(C159)</f>
        <v>=C156</v>
      </c>
      <c r="D160" s="2502" t="s">
        <v>5972</v>
      </c>
      <c r="E160" s="2494"/>
      <c r="F160" s="2494"/>
      <c r="G160" s="2494"/>
      <c r="H160" s="2494"/>
      <c r="I160" s="2494"/>
      <c r="J160" s="2499"/>
      <c r="K160" s="2480"/>
      <c r="L160" s="2490"/>
      <c r="M160" s="2466"/>
      <c r="N160" s="2466"/>
      <c r="O160" s="2466"/>
      <c r="P160" s="2466"/>
      <c r="Q160" s="2466"/>
      <c r="R160" s="2466"/>
      <c r="S160" s="2466"/>
      <c r="T160" s="2466"/>
      <c r="U160" s="2466"/>
      <c r="V160" s="2466"/>
      <c r="W160" s="2466"/>
      <c r="X160" s="2466"/>
      <c r="Y160" s="2466"/>
      <c r="Z160" s="2466"/>
      <c r="AA160" s="2466"/>
    </row>
    <row r="161" spans="1:27" ht="24.95" customHeight="1" thickBot="1">
      <c r="A161" s="2482"/>
      <c r="B161" s="2489"/>
      <c r="C161" s="2488"/>
      <c r="D161" s="2501"/>
      <c r="E161" s="2501"/>
      <c r="F161" s="2501"/>
      <c r="G161" s="2501"/>
      <c r="H161" s="2501"/>
      <c r="I161" s="2501"/>
      <c r="J161" s="2500"/>
      <c r="K161" s="2488"/>
      <c r="L161" s="2487"/>
      <c r="M161" s="2466"/>
      <c r="N161" s="2466"/>
      <c r="O161" s="2466"/>
      <c r="P161" s="2466"/>
      <c r="Q161" s="2466"/>
      <c r="R161" s="2466"/>
      <c r="S161" s="2466"/>
      <c r="T161" s="2466"/>
      <c r="U161" s="2466"/>
      <c r="V161" s="2466"/>
      <c r="W161" s="2466"/>
      <c r="X161" s="2466"/>
      <c r="Y161" s="2466"/>
      <c r="Z161" s="2466"/>
      <c r="AA161" s="2466"/>
    </row>
    <row r="162" spans="1:27" ht="24.95" customHeight="1" thickBot="1">
      <c r="A162" s="2482"/>
      <c r="B162" s="2482"/>
      <c r="C162" s="2480"/>
      <c r="D162" s="2494"/>
      <c r="E162" s="2494"/>
      <c r="F162" s="2494"/>
      <c r="G162" s="2494"/>
      <c r="H162" s="2494"/>
      <c r="I162" s="2494"/>
      <c r="J162" s="2499"/>
      <c r="K162" s="2480"/>
      <c r="L162" s="2480"/>
      <c r="M162" s="2466"/>
      <c r="N162" s="2466"/>
      <c r="O162" s="2466"/>
      <c r="P162" s="2466"/>
      <c r="Q162" s="2466"/>
      <c r="R162" s="2466"/>
      <c r="S162" s="2466"/>
      <c r="T162" s="2466"/>
      <c r="U162" s="2466"/>
      <c r="V162" s="2466"/>
      <c r="W162" s="2466"/>
      <c r="X162" s="2466"/>
      <c r="Y162" s="2466"/>
      <c r="Z162" s="2466"/>
      <c r="AA162" s="2466"/>
    </row>
    <row r="163" spans="1:27" ht="24.95" customHeight="1">
      <c r="A163" s="2482"/>
      <c r="B163" s="2486"/>
      <c r="C163" s="2485"/>
      <c r="D163" s="2498"/>
      <c r="E163" s="2498"/>
      <c r="F163" s="2498"/>
      <c r="G163" s="2498"/>
      <c r="H163" s="2498"/>
      <c r="I163" s="2498"/>
      <c r="J163" s="2497"/>
      <c r="K163" s="2480"/>
      <c r="L163" s="2480"/>
      <c r="M163" s="2466"/>
      <c r="N163" s="2466"/>
      <c r="O163" s="2466"/>
      <c r="P163" s="2466"/>
      <c r="Q163" s="2466"/>
      <c r="R163" s="2466"/>
      <c r="S163" s="2466"/>
      <c r="T163" s="2466"/>
      <c r="U163" s="2466"/>
      <c r="V163" s="2466"/>
      <c r="W163" s="2466"/>
      <c r="X163" s="2466"/>
      <c r="Y163" s="2466"/>
      <c r="Z163" s="2466"/>
      <c r="AA163" s="2466"/>
    </row>
    <row r="164" spans="1:27" ht="24.95" customHeight="1">
      <c r="A164" s="2482"/>
      <c r="B164" s="2492"/>
      <c r="C164" s="2481" t="s">
        <v>5971</v>
      </c>
      <c r="D164" s="2480"/>
      <c r="E164" s="2480"/>
      <c r="F164" s="2480"/>
      <c r="G164" s="2480"/>
      <c r="H164" s="2480"/>
      <c r="I164" s="2480"/>
      <c r="J164" s="2490"/>
      <c r="K164" s="2480"/>
      <c r="L164" s="2480"/>
      <c r="M164" s="2466"/>
      <c r="N164" s="2466"/>
      <c r="O164" s="2466"/>
      <c r="P164" s="2466"/>
      <c r="Q164" s="2466"/>
      <c r="R164" s="2466"/>
      <c r="S164" s="2466"/>
      <c r="T164" s="2466"/>
      <c r="U164" s="2466"/>
      <c r="V164" s="2466"/>
      <c r="W164" s="2466"/>
      <c r="X164" s="2466"/>
      <c r="Y164" s="2466"/>
      <c r="Z164" s="2466"/>
      <c r="AA164" s="2466"/>
    </row>
    <row r="165" spans="1:27" ht="24.95" customHeight="1">
      <c r="A165" s="2482"/>
      <c r="B165" s="2478" t="s">
        <v>5963</v>
      </c>
      <c r="C165" s="2496" t="s">
        <v>5961</v>
      </c>
      <c r="D165" s="2494"/>
      <c r="E165" s="2480"/>
      <c r="F165" s="2480"/>
      <c r="G165" s="2480"/>
      <c r="H165" s="2480"/>
      <c r="I165" s="2480"/>
      <c r="J165" s="2490"/>
      <c r="K165" s="2480"/>
      <c r="L165" s="2480"/>
      <c r="M165" s="2466"/>
      <c r="N165" s="2466"/>
      <c r="O165" s="2466"/>
      <c r="P165" s="2466"/>
      <c r="Q165" s="2466"/>
      <c r="R165" s="2466"/>
      <c r="S165" s="2466"/>
      <c r="T165" s="2466"/>
      <c r="U165" s="2466"/>
      <c r="V165" s="2466"/>
      <c r="W165" s="2466"/>
      <c r="X165" s="2466"/>
      <c r="Y165" s="2466"/>
      <c r="Z165" s="2466"/>
      <c r="AA165" s="2466"/>
    </row>
    <row r="166" spans="1:27" ht="24.95" customHeight="1">
      <c r="A166" s="2482"/>
      <c r="B166" s="2478">
        <f>ROW()</f>
        <v>166</v>
      </c>
      <c r="C166" s="4943">
        <v>44140</v>
      </c>
      <c r="D166" s="4943"/>
      <c r="E166" s="2480"/>
      <c r="F166" s="2480"/>
      <c r="G166" s="2480"/>
      <c r="H166" s="2480"/>
      <c r="I166" s="2480"/>
      <c r="J166" s="2490"/>
      <c r="K166" s="2480"/>
      <c r="L166" s="2480"/>
      <c r="M166" s="2466"/>
      <c r="N166" s="2466"/>
      <c r="O166" s="2466"/>
      <c r="P166" s="2466"/>
      <c r="Q166" s="2466"/>
      <c r="R166" s="2466"/>
      <c r="S166" s="2466"/>
      <c r="T166" s="2466"/>
      <c r="U166" s="2466"/>
      <c r="V166" s="2466"/>
      <c r="W166" s="2466"/>
      <c r="X166" s="2466"/>
      <c r="Y166" s="2466"/>
      <c r="Z166" s="2466"/>
      <c r="AA166" s="2466"/>
    </row>
    <row r="167" spans="1:27" ht="24.95" customHeight="1">
      <c r="A167" s="2482"/>
      <c r="B167" s="2478">
        <f>ROW()</f>
        <v>167</v>
      </c>
      <c r="C167" s="4944">
        <f>DATE(YEAR(C166),MONTH(C166)+1,1)-WEEKDAY(DATE(YEAR(C166),MONTH(C166)+1,2))</f>
        <v>44162</v>
      </c>
      <c r="D167" s="4944"/>
      <c r="E167" s="2480"/>
      <c r="F167" s="2480"/>
      <c r="G167" s="2480"/>
      <c r="H167" s="2480"/>
      <c r="I167" s="2480"/>
      <c r="J167" s="2490"/>
      <c r="K167" s="2480"/>
      <c r="L167" s="2480"/>
      <c r="M167" s="2466"/>
      <c r="N167" s="2466"/>
      <c r="O167" s="2466"/>
      <c r="P167" s="2466"/>
      <c r="Q167" s="2466"/>
      <c r="R167" s="2466"/>
      <c r="S167" s="2466"/>
      <c r="T167" s="2466"/>
      <c r="U167" s="2466"/>
      <c r="V167" s="2466"/>
      <c r="W167" s="2466"/>
      <c r="X167" s="2466"/>
      <c r="Y167" s="2466"/>
      <c r="Z167" s="2466"/>
      <c r="AA167" s="2466"/>
    </row>
    <row r="168" spans="1:27" ht="24.95" customHeight="1">
      <c r="A168" s="2482"/>
      <c r="B168" s="2492"/>
      <c r="C168" s="2477" t="str">
        <f ca="1">_xlfn.FORMULATEXT(C167)</f>
        <v>=DATE(ANNEE(C166);MOIS(C166)+1;1)-JOURSEM(DATE(ANNEE(C166);MOIS(C166)+1;2))</v>
      </c>
      <c r="D168" s="2495"/>
      <c r="E168" s="2494"/>
      <c r="F168" s="2494"/>
      <c r="G168" s="2477"/>
      <c r="H168" s="2494"/>
      <c r="I168" s="2494"/>
      <c r="J168" s="2493"/>
      <c r="K168" s="2480"/>
      <c r="L168" s="2480"/>
      <c r="M168" s="2466"/>
      <c r="N168" s="2466"/>
      <c r="O168" s="2466"/>
      <c r="P168" s="2466"/>
      <c r="Q168" s="2466"/>
      <c r="R168" s="2466"/>
      <c r="S168" s="2466"/>
      <c r="T168" s="2466"/>
      <c r="U168" s="2466"/>
      <c r="V168" s="2466"/>
      <c r="W168" s="2466"/>
      <c r="X168" s="2466"/>
      <c r="Y168" s="2466"/>
      <c r="Z168" s="2466"/>
      <c r="AA168" s="2466"/>
    </row>
    <row r="169" spans="1:27" ht="24.95" customHeight="1">
      <c r="A169" s="2482"/>
      <c r="B169" s="2492"/>
      <c r="C169" s="2480"/>
      <c r="D169" s="2480"/>
      <c r="E169" s="2480"/>
      <c r="F169" s="2480"/>
      <c r="G169" s="2480"/>
      <c r="H169" s="2480"/>
      <c r="I169" s="2480"/>
      <c r="J169" s="2490"/>
      <c r="K169" s="2480"/>
      <c r="L169" s="2480"/>
      <c r="M169" s="2466"/>
      <c r="N169" s="2466"/>
      <c r="O169" s="2466"/>
      <c r="P169" s="2466"/>
      <c r="Q169" s="2466"/>
      <c r="R169" s="2466"/>
      <c r="S169" s="2466"/>
      <c r="T169" s="2466"/>
      <c r="U169" s="2466"/>
      <c r="V169" s="2466"/>
      <c r="W169" s="2466"/>
      <c r="X169" s="2466"/>
      <c r="Y169" s="2466"/>
      <c r="Z169" s="2466"/>
      <c r="AA169" s="2466"/>
    </row>
    <row r="170" spans="1:27" ht="24.95" customHeight="1">
      <c r="A170" s="2482"/>
      <c r="B170" s="2478">
        <f>ROW()</f>
        <v>170</v>
      </c>
      <c r="C170" s="4945">
        <f>DATE(YEAR(C166),MONTH(C166)+1,1)-WEEKDAY(DATE(YEAR(C166),MONTH(C166)+1,2))</f>
        <v>44162</v>
      </c>
      <c r="D170" s="4945"/>
      <c r="E170" s="4945"/>
      <c r="F170" s="4945"/>
      <c r="G170" s="2480"/>
      <c r="H170" s="2480"/>
      <c r="I170" s="2480"/>
      <c r="J170" s="2490"/>
      <c r="K170" s="2480"/>
      <c r="L170" s="2480"/>
      <c r="M170" s="2466"/>
      <c r="N170" s="2466"/>
      <c r="O170" s="2466"/>
      <c r="P170" s="2466"/>
      <c r="Q170" s="2466"/>
      <c r="R170" s="2466"/>
      <c r="S170" s="2466"/>
      <c r="T170" s="2466"/>
      <c r="U170" s="2466"/>
      <c r="V170" s="2466"/>
      <c r="W170" s="2466"/>
      <c r="X170" s="2466"/>
      <c r="Y170" s="2466"/>
      <c r="Z170" s="2466"/>
      <c r="AA170" s="2466"/>
    </row>
    <row r="171" spans="1:27" ht="24.95" customHeight="1">
      <c r="A171" s="2482"/>
      <c r="B171" s="2492"/>
      <c r="C171" s="2477" t="str">
        <f ca="1">_xlfn.FORMULATEXT(C170)</f>
        <v>=DATE(ANNEE(C166);MOIS(C166)+1;1)-JOURSEM(DATE(ANNEE(C166);MOIS(C166)+1;2))</v>
      </c>
      <c r="D171" s="2494"/>
      <c r="E171" s="2494"/>
      <c r="F171" s="2494"/>
      <c r="G171" s="2477"/>
      <c r="H171" s="2494"/>
      <c r="I171" s="2494"/>
      <c r="J171" s="2493"/>
      <c r="K171" s="2480"/>
      <c r="L171" s="2480"/>
      <c r="M171" s="2466"/>
      <c r="N171" s="2466"/>
      <c r="O171" s="2466"/>
      <c r="P171" s="2466"/>
      <c r="Q171" s="2466"/>
      <c r="R171" s="2466"/>
      <c r="S171" s="2466"/>
      <c r="T171" s="2466"/>
      <c r="U171" s="2466"/>
      <c r="V171" s="2466"/>
      <c r="W171" s="2466"/>
      <c r="X171" s="2466"/>
      <c r="Y171" s="2466"/>
      <c r="Z171" s="2466"/>
      <c r="AA171" s="2466"/>
    </row>
    <row r="172" spans="1:27" ht="24.95" customHeight="1">
      <c r="A172" s="2482"/>
      <c r="B172" s="2492"/>
      <c r="C172" s="2491" t="s">
        <v>5970</v>
      </c>
      <c r="D172" s="2491"/>
      <c r="E172" s="2491" t="s">
        <v>5969</v>
      </c>
      <c r="F172" s="2491"/>
      <c r="G172" s="2494"/>
      <c r="H172" s="2494"/>
      <c r="I172" s="2494"/>
      <c r="J172" s="2493"/>
      <c r="K172" s="2480"/>
      <c r="L172" s="2480"/>
      <c r="M172" s="2466"/>
      <c r="N172" s="2466"/>
      <c r="O172" s="2466"/>
      <c r="P172" s="2466"/>
      <c r="Q172" s="2466"/>
      <c r="R172" s="2466"/>
      <c r="S172" s="2466"/>
      <c r="T172" s="2466"/>
      <c r="U172" s="2466"/>
      <c r="V172" s="2466"/>
      <c r="W172" s="2466"/>
      <c r="X172" s="2466"/>
      <c r="Y172" s="2466"/>
      <c r="Z172" s="2466"/>
      <c r="AA172" s="2466"/>
    </row>
    <row r="173" spans="1:27" ht="24.95" customHeight="1">
      <c r="A173" s="2482"/>
      <c r="B173" s="2492"/>
      <c r="C173" s="2491" t="s">
        <v>5968</v>
      </c>
      <c r="D173" s="2491"/>
      <c r="E173" s="2491" t="s">
        <v>5967</v>
      </c>
      <c r="F173" s="2491"/>
      <c r="G173" s="2480"/>
      <c r="H173" s="2480"/>
      <c r="I173" s="2480"/>
      <c r="J173" s="2490"/>
      <c r="K173" s="2480"/>
      <c r="L173" s="2480"/>
      <c r="M173" s="2466"/>
      <c r="N173" s="2466"/>
      <c r="O173" s="2466"/>
      <c r="P173" s="2466"/>
      <c r="Q173" s="2466"/>
      <c r="R173" s="2466"/>
      <c r="S173" s="2466"/>
      <c r="T173" s="2466"/>
      <c r="U173" s="2466"/>
      <c r="V173" s="2466"/>
      <c r="W173" s="2466"/>
      <c r="X173" s="2466"/>
      <c r="Y173" s="2466"/>
      <c r="Z173" s="2466"/>
      <c r="AA173" s="2466"/>
    </row>
    <row r="174" spans="1:27" ht="24.95" customHeight="1">
      <c r="A174" s="2482"/>
      <c r="B174" s="2492"/>
      <c r="C174" s="2491" t="s">
        <v>5966</v>
      </c>
      <c r="D174" s="2491"/>
      <c r="E174" s="2491" t="s">
        <v>5965</v>
      </c>
      <c r="F174" s="2491"/>
      <c r="G174" s="2480"/>
      <c r="H174" s="2480"/>
      <c r="I174" s="2480"/>
      <c r="J174" s="2490"/>
      <c r="K174" s="2480"/>
      <c r="L174" s="2480"/>
      <c r="M174" s="2466"/>
      <c r="N174" s="2466"/>
      <c r="O174" s="2466"/>
      <c r="P174" s="2466"/>
      <c r="Q174" s="2466"/>
      <c r="R174" s="2466"/>
      <c r="S174" s="2466"/>
      <c r="T174" s="2466"/>
      <c r="U174" s="2466"/>
      <c r="V174" s="2466"/>
      <c r="W174" s="2466"/>
      <c r="X174" s="2466"/>
      <c r="Y174" s="2466"/>
      <c r="Z174" s="2466"/>
      <c r="AA174" s="2466"/>
    </row>
    <row r="175" spans="1:27" ht="24.95" customHeight="1">
      <c r="A175" s="2482"/>
      <c r="B175" s="2492"/>
      <c r="C175" s="2491" t="s">
        <v>5964</v>
      </c>
      <c r="D175" s="2491"/>
      <c r="E175" s="2491"/>
      <c r="F175" s="2491"/>
      <c r="G175" s="2480"/>
      <c r="H175" s="2480"/>
      <c r="I175" s="2480"/>
      <c r="J175" s="2490"/>
      <c r="K175" s="2480"/>
      <c r="L175" s="2480"/>
      <c r="M175" s="2466"/>
      <c r="N175" s="2466"/>
      <c r="O175" s="2466"/>
      <c r="P175" s="2466"/>
      <c r="Q175" s="2466"/>
      <c r="R175" s="2466"/>
      <c r="S175" s="2466"/>
      <c r="T175" s="2466"/>
      <c r="U175" s="2466"/>
      <c r="V175" s="2466"/>
      <c r="W175" s="2466"/>
      <c r="X175" s="2466"/>
      <c r="Y175" s="2466"/>
      <c r="Z175" s="2466"/>
      <c r="AA175" s="2466"/>
    </row>
    <row r="176" spans="1:27" ht="24.95" customHeight="1" thickBot="1">
      <c r="A176" s="2482"/>
      <c r="B176" s="2489"/>
      <c r="C176" s="2488"/>
      <c r="D176" s="2488"/>
      <c r="E176" s="2488"/>
      <c r="F176" s="2488"/>
      <c r="G176" s="2488"/>
      <c r="H176" s="2488"/>
      <c r="I176" s="2488"/>
      <c r="J176" s="2487"/>
      <c r="K176" s="2480"/>
      <c r="L176" s="2480"/>
      <c r="M176" s="2466"/>
      <c r="N176" s="2466"/>
      <c r="O176" s="2466"/>
      <c r="P176" s="2466"/>
      <c r="Q176" s="2466"/>
      <c r="R176" s="2466"/>
      <c r="S176" s="2466"/>
      <c r="T176" s="2466"/>
      <c r="U176" s="2466"/>
      <c r="V176" s="2466"/>
      <c r="W176" s="2466"/>
      <c r="X176" s="2466"/>
      <c r="Y176" s="2466"/>
      <c r="Z176" s="2466"/>
      <c r="AA176" s="2466"/>
    </row>
    <row r="177" spans="1:27" ht="24.95" customHeight="1" thickBot="1">
      <c r="A177" s="2482"/>
      <c r="B177" s="2482"/>
      <c r="C177" s="2480"/>
      <c r="D177" s="2480"/>
      <c r="E177" s="2480"/>
      <c r="F177" s="2480"/>
      <c r="G177" s="2480"/>
      <c r="H177" s="2480"/>
      <c r="I177" s="2480"/>
      <c r="J177" s="2480"/>
      <c r="K177" s="2480"/>
      <c r="L177" s="2480"/>
      <c r="M177" s="2466"/>
      <c r="N177" s="2466"/>
      <c r="O177" s="2466"/>
      <c r="P177" s="2466"/>
      <c r="Q177" s="2466"/>
      <c r="R177" s="2466"/>
      <c r="S177" s="2466"/>
      <c r="T177" s="2466"/>
      <c r="U177" s="2466"/>
      <c r="V177" s="2466"/>
      <c r="W177" s="2466"/>
      <c r="X177" s="2466"/>
      <c r="Y177" s="2466"/>
      <c r="Z177" s="2466"/>
      <c r="AA177" s="2466"/>
    </row>
    <row r="178" spans="1:27" ht="24.95" customHeight="1">
      <c r="A178" s="2482"/>
      <c r="B178" s="2486"/>
      <c r="C178" s="2485"/>
      <c r="D178" s="2485"/>
      <c r="E178" s="2485"/>
      <c r="F178" s="2485"/>
      <c r="G178" s="2485"/>
      <c r="H178" s="2485"/>
      <c r="I178" s="2485"/>
      <c r="J178" s="2485"/>
      <c r="K178" s="2485"/>
      <c r="L178" s="2485"/>
      <c r="M178" s="2484"/>
      <c r="N178" s="2483"/>
      <c r="O178" s="2466"/>
      <c r="P178" s="2466"/>
      <c r="Q178" s="2466"/>
      <c r="R178" s="2466"/>
      <c r="S178" s="2466"/>
      <c r="T178" s="2466"/>
      <c r="U178" s="2466"/>
      <c r="V178" s="2466"/>
      <c r="W178" s="2466"/>
      <c r="X178" s="2466"/>
      <c r="Y178" s="2466"/>
      <c r="Z178" s="2466"/>
      <c r="AA178" s="2466"/>
    </row>
    <row r="179" spans="1:27" ht="24.95" customHeight="1">
      <c r="A179" s="2482"/>
      <c r="B179" s="2478" t="s">
        <v>5963</v>
      </c>
      <c r="C179" s="2481" t="s">
        <v>5962</v>
      </c>
      <c r="D179" s="2466"/>
      <c r="E179" s="2466"/>
      <c r="F179" s="2466"/>
      <c r="G179" s="2466"/>
      <c r="H179" s="2466"/>
      <c r="I179" s="2466"/>
      <c r="J179" s="2466"/>
      <c r="K179" s="2466"/>
      <c r="L179" s="2480"/>
      <c r="M179" s="2466"/>
      <c r="N179" s="2479"/>
      <c r="O179" s="2463"/>
      <c r="P179" s="2463"/>
      <c r="Q179" s="2463"/>
      <c r="R179" s="2463"/>
      <c r="S179" s="2463"/>
      <c r="T179" s="2463"/>
      <c r="U179" s="2462"/>
      <c r="V179" s="2463"/>
      <c r="W179" s="2466"/>
      <c r="X179" s="2466"/>
      <c r="Y179" s="2466"/>
      <c r="Z179" s="2466"/>
      <c r="AA179" s="2466"/>
    </row>
    <row r="180" spans="1:27" ht="24.95" customHeight="1">
      <c r="A180" s="2442"/>
      <c r="B180" s="2478">
        <f>ROW()</f>
        <v>180</v>
      </c>
      <c r="C180" s="4935">
        <v>44190</v>
      </c>
      <c r="D180" s="4935"/>
      <c r="E180" s="2468"/>
      <c r="F180" s="2467"/>
      <c r="G180" s="2467"/>
      <c r="H180" s="2467"/>
      <c r="I180" s="2467"/>
      <c r="J180" s="1004"/>
      <c r="K180" s="2466"/>
      <c r="L180" s="2466"/>
      <c r="M180" s="2466"/>
      <c r="N180" s="2476"/>
      <c r="O180" s="2466"/>
      <c r="P180" s="2466"/>
      <c r="Q180" s="2466"/>
      <c r="R180" s="2466"/>
      <c r="S180" s="2466"/>
      <c r="T180" s="2466"/>
      <c r="U180" s="2466"/>
      <c r="V180" s="2466"/>
      <c r="W180" s="2466"/>
      <c r="X180" s="2466"/>
      <c r="Y180" s="2466"/>
      <c r="Z180" s="2466"/>
      <c r="AA180" s="2466"/>
    </row>
    <row r="181" spans="1:27" ht="24.95" customHeight="1">
      <c r="A181" s="2442"/>
      <c r="B181" s="2478">
        <f>ROW()</f>
        <v>181</v>
      </c>
      <c r="C181" s="4936">
        <f>DATE(YEAR(C180),MONTH(C180)+1,1)-MOD(DATE(YEAR(C180),MONTH(C180)+1,1)+5,7)-3</f>
        <v>44190</v>
      </c>
      <c r="D181" s="4936"/>
      <c r="E181" s="2468"/>
      <c r="F181" s="2467"/>
      <c r="G181" s="2477" t="str">
        <f ca="1">_xlfn.FORMULATEXT(C181)</f>
        <v>=DATE(ANNEE(C180);MOIS(C180)+1;1)-MOD(DATE(ANNEE(C180);MOIS(C180)+1;1)+5;7)-3</v>
      </c>
      <c r="H181" s="2467"/>
      <c r="I181" s="2467"/>
      <c r="J181" s="1004"/>
      <c r="K181" s="2466"/>
      <c r="L181" s="2466"/>
      <c r="M181" s="2466"/>
      <c r="N181" s="2476"/>
      <c r="O181" s="2466"/>
      <c r="P181" s="2466"/>
      <c r="Q181" s="2466"/>
      <c r="R181" s="2466"/>
      <c r="S181" s="2466"/>
      <c r="T181" s="2466"/>
      <c r="U181" s="2466"/>
      <c r="V181" s="2466"/>
      <c r="W181" s="2466"/>
      <c r="X181" s="2466"/>
      <c r="Y181" s="2466"/>
      <c r="Z181" s="2466"/>
      <c r="AA181" s="2466"/>
    </row>
    <row r="182" spans="1:27" ht="24.95" customHeight="1">
      <c r="A182" s="2442"/>
      <c r="B182" s="2478">
        <f>ROW()</f>
        <v>182</v>
      </c>
      <c r="C182" s="4937">
        <f>DATE(YEAR(C180),MONTH(C180)+1,1)-MOD(DATE(YEAR(C180),MONTH(C180)+1,1)+5,7)-3</f>
        <v>44190</v>
      </c>
      <c r="D182" s="4937"/>
      <c r="E182" s="4937"/>
      <c r="F182" s="2467"/>
      <c r="G182" s="2477" t="str">
        <f ca="1">_xlfn.FORMULATEXT(C182)</f>
        <v>=DATE(ANNEE(C180);MOIS(C180)+1;1)-MOD(DATE(ANNEE(C180);MOIS(C180)+1;1)+5;7)-3</v>
      </c>
      <c r="H182" s="2467"/>
      <c r="I182" s="2467"/>
      <c r="J182" s="1004"/>
      <c r="K182" s="2466"/>
      <c r="L182" s="2466"/>
      <c r="M182" s="2466"/>
      <c r="N182" s="2476"/>
      <c r="O182" s="2466"/>
      <c r="P182" s="2466"/>
      <c r="Q182" s="2466"/>
      <c r="R182" s="2466"/>
      <c r="S182" s="2466"/>
      <c r="T182" s="2466"/>
      <c r="U182" s="2466"/>
      <c r="V182" s="2466"/>
      <c r="W182" s="2466"/>
      <c r="X182" s="2466"/>
      <c r="Y182" s="2466"/>
      <c r="Z182" s="2466"/>
      <c r="AA182" s="2466"/>
    </row>
    <row r="183" spans="1:27" ht="24.95" customHeight="1" thickBot="1">
      <c r="A183" s="2442"/>
      <c r="B183" s="2475"/>
      <c r="C183" s="2474" t="s">
        <v>5961</v>
      </c>
      <c r="D183" s="2473"/>
      <c r="E183" s="2473"/>
      <c r="F183" s="2472"/>
      <c r="G183" s="2472"/>
      <c r="H183" s="2472"/>
      <c r="I183" s="2472"/>
      <c r="J183" s="2471"/>
      <c r="K183" s="2470"/>
      <c r="L183" s="2470"/>
      <c r="M183" s="2470"/>
      <c r="N183" s="2469"/>
      <c r="O183" s="2466"/>
      <c r="P183" s="2466"/>
      <c r="Q183" s="2466"/>
      <c r="R183" s="2466"/>
      <c r="S183" s="2466"/>
      <c r="T183" s="2466"/>
      <c r="U183" s="2466"/>
      <c r="V183" s="2466"/>
      <c r="W183" s="2466"/>
      <c r="X183" s="2466"/>
      <c r="Y183" s="2466"/>
      <c r="Z183" s="2466"/>
      <c r="AA183" s="2466"/>
    </row>
    <row r="184" spans="1:27" ht="24.95" customHeight="1">
      <c r="A184" s="2442"/>
      <c r="B184" s="2455"/>
      <c r="C184" s="2466"/>
      <c r="D184" s="2468"/>
      <c r="E184" s="2468"/>
      <c r="F184" s="2467"/>
      <c r="G184" s="2467"/>
      <c r="H184" s="2467"/>
      <c r="I184" s="2467"/>
      <c r="J184" s="1004"/>
      <c r="K184" s="2466"/>
      <c r="L184" s="2466"/>
      <c r="M184" s="2466"/>
      <c r="N184" s="2466"/>
      <c r="O184" s="2466"/>
      <c r="P184" s="2466"/>
      <c r="Q184" s="2466"/>
      <c r="R184" s="2466"/>
      <c r="S184" s="2466"/>
      <c r="T184" s="2466"/>
      <c r="U184" s="2466"/>
      <c r="V184" s="2466"/>
      <c r="W184" s="2466"/>
      <c r="X184" s="2466"/>
      <c r="Y184" s="2466"/>
      <c r="Z184" s="2466"/>
      <c r="AA184" s="2466"/>
    </row>
    <row r="185" spans="1:27" ht="24.95" customHeight="1">
      <c r="A185" s="2442"/>
      <c r="B185" s="2455"/>
      <c r="C185" s="2466"/>
      <c r="D185" s="2468"/>
      <c r="E185" s="2468"/>
      <c r="F185" s="2467"/>
      <c r="G185" s="2467"/>
      <c r="H185" s="2467"/>
      <c r="I185" s="2467"/>
      <c r="J185" s="1004"/>
      <c r="K185" s="2466"/>
      <c r="L185" s="2466"/>
      <c r="M185" s="2466"/>
      <c r="N185" s="2466"/>
      <c r="O185" s="2466"/>
      <c r="P185" s="2466"/>
      <c r="Q185" s="2466"/>
      <c r="R185" s="2466"/>
      <c r="S185" s="2466"/>
      <c r="T185" s="2466"/>
      <c r="U185" s="2466"/>
      <c r="V185" s="2466"/>
      <c r="W185" s="2466"/>
      <c r="X185" s="2466"/>
      <c r="Y185" s="2466"/>
      <c r="Z185" s="2466"/>
      <c r="AA185" s="2466"/>
    </row>
    <row r="186" spans="1:27" ht="24.95" customHeight="1">
      <c r="A186" s="2442"/>
      <c r="B186" s="2455"/>
      <c r="C186" s="2466"/>
      <c r="D186" s="2468"/>
      <c r="E186" s="2468"/>
      <c r="F186" s="2467"/>
      <c r="G186" s="2467"/>
      <c r="H186" s="2467"/>
      <c r="I186" s="2467"/>
      <c r="J186" s="1004"/>
      <c r="K186" s="2466"/>
      <c r="L186" s="2466"/>
      <c r="M186" s="2466"/>
      <c r="N186" s="2466"/>
      <c r="O186" s="2466"/>
      <c r="P186" s="2466"/>
      <c r="Q186" s="2466"/>
      <c r="R186" s="2466"/>
      <c r="S186" s="2466"/>
      <c r="T186" s="2466"/>
      <c r="U186" s="2466"/>
      <c r="V186" s="2466"/>
      <c r="W186" s="2466"/>
      <c r="X186" s="2466"/>
      <c r="Y186" s="2466"/>
      <c r="Z186" s="2466"/>
      <c r="AA186" s="2466"/>
    </row>
    <row r="187" spans="1:27" ht="24.95" customHeight="1">
      <c r="A187" s="1026"/>
      <c r="B187" s="1025"/>
      <c r="C187" s="1021"/>
      <c r="D187" s="1024"/>
      <c r="E187" s="1024"/>
      <c r="F187" s="1023"/>
      <c r="G187" s="1023"/>
      <c r="H187" s="1023"/>
      <c r="I187" s="1023"/>
      <c r="J187" s="1022"/>
      <c r="K187" s="1021"/>
      <c r="L187" s="1021"/>
      <c r="M187" s="1021"/>
      <c r="N187" s="1021"/>
      <c r="O187" s="1021"/>
      <c r="P187" s="1021"/>
      <c r="Q187" s="1021"/>
      <c r="R187" s="1021"/>
      <c r="S187" s="1021"/>
      <c r="T187" s="1021"/>
      <c r="U187" s="1021"/>
      <c r="V187" s="1021"/>
      <c r="W187" s="1021"/>
      <c r="X187" s="1021"/>
      <c r="Y187" s="1021"/>
      <c r="Z187" s="1021"/>
      <c r="AA187" s="1021"/>
    </row>
    <row r="188" spans="1:27" ht="24.95" customHeight="1">
      <c r="A188" s="2442"/>
      <c r="B188" s="2455"/>
      <c r="C188" s="2466"/>
      <c r="D188" s="2468"/>
      <c r="E188" s="2468"/>
      <c r="F188" s="2467"/>
      <c r="G188" s="2467"/>
      <c r="H188" s="2467"/>
      <c r="I188" s="2467"/>
      <c r="J188" s="1004"/>
      <c r="K188" s="2466"/>
      <c r="L188" s="2466"/>
      <c r="M188" s="2466"/>
      <c r="N188" s="2466"/>
      <c r="O188" s="2466"/>
      <c r="P188" s="2466"/>
      <c r="Q188" s="2466"/>
      <c r="R188" s="2463"/>
      <c r="S188" s="2463"/>
      <c r="T188" s="2463"/>
      <c r="U188" s="2463"/>
      <c r="V188" s="2463"/>
      <c r="W188" s="2463"/>
      <c r="X188" s="2463"/>
      <c r="Y188" s="2462"/>
      <c r="Z188" s="2463"/>
      <c r="AA188" s="2462"/>
    </row>
    <row r="189" spans="1:27" s="1487" customFormat="1" ht="24.95" customHeight="1">
      <c r="A189" s="2464"/>
      <c r="B189" s="2465"/>
      <c r="C189" s="1094"/>
      <c r="D189" s="2464"/>
      <c r="E189" s="1094"/>
      <c r="F189" s="2464"/>
      <c r="G189" s="2464"/>
      <c r="H189" s="2440"/>
      <c r="I189" s="2440"/>
      <c r="J189" s="2440"/>
      <c r="K189" s="2440"/>
      <c r="L189" s="2440"/>
      <c r="M189" s="2440"/>
      <c r="N189" s="2463"/>
      <c r="O189" s="2463"/>
      <c r="P189" s="2463"/>
      <c r="Q189" s="2463"/>
      <c r="R189" s="2463"/>
      <c r="S189" s="2463"/>
      <c r="T189" s="2463"/>
      <c r="U189" s="2463"/>
      <c r="V189" s="2463"/>
      <c r="W189" s="2463"/>
      <c r="X189" s="2463"/>
      <c r="Y189" s="2462"/>
      <c r="Z189" s="2463"/>
      <c r="AA189" s="2462"/>
    </row>
    <row r="190" spans="1:27" s="1487" customFormat="1" ht="24.95" customHeight="1">
      <c r="A190" s="2464"/>
      <c r="B190" s="2465"/>
      <c r="C190" s="1094"/>
      <c r="D190" s="2464"/>
      <c r="E190" s="1094"/>
      <c r="F190" s="2464"/>
      <c r="G190" s="2464"/>
      <c r="H190" s="2440"/>
      <c r="I190" s="2440"/>
      <c r="J190" s="2440"/>
      <c r="K190" s="2440"/>
      <c r="L190" s="2440"/>
      <c r="M190" s="2440"/>
      <c r="N190" s="2463"/>
      <c r="O190" s="2463"/>
      <c r="P190" s="2463"/>
      <c r="Q190" s="2463"/>
      <c r="R190" s="2463"/>
      <c r="S190" s="2463"/>
      <c r="T190" s="2463"/>
      <c r="U190" s="2463"/>
      <c r="V190" s="2463"/>
      <c r="W190" s="2463"/>
      <c r="X190" s="2463"/>
      <c r="Y190" s="2462"/>
      <c r="Z190" s="2463"/>
      <c r="AA190" s="2462"/>
    </row>
    <row r="191" spans="1:27" s="1487" customFormat="1" ht="24.95" customHeight="1">
      <c r="A191" s="2464"/>
      <c r="B191" s="2465"/>
      <c r="C191" s="1094"/>
      <c r="D191" s="2464"/>
      <c r="E191" s="1094"/>
      <c r="F191" s="2464"/>
      <c r="G191" s="2464"/>
      <c r="H191" s="2440"/>
      <c r="I191" s="2440"/>
      <c r="J191" s="2440"/>
      <c r="K191" s="2440"/>
      <c r="L191" s="2440"/>
      <c r="M191" s="2440"/>
      <c r="N191" s="2463"/>
      <c r="O191" s="2463"/>
      <c r="P191" s="2463"/>
      <c r="Q191" s="2463"/>
      <c r="R191" s="2463"/>
      <c r="S191" s="2463"/>
      <c r="T191" s="2463"/>
      <c r="U191" s="2463"/>
      <c r="V191" s="2463"/>
      <c r="W191" s="2463"/>
      <c r="X191" s="2463"/>
      <c r="Y191" s="2462"/>
      <c r="Z191" s="2463"/>
      <c r="AA191" s="2462"/>
    </row>
    <row r="192" spans="1:27" s="1487" customFormat="1" ht="24.95" customHeight="1">
      <c r="A192" s="2464"/>
      <c r="B192" s="2465"/>
      <c r="C192" s="1094"/>
      <c r="D192" s="2464"/>
      <c r="E192" s="1094"/>
      <c r="F192" s="2464"/>
      <c r="G192" s="2464"/>
      <c r="H192" s="2440"/>
      <c r="I192" s="2440"/>
      <c r="J192" s="2440"/>
      <c r="K192" s="2440"/>
      <c r="L192" s="2440"/>
      <c r="M192" s="2440"/>
      <c r="N192" s="2463"/>
      <c r="O192" s="2463"/>
      <c r="P192" s="2463"/>
      <c r="Q192" s="2463"/>
      <c r="R192" s="2463"/>
      <c r="S192" s="2463"/>
      <c r="T192" s="2463"/>
      <c r="U192" s="2463"/>
      <c r="V192" s="2463"/>
      <c r="W192" s="2463"/>
      <c r="X192" s="2463"/>
      <c r="Y192" s="2462"/>
      <c r="Z192" s="2463"/>
      <c r="AA192" s="2462"/>
    </row>
    <row r="193" spans="1:27" s="1487" customFormat="1" ht="24.95" customHeight="1">
      <c r="A193" s="2464"/>
      <c r="B193" s="2465"/>
      <c r="C193" s="1094"/>
      <c r="D193" s="2464"/>
      <c r="E193" s="1094"/>
      <c r="F193" s="2464"/>
      <c r="G193" s="2464"/>
      <c r="H193" s="2440"/>
      <c r="I193" s="2440"/>
      <c r="J193" s="2440"/>
      <c r="K193" s="2440"/>
      <c r="L193" s="2440"/>
      <c r="M193" s="2440"/>
      <c r="N193" s="2463"/>
      <c r="O193" s="2463"/>
      <c r="P193" s="2463"/>
      <c r="Q193" s="2463"/>
      <c r="R193" s="2463"/>
      <c r="S193" s="2463"/>
      <c r="T193" s="2463"/>
      <c r="U193" s="2463"/>
      <c r="V193" s="2463"/>
      <c r="W193" s="2463"/>
      <c r="X193" s="2463"/>
      <c r="Y193" s="2462"/>
      <c r="Z193" s="2463"/>
      <c r="AA193" s="2462"/>
    </row>
    <row r="194" spans="1:27" s="1487" customFormat="1" ht="24.95" customHeight="1">
      <c r="A194" s="2464"/>
      <c r="B194" s="2465"/>
      <c r="C194" s="1094"/>
      <c r="D194" s="2464"/>
      <c r="E194" s="1094"/>
      <c r="F194" s="2464"/>
      <c r="G194" s="2464"/>
      <c r="H194" s="2440"/>
      <c r="I194" s="2440"/>
      <c r="J194" s="2440"/>
      <c r="K194" s="2440"/>
      <c r="L194" s="2440"/>
      <c r="M194" s="2440"/>
      <c r="N194" s="2463"/>
      <c r="O194" s="2463"/>
      <c r="P194" s="2463"/>
      <c r="Q194" s="2463"/>
      <c r="R194" s="2463"/>
      <c r="S194" s="2463"/>
      <c r="T194" s="2463"/>
      <c r="U194" s="2463"/>
      <c r="V194" s="2463"/>
      <c r="W194" s="2463"/>
      <c r="X194" s="2463"/>
      <c r="Y194" s="2462"/>
      <c r="Z194" s="2463"/>
      <c r="AA194" s="2462"/>
    </row>
    <row r="195" spans="1:27" s="1487" customFormat="1" ht="24.95" customHeight="1">
      <c r="A195" s="2464"/>
      <c r="B195" s="2465"/>
      <c r="C195" s="1094" t="s">
        <v>5960</v>
      </c>
      <c r="D195" s="2464"/>
      <c r="E195" s="1094"/>
      <c r="F195" s="2464"/>
      <c r="G195" s="2464"/>
      <c r="H195" s="2440"/>
      <c r="I195" s="2440"/>
      <c r="J195" s="2440"/>
      <c r="K195" s="2440"/>
      <c r="L195" s="2440"/>
      <c r="M195" s="2440"/>
      <c r="N195" s="2463"/>
      <c r="O195" s="2463"/>
      <c r="P195" s="2463"/>
      <c r="Q195" s="2463"/>
      <c r="R195" s="2463"/>
      <c r="S195" s="2463"/>
      <c r="T195" s="2463"/>
      <c r="U195" s="2463"/>
      <c r="V195" s="2463"/>
      <c r="W195" s="2463"/>
      <c r="X195" s="2463"/>
      <c r="Y195" s="2462"/>
      <c r="Z195" s="2463"/>
      <c r="AA195" s="2462"/>
    </row>
    <row r="196" spans="1:27" s="1487" customFormat="1" ht="24.95" customHeight="1">
      <c r="A196" s="2464"/>
      <c r="B196" s="2465"/>
      <c r="C196" s="1094" t="s">
        <v>5959</v>
      </c>
      <c r="D196" s="2464"/>
      <c r="E196" s="1094"/>
      <c r="F196" s="2464"/>
      <c r="G196" s="2464"/>
      <c r="H196" s="2440"/>
      <c r="I196" s="2440"/>
      <c r="J196" s="2440"/>
      <c r="K196" s="2440"/>
      <c r="L196" s="2440"/>
      <c r="M196" s="2440"/>
      <c r="N196" s="2463"/>
      <c r="O196" s="2463"/>
      <c r="P196" s="2463"/>
      <c r="Q196" s="2463"/>
      <c r="R196" s="2463"/>
      <c r="S196" s="2463"/>
      <c r="T196" s="2463"/>
      <c r="U196" s="2463"/>
      <c r="V196" s="2463"/>
      <c r="W196" s="2463"/>
      <c r="X196" s="2463"/>
      <c r="Y196" s="2462"/>
      <c r="Z196" s="2463"/>
      <c r="AA196" s="2462"/>
    </row>
    <row r="197" spans="1:27" s="1487" customFormat="1" ht="24.95" customHeight="1">
      <c r="A197" s="2464"/>
      <c r="B197" s="2465"/>
      <c r="C197" s="1094" t="s">
        <v>5958</v>
      </c>
      <c r="D197" s="2464"/>
      <c r="E197" s="1094"/>
      <c r="F197" s="2464"/>
      <c r="G197" s="2464"/>
      <c r="H197" s="2440"/>
      <c r="I197" s="2440"/>
      <c r="J197" s="2440"/>
      <c r="K197" s="2440"/>
      <c r="L197" s="2440"/>
      <c r="M197" s="2440"/>
      <c r="N197" s="2463"/>
      <c r="O197" s="2463"/>
      <c r="P197" s="2463"/>
      <c r="Q197" s="2463"/>
      <c r="R197" s="2463"/>
      <c r="S197" s="2463"/>
      <c r="T197" s="2463"/>
      <c r="U197" s="2463"/>
      <c r="V197" s="2463"/>
      <c r="W197" s="2463"/>
      <c r="X197" s="2463"/>
      <c r="Y197" s="2462"/>
      <c r="Z197" s="2463"/>
      <c r="AA197" s="2462"/>
    </row>
    <row r="198" spans="1:27" s="1487" customFormat="1" ht="24.95" customHeight="1">
      <c r="A198" s="2464"/>
      <c r="B198" s="2465"/>
      <c r="C198" s="1094" t="s">
        <v>5957</v>
      </c>
      <c r="D198" s="2464"/>
      <c r="E198" s="1094"/>
      <c r="F198" s="2464"/>
      <c r="G198" s="2464"/>
      <c r="H198" s="2440"/>
      <c r="I198" s="2440"/>
      <c r="J198" s="2440"/>
      <c r="K198" s="2440"/>
      <c r="L198" s="2440"/>
      <c r="M198" s="2440"/>
      <c r="N198" s="2463"/>
      <c r="O198" s="2463"/>
      <c r="P198" s="2463"/>
      <c r="Q198" s="2463"/>
      <c r="R198" s="2463"/>
      <c r="S198" s="2463"/>
      <c r="T198" s="2463"/>
      <c r="U198" s="2463"/>
      <c r="V198" s="2463"/>
      <c r="W198" s="2463"/>
      <c r="X198" s="2463"/>
      <c r="Y198" s="2462"/>
      <c r="Z198" s="2463"/>
      <c r="AA198" s="2462"/>
    </row>
    <row r="199" spans="1:27" ht="24.95" customHeight="1">
      <c r="A199" s="2442"/>
      <c r="B199" s="2455"/>
      <c r="C199" s="2454"/>
      <c r="D199" s="2453"/>
      <c r="E199" s="2452"/>
      <c r="F199" s="2451"/>
      <c r="G199" s="2450"/>
      <c r="H199" s="2450"/>
      <c r="I199" s="2450"/>
      <c r="J199" s="2449"/>
      <c r="K199" s="2448"/>
      <c r="L199" s="2447"/>
      <c r="M199" s="2447"/>
      <c r="N199" s="2447"/>
      <c r="O199" s="2447"/>
      <c r="P199" s="2447"/>
      <c r="Q199" s="2446"/>
      <c r="R199" s="2443"/>
      <c r="S199" s="2445"/>
      <c r="T199" s="2444"/>
      <c r="U199" s="2443"/>
      <c r="V199" s="2440"/>
      <c r="W199" s="2440"/>
      <c r="X199" s="2442"/>
      <c r="Y199" s="2442"/>
      <c r="Z199" s="2442"/>
      <c r="AA199" s="2442"/>
    </row>
    <row r="200" spans="1:27" ht="24.95" customHeight="1">
      <c r="A200" s="2442"/>
      <c r="B200" s="2455"/>
      <c r="C200" s="2454"/>
      <c r="D200" s="2453"/>
      <c r="E200" s="2452"/>
      <c r="F200" s="2451"/>
      <c r="G200" s="2450"/>
      <c r="H200" s="2450"/>
      <c r="I200" s="2450"/>
      <c r="J200" s="2449"/>
      <c r="K200" s="2448"/>
      <c r="L200" s="2447"/>
      <c r="M200" s="2447"/>
      <c r="N200" s="2447"/>
      <c r="O200" s="2447"/>
      <c r="P200" s="2447"/>
      <c r="Q200" s="2446"/>
      <c r="R200" s="2443"/>
      <c r="S200" s="2445"/>
      <c r="T200" s="2444"/>
      <c r="U200" s="2443"/>
      <c r="V200" s="2440"/>
      <c r="W200" s="2440"/>
      <c r="X200" s="2442"/>
      <c r="Y200" s="2442"/>
      <c r="Z200" s="2442"/>
      <c r="AA200" s="2442"/>
    </row>
    <row r="201" spans="1:27" ht="24.95" customHeight="1">
      <c r="A201" s="2442"/>
      <c r="B201" s="2455"/>
      <c r="C201" s="2454"/>
      <c r="D201" s="2453"/>
      <c r="E201" s="2452"/>
      <c r="F201" s="2451"/>
      <c r="G201" s="2450"/>
      <c r="H201" s="2450"/>
      <c r="I201" s="2450"/>
      <c r="J201" s="2449"/>
      <c r="K201" s="2448"/>
      <c r="L201" s="2447"/>
      <c r="M201" s="2447"/>
      <c r="N201" s="2447"/>
      <c r="O201" s="2447"/>
      <c r="P201" s="2447"/>
      <c r="Q201" s="2446"/>
      <c r="R201" s="2443"/>
      <c r="S201" s="2445"/>
      <c r="T201" s="2444"/>
      <c r="U201" s="2443"/>
      <c r="V201" s="2440"/>
      <c r="W201" s="2440"/>
      <c r="X201" s="2442"/>
      <c r="Y201" s="2442"/>
      <c r="Z201" s="2442"/>
      <c r="AA201" s="2442"/>
    </row>
    <row r="202" spans="1:27" ht="24.95" customHeight="1">
      <c r="A202" s="2442"/>
      <c r="B202" s="2455"/>
      <c r="C202" s="2454"/>
      <c r="D202" s="2453"/>
      <c r="E202" s="2452"/>
      <c r="F202" s="2451"/>
      <c r="G202" s="2450"/>
      <c r="H202" s="2450"/>
      <c r="I202" s="2450"/>
      <c r="J202" s="2449"/>
      <c r="K202" s="2448"/>
      <c r="L202" s="2447"/>
      <c r="M202" s="2447"/>
      <c r="N202" s="2447"/>
      <c r="O202" s="2447"/>
      <c r="P202" s="2447"/>
      <c r="Q202" s="2446"/>
      <c r="R202" s="2443"/>
      <c r="S202" s="2445"/>
      <c r="T202" s="2444"/>
      <c r="U202" s="2443"/>
      <c r="V202" s="2440"/>
      <c r="W202" s="2440"/>
      <c r="X202" s="2442"/>
      <c r="Y202" s="2442"/>
      <c r="Z202" s="2442"/>
      <c r="AA202" s="2442"/>
    </row>
    <row r="203" spans="1:27" ht="24.95" customHeight="1">
      <c r="A203" s="2442"/>
      <c r="B203" s="2455"/>
      <c r="C203" s="2454"/>
      <c r="D203" s="2453"/>
      <c r="E203" s="2452"/>
      <c r="F203" s="2451"/>
      <c r="G203" s="2450"/>
      <c r="H203" s="2450"/>
      <c r="I203" s="2450"/>
      <c r="J203" s="2449"/>
      <c r="K203" s="2448"/>
      <c r="L203" s="2447"/>
      <c r="M203" s="2447"/>
      <c r="N203" s="2447"/>
      <c r="O203" s="2447"/>
      <c r="P203" s="2447"/>
      <c r="Q203" s="2446"/>
      <c r="R203" s="2443"/>
      <c r="S203" s="2445"/>
      <c r="T203" s="2444"/>
      <c r="U203" s="2443"/>
      <c r="V203" s="2440"/>
      <c r="W203" s="2440"/>
      <c r="X203" s="2442"/>
      <c r="Y203" s="2442"/>
      <c r="Z203" s="2442"/>
      <c r="AA203" s="2442"/>
    </row>
    <row r="204" spans="1:27" ht="24.95" customHeight="1">
      <c r="A204" s="2442"/>
      <c r="B204" s="2455"/>
      <c r="C204" s="2454"/>
      <c r="D204" s="2453"/>
      <c r="E204" s="2452"/>
      <c r="F204" s="2451"/>
      <c r="G204" s="2450"/>
      <c r="H204" s="2450"/>
      <c r="I204" s="2450"/>
      <c r="J204" s="2449"/>
      <c r="K204" s="2448"/>
      <c r="L204" s="2447"/>
      <c r="M204" s="2447"/>
      <c r="N204" s="2447"/>
      <c r="O204" s="2447"/>
      <c r="P204" s="2447"/>
      <c r="Q204" s="2446"/>
      <c r="R204" s="2443"/>
      <c r="S204" s="2445"/>
      <c r="T204" s="2444"/>
      <c r="U204" s="2443"/>
      <c r="V204" s="2440"/>
      <c r="W204" s="2440"/>
      <c r="X204" s="2442"/>
      <c r="Y204" s="2442"/>
      <c r="Z204" s="2442"/>
      <c r="AA204" s="2442"/>
    </row>
    <row r="205" spans="1:27" ht="24.95" customHeight="1">
      <c r="A205" s="2442"/>
      <c r="B205" s="2455"/>
      <c r="C205" s="2454"/>
      <c r="D205" s="2453"/>
      <c r="E205" s="2452"/>
      <c r="F205" s="2451"/>
      <c r="G205" s="2450"/>
      <c r="H205" s="2450"/>
      <c r="I205" s="2450"/>
      <c r="J205" s="2449"/>
      <c r="K205" s="2448"/>
      <c r="L205" s="2447"/>
      <c r="M205" s="2447"/>
      <c r="N205" s="2447"/>
      <c r="O205" s="2447"/>
      <c r="P205" s="2447"/>
      <c r="Q205" s="2446"/>
      <c r="R205" s="2443"/>
      <c r="S205" s="2445"/>
      <c r="T205" s="2444"/>
      <c r="U205" s="2443"/>
      <c r="V205" s="2440"/>
      <c r="W205" s="2440"/>
      <c r="X205" s="2442"/>
      <c r="Y205" s="2442"/>
      <c r="Z205" s="2442"/>
      <c r="AA205" s="2442"/>
    </row>
    <row r="206" spans="1:27" ht="24.95" customHeight="1">
      <c r="A206" s="2442"/>
      <c r="B206" s="2455"/>
      <c r="C206" s="2454"/>
      <c r="D206" s="2453"/>
      <c r="E206" s="2452"/>
      <c r="F206" s="2451"/>
      <c r="G206" s="2450"/>
      <c r="H206" s="2450"/>
      <c r="I206" s="2450"/>
      <c r="J206" s="2449"/>
      <c r="K206" s="2461" t="s">
        <v>5956</v>
      </c>
      <c r="L206" s="2460"/>
      <c r="M206" s="2457"/>
      <c r="N206" s="2447"/>
      <c r="O206" s="2447"/>
      <c r="P206" s="2447"/>
      <c r="Q206" s="2446"/>
      <c r="R206" s="2443"/>
      <c r="S206" s="2445"/>
      <c r="T206" s="2444"/>
      <c r="U206" s="2443"/>
      <c r="V206" s="2440"/>
      <c r="W206" s="2440"/>
      <c r="X206" s="2442"/>
      <c r="Y206" s="2442"/>
      <c r="Z206" s="2442"/>
      <c r="AA206" s="2442"/>
    </row>
    <row r="207" spans="1:27" ht="24.95" customHeight="1">
      <c r="A207" s="2442"/>
      <c r="B207" s="2455"/>
      <c r="C207" s="2454"/>
      <c r="D207" s="2453"/>
      <c r="E207" s="2452"/>
      <c r="F207" s="2451"/>
      <c r="G207" s="2450"/>
      <c r="H207" s="2450"/>
      <c r="I207" s="2450"/>
      <c r="J207" s="2449"/>
      <c r="K207" s="2447"/>
      <c r="L207" s="2447"/>
      <c r="M207" s="2447"/>
      <c r="N207" s="2447"/>
      <c r="O207" s="2447"/>
      <c r="P207" s="2447"/>
      <c r="Q207" s="2446"/>
      <c r="R207" s="2443"/>
      <c r="S207" s="2445"/>
      <c r="T207" s="2444"/>
      <c r="U207" s="2443"/>
      <c r="V207" s="2440"/>
      <c r="W207" s="2440"/>
      <c r="X207" s="2442"/>
      <c r="Y207" s="2442"/>
      <c r="Z207" s="2442"/>
      <c r="AA207" s="2442"/>
    </row>
    <row r="208" spans="1:27" ht="24.95" customHeight="1">
      <c r="A208" s="2442"/>
      <c r="B208" s="2455"/>
      <c r="C208" s="2454"/>
      <c r="D208" s="2453"/>
      <c r="E208" s="2452"/>
      <c r="F208" s="2451"/>
      <c r="G208" s="2450"/>
      <c r="H208" s="2450"/>
      <c r="I208" s="2450"/>
      <c r="J208" s="2449"/>
      <c r="K208" s="2459" t="s">
        <v>334</v>
      </c>
      <c r="L208" s="2458" t="s">
        <v>5955</v>
      </c>
      <c r="M208" s="2457"/>
      <c r="N208" s="2457"/>
      <c r="O208" s="2457"/>
      <c r="P208" s="2457"/>
      <c r="Q208" s="2456"/>
      <c r="R208" s="2443"/>
      <c r="S208" s="2445"/>
      <c r="T208" s="2444"/>
      <c r="U208" s="2443"/>
      <c r="V208" s="2440"/>
      <c r="W208" s="2440"/>
      <c r="X208" s="2442"/>
      <c r="Y208" s="2442"/>
      <c r="Z208" s="2442"/>
      <c r="AA208" s="2442"/>
    </row>
    <row r="209" spans="1:27" ht="24.95" customHeight="1">
      <c r="A209" s="2442"/>
      <c r="B209" s="2455"/>
      <c r="C209" s="2454"/>
      <c r="D209" s="2453"/>
      <c r="E209" s="2452"/>
      <c r="F209" s="2451"/>
      <c r="G209" s="2450"/>
      <c r="H209" s="2450"/>
      <c r="I209" s="2450"/>
      <c r="J209" s="2449"/>
      <c r="K209" s="2448"/>
      <c r="L209" s="2447"/>
      <c r="M209" s="2443"/>
      <c r="N209" s="2443"/>
      <c r="O209" s="2443"/>
      <c r="P209" s="2443"/>
      <c r="Q209" s="2443"/>
      <c r="R209" s="2443"/>
      <c r="S209" s="2443"/>
      <c r="T209" s="2443"/>
      <c r="U209" s="2443"/>
      <c r="V209" s="2440"/>
      <c r="W209" s="2440"/>
      <c r="X209" s="2442"/>
      <c r="Y209" s="2442"/>
      <c r="Z209" s="2442"/>
      <c r="AA209" s="2442"/>
    </row>
    <row r="210" spans="1:27" ht="24.95" customHeight="1">
      <c r="A210" s="2442"/>
      <c r="B210" s="2455"/>
      <c r="C210" s="2454"/>
      <c r="D210" s="2453"/>
      <c r="E210" s="2452"/>
      <c r="F210" s="2451"/>
      <c r="G210" s="2450"/>
      <c r="H210" s="2450"/>
      <c r="I210" s="2450"/>
      <c r="J210" s="2449"/>
      <c r="K210" s="2448"/>
      <c r="L210" s="2447"/>
      <c r="M210" s="2443"/>
      <c r="N210" s="2443"/>
      <c r="O210" s="2443"/>
      <c r="P210" s="2443"/>
      <c r="Q210" s="2443"/>
      <c r="R210" s="2443"/>
      <c r="S210" s="2443"/>
      <c r="T210" s="2443"/>
      <c r="U210" s="2443"/>
      <c r="V210" s="2440"/>
      <c r="W210" s="2440"/>
      <c r="X210" s="2442"/>
      <c r="Y210" s="2442"/>
      <c r="Z210" s="2442"/>
      <c r="AA210" s="2442"/>
    </row>
    <row r="211" spans="1:27" ht="24.95" customHeight="1">
      <c r="A211" s="2442"/>
      <c r="B211" s="2455"/>
      <c r="C211" s="2454"/>
      <c r="D211" s="2453"/>
      <c r="E211" s="2452"/>
      <c r="F211" s="2451"/>
      <c r="G211" s="2450"/>
      <c r="H211" s="2450"/>
      <c r="I211" s="2450"/>
      <c r="J211" s="2449"/>
      <c r="K211" s="2448"/>
      <c r="L211" s="2447"/>
      <c r="M211" s="2443"/>
      <c r="N211" s="2443"/>
      <c r="O211" s="2443"/>
      <c r="P211" s="2443"/>
      <c r="Q211" s="2443"/>
      <c r="R211" s="2443"/>
      <c r="S211" s="2443"/>
      <c r="T211" s="2443"/>
      <c r="U211" s="2443"/>
      <c r="V211" s="2440"/>
      <c r="W211" s="2440"/>
      <c r="X211" s="2442"/>
      <c r="Y211" s="2442"/>
      <c r="Z211" s="2442"/>
      <c r="AA211" s="2442"/>
    </row>
    <row r="212" spans="1:27" ht="24.95" customHeight="1">
      <c r="A212" s="2442"/>
      <c r="B212" s="2455"/>
      <c r="C212" s="2454"/>
      <c r="D212" s="2453"/>
      <c r="E212" s="2452"/>
      <c r="F212" s="2451"/>
      <c r="G212" s="2450"/>
      <c r="H212" s="2450"/>
      <c r="I212" s="2450"/>
      <c r="J212" s="2449"/>
      <c r="K212" s="2448"/>
      <c r="L212" s="2447"/>
      <c r="M212" s="2443"/>
      <c r="N212" s="2443"/>
      <c r="O212" s="2443"/>
      <c r="P212" s="2443"/>
      <c r="Q212" s="2443"/>
      <c r="R212" s="2443"/>
      <c r="S212" s="2443"/>
      <c r="T212" s="2443"/>
      <c r="U212" s="2443"/>
      <c r="V212" s="2440"/>
      <c r="W212" s="2440"/>
      <c r="X212" s="2442"/>
      <c r="Y212" s="2442"/>
      <c r="Z212" s="2442"/>
      <c r="AA212" s="2442"/>
    </row>
    <row r="213" spans="1:27" ht="24.95" customHeight="1">
      <c r="A213" s="2442"/>
      <c r="B213" s="2455"/>
      <c r="C213" s="2454"/>
      <c r="D213" s="2453"/>
      <c r="E213" s="2452"/>
      <c r="F213" s="2451"/>
      <c r="G213" s="2450"/>
      <c r="H213" s="2450"/>
      <c r="I213" s="2450"/>
      <c r="J213" s="2449"/>
      <c r="K213" s="2448"/>
      <c r="L213" s="2447"/>
      <c r="M213" s="2443"/>
      <c r="N213" s="2443"/>
      <c r="O213" s="2443"/>
      <c r="P213" s="2443"/>
      <c r="Q213" s="2443"/>
      <c r="R213" s="2443"/>
      <c r="S213" s="2443"/>
      <c r="T213" s="2443"/>
      <c r="U213" s="2443"/>
      <c r="V213" s="2440"/>
      <c r="W213" s="2440"/>
      <c r="X213" s="2442"/>
      <c r="Y213" s="2442"/>
      <c r="Z213" s="2442"/>
      <c r="AA213" s="2442"/>
    </row>
    <row r="214" spans="1:27" ht="24.95" customHeight="1">
      <c r="A214" s="2442"/>
      <c r="B214" s="2455"/>
      <c r="C214" s="2454"/>
      <c r="D214" s="2453"/>
      <c r="E214" s="2452"/>
      <c r="F214" s="2451"/>
      <c r="G214" s="2450"/>
      <c r="H214" s="2450"/>
      <c r="I214" s="2450"/>
      <c r="J214" s="2449"/>
      <c r="K214" s="2448"/>
      <c r="L214" s="2447"/>
      <c r="M214" s="2447"/>
      <c r="N214" s="2447"/>
      <c r="O214" s="2447"/>
      <c r="P214" s="2447"/>
      <c r="Q214" s="2446"/>
      <c r="R214" s="2443"/>
      <c r="S214" s="2445"/>
      <c r="T214" s="2444"/>
      <c r="U214" s="2443"/>
      <c r="V214" s="2440"/>
      <c r="W214" s="2440"/>
      <c r="X214" s="2442"/>
      <c r="Y214" s="2442"/>
      <c r="Z214" s="2442"/>
      <c r="AA214" s="2442"/>
    </row>
    <row r="215" spans="1:27" ht="24.95" customHeight="1">
      <c r="A215" s="2442"/>
      <c r="B215" s="2455"/>
      <c r="C215" s="2454"/>
      <c r="D215" s="2453"/>
      <c r="E215" s="2452"/>
      <c r="F215" s="2451"/>
      <c r="G215" s="2450"/>
      <c r="H215" s="2450"/>
      <c r="I215" s="2450"/>
      <c r="J215" s="2449"/>
      <c r="K215" s="2448"/>
      <c r="L215" s="2447"/>
      <c r="M215" s="2447"/>
      <c r="N215" s="2447"/>
      <c r="O215" s="2447"/>
      <c r="P215" s="2447"/>
      <c r="Q215" s="2446"/>
      <c r="R215" s="2443"/>
      <c r="S215" s="2445"/>
      <c r="T215" s="2444"/>
      <c r="U215" s="2443"/>
      <c r="V215" s="2440"/>
      <c r="W215" s="2440"/>
      <c r="X215" s="2442"/>
      <c r="Y215" s="2442"/>
      <c r="Z215" s="2442"/>
      <c r="AA215" s="2442"/>
    </row>
    <row r="216" spans="1:27" ht="24.95" customHeight="1">
      <c r="A216" s="2442"/>
      <c r="B216" s="2455"/>
      <c r="C216" s="2454"/>
      <c r="D216" s="2453"/>
      <c r="E216" s="2452"/>
      <c r="F216" s="2451"/>
      <c r="G216" s="2450"/>
      <c r="H216" s="2450"/>
      <c r="I216" s="2450"/>
      <c r="J216" s="2449"/>
      <c r="K216" s="2448"/>
      <c r="L216" s="2447"/>
      <c r="M216" s="2447"/>
      <c r="N216" s="2447"/>
      <c r="O216" s="2447"/>
      <c r="P216" s="2447"/>
      <c r="Q216" s="2446"/>
      <c r="R216" s="2443"/>
      <c r="S216" s="2445"/>
      <c r="T216" s="2444"/>
      <c r="U216" s="2443"/>
      <c r="V216" s="2440"/>
      <c r="W216" s="2440"/>
      <c r="X216" s="2442"/>
      <c r="Y216" s="2442"/>
      <c r="Z216" s="2442"/>
      <c r="AA216" s="2442"/>
    </row>
    <row r="217" spans="1:27" ht="24.95" customHeight="1">
      <c r="A217" s="2442"/>
      <c r="B217" s="2455"/>
      <c r="C217" s="2454"/>
      <c r="D217" s="2453"/>
      <c r="E217" s="2452"/>
      <c r="F217" s="2451"/>
      <c r="G217" s="2450"/>
      <c r="H217" s="2450"/>
      <c r="I217" s="2450"/>
      <c r="J217" s="2449"/>
      <c r="K217" s="2448"/>
      <c r="L217" s="2447"/>
      <c r="M217" s="2447"/>
      <c r="N217" s="2447"/>
      <c r="O217" s="2447"/>
      <c r="P217" s="2447"/>
      <c r="Q217" s="2446"/>
      <c r="R217" s="2443"/>
      <c r="S217" s="2445"/>
      <c r="T217" s="2444"/>
      <c r="U217" s="2443"/>
      <c r="V217" s="2440"/>
      <c r="W217" s="2440"/>
      <c r="X217" s="2442"/>
      <c r="Y217" s="2442"/>
      <c r="Z217" s="2442"/>
      <c r="AA217" s="2442"/>
    </row>
    <row r="218" spans="1:27" ht="24.95" customHeight="1">
      <c r="A218" s="2442"/>
      <c r="B218" s="2455"/>
      <c r="C218" s="2454"/>
      <c r="D218" s="2453"/>
      <c r="E218" s="2452"/>
      <c r="F218" s="2451"/>
      <c r="G218" s="2450"/>
      <c r="H218" s="2450"/>
      <c r="I218" s="2450"/>
      <c r="J218" s="2449"/>
      <c r="K218" s="2448"/>
      <c r="L218" s="2447"/>
      <c r="M218" s="2447"/>
      <c r="N218" s="2447"/>
      <c r="O218" s="2447"/>
      <c r="P218" s="2447"/>
      <c r="Q218" s="2446"/>
      <c r="R218" s="2443"/>
      <c r="S218" s="2445"/>
      <c r="T218" s="2444"/>
      <c r="U218" s="2443"/>
      <c r="V218" s="2440"/>
      <c r="W218" s="2440"/>
      <c r="X218" s="2442"/>
      <c r="Y218" s="2442"/>
      <c r="Z218" s="2442"/>
      <c r="AA218" s="2442"/>
    </row>
    <row r="219" spans="1:27" ht="24.95" customHeight="1">
      <c r="A219" s="2442"/>
      <c r="B219" s="2455"/>
      <c r="C219" s="2454"/>
      <c r="D219" s="2453"/>
      <c r="E219" s="2452"/>
      <c r="F219" s="2451"/>
      <c r="G219" s="2450"/>
      <c r="H219" s="2450"/>
      <c r="I219" s="2450"/>
      <c r="J219" s="2449"/>
      <c r="K219" s="2448"/>
      <c r="L219" s="2447"/>
      <c r="M219" s="2447"/>
      <c r="N219" s="2447"/>
      <c r="O219" s="2447"/>
      <c r="P219" s="2447"/>
      <c r="Q219" s="2446"/>
      <c r="R219" s="2443"/>
      <c r="S219" s="2445"/>
      <c r="T219" s="2444"/>
      <c r="U219" s="2443"/>
      <c r="V219" s="2440"/>
      <c r="W219" s="2440"/>
      <c r="X219" s="2442"/>
      <c r="Y219" s="2442"/>
      <c r="Z219" s="2442"/>
      <c r="AA219" s="2442"/>
    </row>
    <row r="220" spans="1:27" ht="24.95" customHeight="1">
      <c r="A220" s="2442"/>
      <c r="B220" s="2455"/>
      <c r="C220" s="2454"/>
      <c r="D220" s="2453"/>
      <c r="E220" s="2452"/>
      <c r="F220" s="2451"/>
      <c r="G220" s="2450"/>
      <c r="H220" s="2450"/>
      <c r="I220" s="2450"/>
      <c r="J220" s="2449"/>
      <c r="K220" s="2448"/>
      <c r="L220" s="2447"/>
      <c r="M220" s="2447"/>
      <c r="N220" s="2447"/>
      <c r="O220" s="2447"/>
      <c r="P220" s="2447"/>
      <c r="Q220" s="2446"/>
      <c r="R220" s="2443"/>
      <c r="S220" s="2445"/>
      <c r="T220" s="2444"/>
      <c r="U220" s="2443"/>
      <c r="V220" s="2440"/>
      <c r="W220" s="2440"/>
      <c r="X220" s="2442"/>
      <c r="Y220" s="2442"/>
      <c r="Z220" s="2442"/>
      <c r="AA220" s="2442"/>
    </row>
    <row r="221" spans="1:27" ht="24.95" customHeight="1">
      <c r="A221" s="2442"/>
      <c r="B221" s="2455"/>
      <c r="C221" s="2454"/>
      <c r="D221" s="2453"/>
      <c r="E221" s="2452"/>
      <c r="F221" s="2451"/>
      <c r="G221" s="2450"/>
      <c r="H221" s="2450"/>
      <c r="I221" s="2450"/>
      <c r="J221" s="2449"/>
      <c r="K221" s="2448"/>
      <c r="L221" s="2447"/>
      <c r="M221" s="2447"/>
      <c r="N221" s="2447"/>
      <c r="O221" s="2447"/>
      <c r="P221" s="2447"/>
      <c r="Q221" s="2446"/>
      <c r="R221" s="2443"/>
      <c r="S221" s="2445"/>
      <c r="T221" s="2444"/>
      <c r="U221" s="2443"/>
      <c r="V221" s="2440"/>
      <c r="W221" s="2440"/>
      <c r="X221" s="2442"/>
      <c r="Y221" s="2442"/>
      <c r="Z221" s="2442"/>
      <c r="AA221" s="2442"/>
    </row>
    <row r="222" spans="1:27" s="987" customFormat="1" ht="24.95" customHeight="1">
      <c r="A222" s="992"/>
      <c r="B222" s="1018"/>
      <c r="C222" s="1020"/>
      <c r="D222" s="1019"/>
      <c r="E222" s="1019"/>
      <c r="F222" s="1019"/>
      <c r="G222" s="1019"/>
      <c r="H222" s="1019"/>
      <c r="I222" s="1019"/>
      <c r="J222" s="1019"/>
      <c r="K222" s="1019"/>
      <c r="L222" s="2440"/>
      <c r="M222" s="2440"/>
      <c r="N222" s="2440"/>
      <c r="O222" s="2440"/>
      <c r="P222" s="2440"/>
      <c r="Q222" s="990"/>
      <c r="R222" s="990"/>
      <c r="S222" s="990"/>
      <c r="T222" s="990"/>
      <c r="U222" s="990"/>
      <c r="V222" s="990"/>
      <c r="W222" s="990"/>
      <c r="X222" s="990"/>
      <c r="Y222" s="990"/>
      <c r="Z222" s="990"/>
      <c r="AA222" s="990"/>
    </row>
    <row r="223" spans="1:27" ht="24.95" customHeight="1">
      <c r="A223" s="992"/>
      <c r="B223" s="1191" t="s">
        <v>339</v>
      </c>
      <c r="C223" s="992"/>
      <c r="D223" s="992"/>
      <c r="E223" s="992"/>
      <c r="F223" s="992"/>
      <c r="G223" s="992"/>
      <c r="H223" s="992"/>
      <c r="I223" s="992"/>
      <c r="J223" s="992"/>
      <c r="K223" s="992"/>
      <c r="L223" s="992"/>
      <c r="M223" s="992"/>
      <c r="N223" s="992"/>
      <c r="O223" s="992"/>
      <c r="P223" s="992"/>
      <c r="Q223" s="992"/>
      <c r="R223" s="992"/>
      <c r="S223" s="990"/>
      <c r="T223" s="990"/>
      <c r="U223" s="990"/>
      <c r="V223" s="990"/>
      <c r="W223" s="990"/>
      <c r="X223" s="990"/>
      <c r="Y223" s="990"/>
      <c r="Z223" s="990"/>
      <c r="AA223" s="990"/>
    </row>
    <row r="224" spans="1:27" ht="24.95" customHeight="1">
      <c r="A224" s="992"/>
      <c r="B224" s="1190" t="s">
        <v>338</v>
      </c>
      <c r="C224" s="992"/>
      <c r="D224" s="992"/>
      <c r="E224" s="992"/>
      <c r="F224" s="992"/>
      <c r="G224" s="992"/>
      <c r="H224" s="992"/>
      <c r="I224" s="992"/>
      <c r="J224" s="992"/>
      <c r="K224" s="992"/>
      <c r="L224" s="992"/>
      <c r="M224" s="992"/>
      <c r="N224" s="992"/>
      <c r="O224" s="992"/>
      <c r="P224" s="992"/>
      <c r="Q224" s="992"/>
      <c r="R224" s="992"/>
      <c r="S224" s="990"/>
      <c r="T224" s="990"/>
      <c r="U224" s="990"/>
      <c r="V224" s="990"/>
      <c r="W224" s="990"/>
      <c r="X224" s="990"/>
      <c r="Y224" s="990"/>
      <c r="Z224" s="990"/>
      <c r="AA224" s="990"/>
    </row>
    <row r="225" spans="1:44" ht="24.95" customHeight="1">
      <c r="A225" s="992"/>
      <c r="B225" s="1190"/>
      <c r="C225" s="992"/>
      <c r="D225" s="992"/>
      <c r="E225" s="992"/>
      <c r="F225" s="992"/>
      <c r="G225" s="992"/>
      <c r="H225" s="992"/>
      <c r="I225" s="992"/>
      <c r="J225" s="992"/>
      <c r="K225" s="992"/>
      <c r="L225" s="992"/>
      <c r="M225" s="992"/>
      <c r="N225" s="992"/>
      <c r="O225" s="992"/>
      <c r="P225" s="992"/>
      <c r="Q225" s="992"/>
      <c r="R225" s="992"/>
      <c r="S225" s="990"/>
      <c r="T225" s="990"/>
      <c r="U225" s="990"/>
      <c r="V225" s="990"/>
      <c r="W225" s="990"/>
      <c r="X225" s="990"/>
      <c r="Y225" s="990"/>
      <c r="Z225" s="990"/>
      <c r="AA225" s="990"/>
    </row>
    <row r="226" spans="1:44" s="987" customFormat="1" ht="24.95" customHeight="1">
      <c r="A226" s="992"/>
      <c r="B226" s="1104" t="s">
        <v>337</v>
      </c>
      <c r="C226" s="1189"/>
      <c r="D226" s="992"/>
      <c r="E226" s="992"/>
      <c r="F226" s="992"/>
      <c r="G226" s="992"/>
      <c r="H226" s="992"/>
      <c r="I226" s="2440"/>
      <c r="J226" s="992"/>
      <c r="K226" s="992"/>
      <c r="L226" s="2440"/>
      <c r="M226" s="2440"/>
      <c r="N226" s="2440"/>
      <c r="O226" s="2440"/>
      <c r="P226" s="2440"/>
      <c r="Q226" s="990"/>
      <c r="R226" s="990"/>
      <c r="S226" s="990"/>
      <c r="T226" s="990"/>
      <c r="U226" s="990"/>
      <c r="V226" s="990"/>
      <c r="W226" s="1004"/>
      <c r="X226" s="990"/>
      <c r="Y226" s="2441"/>
      <c r="Z226" s="990"/>
      <c r="AA226" s="990"/>
      <c r="AB226" s="989"/>
      <c r="AC226" s="989"/>
      <c r="AD226" s="989"/>
      <c r="AE226" s="989"/>
      <c r="AF226" s="989"/>
      <c r="AG226" s="989"/>
      <c r="AH226" s="989"/>
      <c r="AI226" s="989"/>
      <c r="AJ226" s="989"/>
      <c r="AK226" s="989"/>
      <c r="AL226" s="989"/>
      <c r="AM226" s="989"/>
      <c r="AN226" s="989"/>
      <c r="AO226" s="989"/>
      <c r="AP226" s="989"/>
      <c r="AQ226" s="989"/>
      <c r="AR226" s="989"/>
    </row>
    <row r="227" spans="1:44" s="987" customFormat="1" ht="24.95" customHeight="1">
      <c r="A227" s="992"/>
      <c r="B227" s="993"/>
      <c r="C227" s="992"/>
      <c r="D227" s="992"/>
      <c r="E227" s="992"/>
      <c r="F227" s="992"/>
      <c r="G227" s="992"/>
      <c r="H227" s="992"/>
      <c r="I227" s="2440"/>
      <c r="J227" s="992"/>
      <c r="K227" s="992"/>
      <c r="L227" s="2440"/>
      <c r="M227" s="2440"/>
      <c r="N227" s="2440"/>
      <c r="O227" s="2440"/>
      <c r="P227" s="2440"/>
      <c r="Q227" s="990"/>
      <c r="R227" s="990"/>
      <c r="S227" s="990"/>
      <c r="T227" s="990"/>
      <c r="U227" s="990"/>
      <c r="V227" s="990"/>
      <c r="W227" s="990"/>
      <c r="X227" s="990"/>
      <c r="Y227" s="990"/>
      <c r="Z227" s="990"/>
      <c r="AA227" s="990"/>
      <c r="AB227" s="989"/>
      <c r="AC227" s="989"/>
      <c r="AD227" s="989"/>
      <c r="AE227" s="989"/>
      <c r="AF227" s="989"/>
      <c r="AG227" s="989"/>
      <c r="AH227" s="989"/>
      <c r="AI227" s="989"/>
      <c r="AJ227" s="989"/>
      <c r="AK227" s="989"/>
      <c r="AL227" s="989"/>
      <c r="AM227" s="989"/>
      <c r="AN227" s="989"/>
      <c r="AO227" s="989"/>
      <c r="AP227" s="989"/>
      <c r="AQ227" s="989"/>
      <c r="AR227" s="989"/>
    </row>
  </sheetData>
  <mergeCells count="12">
    <mergeCell ref="C180:D180"/>
    <mergeCell ref="C181:D181"/>
    <mergeCell ref="C182:E182"/>
    <mergeCell ref="B20:O23"/>
    <mergeCell ref="C137:E137"/>
    <mergeCell ref="C140:E140"/>
    <mergeCell ref="C143:E143"/>
    <mergeCell ref="C149:D149"/>
    <mergeCell ref="C159:D159"/>
    <mergeCell ref="C166:D166"/>
    <mergeCell ref="C167:D167"/>
    <mergeCell ref="C170:F170"/>
  </mergeCells>
  <hyperlinks>
    <hyperlink ref="E28" r:id="rId1" xr:uid="{87301E7C-BD3C-4783-AA08-E3BE02501168}"/>
    <hyperlink ref="L208" r:id="rId2" xr:uid="{DB263113-2220-4AE1-B2A4-91AA69D3C517}"/>
  </hyperlinks>
  <pageMargins left="0.7" right="0.7" top="0.75" bottom="0.75" header="0.3" footer="0.3"/>
  <pageSetup paperSize="9" orientation="portrait" r:id="rId3"/>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74531C-76FF-4AAB-B8D4-BE0266D3F725}">
  <dimension ref="A1:P285"/>
  <sheetViews>
    <sheetView workbookViewId="0">
      <selection activeCell="S25" sqref="S25"/>
    </sheetView>
  </sheetViews>
  <sheetFormatPr baseColWidth="10" defaultRowHeight="15.75"/>
  <cols>
    <col min="1" max="1" width="3.28515625" style="2410" customWidth="1"/>
    <col min="2" max="2" width="11.42578125" style="2410"/>
    <col min="3" max="3" width="11.7109375" style="2410" customWidth="1"/>
    <col min="4" max="13" width="11.42578125" style="2410"/>
    <col min="14" max="14" width="15" style="2410" customWidth="1"/>
    <col min="15" max="16384" width="11.42578125" style="2410"/>
  </cols>
  <sheetData>
    <row r="1" spans="1:16" ht="16.5" thickBot="1"/>
    <row r="2" spans="1:16" ht="15.75" customHeight="1">
      <c r="B2" s="4947" t="s">
        <v>6215</v>
      </c>
      <c r="C2" s="4948"/>
      <c r="D2" s="4948"/>
      <c r="E2" s="4948"/>
      <c r="F2" s="4948"/>
      <c r="G2" s="4948"/>
      <c r="H2" s="4948"/>
      <c r="I2" s="4948"/>
      <c r="J2" s="4948"/>
      <c r="K2" s="4948"/>
      <c r="L2" s="4948"/>
      <c r="M2" s="4948"/>
      <c r="N2" s="4948"/>
      <c r="O2" s="4948"/>
      <c r="P2" s="4949"/>
    </row>
    <row r="3" spans="1:16" ht="15.75" customHeight="1">
      <c r="B3" s="4950"/>
      <c r="C3" s="4951"/>
      <c r="D3" s="4951"/>
      <c r="E3" s="4951"/>
      <c r="F3" s="4951"/>
      <c r="G3" s="4951"/>
      <c r="H3" s="4951"/>
      <c r="I3" s="4951"/>
      <c r="J3" s="4951"/>
      <c r="K3" s="4951"/>
      <c r="L3" s="4951"/>
      <c r="M3" s="4951"/>
      <c r="N3" s="4951"/>
      <c r="O3" s="4951"/>
      <c r="P3" s="4952"/>
    </row>
    <row r="4" spans="1:16" ht="15.75" customHeight="1">
      <c r="B4" s="4950"/>
      <c r="C4" s="4951"/>
      <c r="D4" s="4951"/>
      <c r="E4" s="4951"/>
      <c r="F4" s="4951"/>
      <c r="G4" s="4951"/>
      <c r="H4" s="4951"/>
      <c r="I4" s="4951"/>
      <c r="J4" s="4951"/>
      <c r="K4" s="4951"/>
      <c r="L4" s="4951"/>
      <c r="M4" s="4951"/>
      <c r="N4" s="4951"/>
      <c r="O4" s="4951"/>
      <c r="P4" s="4952"/>
    </row>
    <row r="5" spans="1:16" ht="15.75" customHeight="1">
      <c r="B5" s="4953" t="s">
        <v>6214</v>
      </c>
      <c r="C5" s="4954"/>
      <c r="D5" s="4954"/>
      <c r="E5" s="4954"/>
      <c r="F5" s="4954"/>
      <c r="G5" s="4954"/>
      <c r="H5" s="4954"/>
      <c r="I5" s="4954"/>
      <c r="J5" s="4954"/>
      <c r="K5" s="4954"/>
      <c r="L5" s="4954"/>
      <c r="M5" s="4954"/>
      <c r="N5" s="4954"/>
      <c r="O5" s="4954"/>
      <c r="P5" s="4955"/>
    </row>
    <row r="6" spans="1:16" ht="15.75" customHeight="1">
      <c r="B6" s="4953"/>
      <c r="C6" s="4954"/>
      <c r="D6" s="4954"/>
      <c r="E6" s="4954"/>
      <c r="F6" s="4954"/>
      <c r="G6" s="4954"/>
      <c r="H6" s="4954"/>
      <c r="I6" s="4954"/>
      <c r="J6" s="4954"/>
      <c r="K6" s="4954"/>
      <c r="L6" s="4954"/>
      <c r="M6" s="4954"/>
      <c r="N6" s="4954"/>
      <c r="O6" s="4954"/>
      <c r="P6" s="4955"/>
    </row>
    <row r="7" spans="1:16" ht="15.75" customHeight="1" thickBot="1">
      <c r="B7" s="4956"/>
      <c r="C7" s="4957"/>
      <c r="D7" s="4957"/>
      <c r="E7" s="4957"/>
      <c r="F7" s="4957"/>
      <c r="G7" s="4957"/>
      <c r="H7" s="4957"/>
      <c r="I7" s="4957"/>
      <c r="J7" s="4957"/>
      <c r="K7" s="4957"/>
      <c r="L7" s="4957"/>
      <c r="M7" s="4957"/>
      <c r="N7" s="4957"/>
      <c r="O7" s="4957"/>
      <c r="P7" s="4958"/>
    </row>
    <row r="8" spans="1:16">
      <c r="B8" s="2407"/>
      <c r="C8" s="2407"/>
      <c r="D8" s="2407"/>
      <c r="E8" s="2407"/>
      <c r="F8" s="2407"/>
      <c r="G8" s="2407"/>
      <c r="H8" s="2407"/>
      <c r="I8" s="2407"/>
      <c r="J8" s="2407"/>
      <c r="K8" s="2407"/>
      <c r="L8" s="2407"/>
      <c r="M8" s="2407"/>
      <c r="N8" s="2407"/>
      <c r="O8" s="2634" t="str">
        <f ca="1">"Page "&amp;_xlfn.SHEET()&amp;" sur "&amp;_xlfn.SHEETS()</f>
        <v>Page 21 sur 22</v>
      </c>
    </row>
    <row r="9" spans="1:16" s="989" customFormat="1" ht="21.75" customHeight="1">
      <c r="A9" s="2410"/>
      <c r="B9" s="2407"/>
      <c r="C9" s="2622" t="s">
        <v>340</v>
      </c>
      <c r="D9" s="1015"/>
      <c r="E9" s="990"/>
      <c r="F9" s="990"/>
      <c r="G9" s="990"/>
      <c r="H9" s="990"/>
      <c r="I9" s="990"/>
      <c r="J9" s="990"/>
      <c r="K9" s="990"/>
      <c r="L9" s="990"/>
      <c r="M9" s="990"/>
      <c r="N9" s="990"/>
      <c r="O9" s="990"/>
      <c r="P9" s="990"/>
    </row>
    <row r="10" spans="1:16" ht="28.5">
      <c r="B10" s="2407"/>
      <c r="C10" s="2633" t="s">
        <v>6213</v>
      </c>
      <c r="D10" s="2407"/>
      <c r="E10" s="2407"/>
      <c r="F10" s="2407"/>
      <c r="G10" s="2407"/>
      <c r="H10" s="2407"/>
      <c r="I10" s="2407"/>
      <c r="J10" s="2407"/>
      <c r="K10" s="2407"/>
      <c r="L10" s="2407"/>
      <c r="M10" s="2407"/>
      <c r="N10" s="2407"/>
      <c r="O10" s="2407"/>
      <c r="P10" s="2407"/>
    </row>
    <row r="11" spans="1:16" ht="23.25">
      <c r="B11" s="2407"/>
      <c r="C11" s="2632" t="s">
        <v>3783</v>
      </c>
      <c r="D11" s="2407"/>
      <c r="E11" s="2407"/>
      <c r="F11" s="2407"/>
      <c r="G11" s="2407"/>
      <c r="H11" s="2407"/>
      <c r="I11" s="2407"/>
      <c r="J11" s="2407"/>
      <c r="K11" s="2407"/>
      <c r="L11" s="2407"/>
      <c r="M11" s="2407"/>
      <c r="N11" s="2407"/>
      <c r="O11" s="2407"/>
      <c r="P11" s="2407"/>
    </row>
    <row r="12" spans="1:16" ht="18.75">
      <c r="B12" s="2409" t="s">
        <v>6212</v>
      </c>
      <c r="C12" s="2407"/>
      <c r="D12" s="2407"/>
      <c r="E12" s="2407"/>
      <c r="F12" s="2407"/>
      <c r="G12" s="2407"/>
      <c r="H12" s="2407"/>
      <c r="I12" s="2407"/>
      <c r="J12" s="2407"/>
      <c r="K12" s="2407"/>
      <c r="L12" s="2407"/>
      <c r="M12" s="2407"/>
      <c r="N12" s="2407"/>
      <c r="O12" s="2407"/>
      <c r="P12" s="2407"/>
    </row>
    <row r="13" spans="1:16">
      <c r="B13" s="2620" t="s">
        <v>108</v>
      </c>
      <c r="C13" s="2623" t="s">
        <v>6211</v>
      </c>
      <c r="D13" s="2407"/>
      <c r="E13" s="2407"/>
      <c r="F13" s="2407"/>
      <c r="G13" s="2407"/>
      <c r="H13" s="2407"/>
      <c r="I13" s="2407"/>
      <c r="J13" s="2407"/>
      <c r="K13" s="2407"/>
      <c r="L13" s="2407"/>
      <c r="M13" s="2407"/>
      <c r="N13" s="2407"/>
      <c r="O13" s="2407"/>
      <c r="P13" s="2407"/>
    </row>
    <row r="14" spans="1:16">
      <c r="B14" s="2407"/>
      <c r="C14" s="2407"/>
      <c r="D14" s="2407"/>
      <c r="E14" s="2407"/>
      <c r="F14" s="2407"/>
      <c r="G14" s="2407"/>
      <c r="H14" s="2407"/>
      <c r="I14" s="2407"/>
      <c r="J14" s="2407"/>
      <c r="K14" s="2407"/>
      <c r="L14" s="2407"/>
      <c r="M14" s="2407"/>
      <c r="N14" s="2407"/>
      <c r="O14" s="2407"/>
      <c r="P14" s="2407"/>
    </row>
    <row r="15" spans="1:16" ht="18.75">
      <c r="B15" s="2409" t="s">
        <v>6210</v>
      </c>
      <c r="C15" s="2407"/>
      <c r="D15" s="2407"/>
      <c r="E15" s="2407"/>
      <c r="F15" s="2407"/>
      <c r="G15" s="2407"/>
      <c r="H15" s="2407"/>
      <c r="I15" s="2407"/>
      <c r="J15" s="2407"/>
      <c r="K15" s="2407"/>
      <c r="L15" s="2407"/>
      <c r="M15" s="2407"/>
      <c r="N15" s="2407"/>
      <c r="O15" s="2407"/>
      <c r="P15" s="2407"/>
    </row>
    <row r="16" spans="1:16">
      <c r="B16" s="2620" t="s">
        <v>108</v>
      </c>
      <c r="C16" s="2624" t="s">
        <v>6209</v>
      </c>
      <c r="D16" s="2407"/>
      <c r="E16" s="2407"/>
      <c r="F16" s="2407"/>
      <c r="G16" s="2407"/>
      <c r="H16" s="2407"/>
      <c r="I16" s="2407"/>
      <c r="J16" s="2407"/>
      <c r="K16" s="2407"/>
      <c r="L16" s="2407"/>
      <c r="M16" s="2407"/>
      <c r="N16" s="2407"/>
      <c r="O16" s="2407"/>
      <c r="P16" s="2407"/>
    </row>
    <row r="17" spans="2:16">
      <c r="B17" s="2407"/>
      <c r="C17" s="2407"/>
      <c r="D17" s="2407"/>
      <c r="E17" s="2407"/>
      <c r="F17" s="2407"/>
      <c r="G17" s="2407"/>
      <c r="H17" s="2407"/>
      <c r="I17" s="2407"/>
      <c r="J17" s="2407"/>
      <c r="K17" s="2407"/>
      <c r="L17" s="2407"/>
      <c r="M17" s="2407"/>
      <c r="N17" s="2407"/>
      <c r="O17" s="2407"/>
      <c r="P17" s="2407"/>
    </row>
    <row r="18" spans="2:16">
      <c r="B18" s="2620" t="s">
        <v>108</v>
      </c>
      <c r="C18" s="2624" t="s">
        <v>6208</v>
      </c>
      <c r="D18" s="2407"/>
      <c r="E18" s="2407"/>
      <c r="F18" s="2407"/>
      <c r="G18" s="2407"/>
      <c r="H18" s="2407"/>
      <c r="I18" s="2407"/>
      <c r="J18" s="2407"/>
      <c r="K18" s="2407"/>
      <c r="L18" s="2407"/>
      <c r="M18" s="2407"/>
      <c r="N18" s="2407"/>
      <c r="O18" s="2407"/>
      <c r="P18" s="2407"/>
    </row>
    <row r="19" spans="2:16">
      <c r="B19" s="2407"/>
      <c r="C19" s="2407"/>
      <c r="D19" s="2407"/>
      <c r="E19" s="2407"/>
      <c r="F19" s="2407"/>
      <c r="G19" s="2407"/>
      <c r="H19" s="2407"/>
      <c r="I19" s="2407"/>
      <c r="J19" s="2407"/>
      <c r="K19" s="2407"/>
      <c r="L19" s="2407"/>
      <c r="M19" s="2407"/>
      <c r="N19" s="2407"/>
      <c r="O19" s="2407"/>
      <c r="P19" s="2407"/>
    </row>
    <row r="20" spans="2:16">
      <c r="B20" s="2407"/>
      <c r="C20" s="2631" t="s">
        <v>6207</v>
      </c>
      <c r="D20" s="2407"/>
      <c r="E20" s="2407"/>
      <c r="F20" s="2407"/>
      <c r="G20" s="2407"/>
      <c r="H20" s="2407"/>
      <c r="I20" s="2407"/>
      <c r="J20" s="2407"/>
      <c r="K20" s="2407"/>
      <c r="L20" s="2407"/>
      <c r="M20" s="2407"/>
      <c r="N20" s="2407"/>
      <c r="O20" s="2407"/>
      <c r="P20" s="2407"/>
    </row>
    <row r="21" spans="2:16">
      <c r="B21" s="2407"/>
      <c r="C21" s="2631" t="s">
        <v>6206</v>
      </c>
      <c r="D21" s="2407"/>
      <c r="E21" s="2407"/>
      <c r="F21" s="2407"/>
      <c r="G21" s="2407"/>
      <c r="H21" s="2407"/>
      <c r="I21" s="2407"/>
      <c r="J21" s="2407"/>
      <c r="K21" s="2407"/>
      <c r="L21" s="2407"/>
      <c r="M21" s="2407"/>
      <c r="N21" s="2407"/>
      <c r="O21" s="2407"/>
      <c r="P21" s="2407"/>
    </row>
    <row r="22" spans="2:16">
      <c r="B22" s="2407"/>
      <c r="C22" s="2631" t="s">
        <v>6205</v>
      </c>
      <c r="D22" s="2407"/>
      <c r="E22" s="2407"/>
      <c r="F22" s="2407"/>
      <c r="G22" s="2407"/>
      <c r="H22" s="2407"/>
      <c r="I22" s="2407"/>
      <c r="J22" s="2407"/>
      <c r="K22" s="2407"/>
      <c r="L22" s="2407"/>
      <c r="M22" s="2407"/>
      <c r="N22" s="2407"/>
      <c r="O22" s="2407"/>
      <c r="P22" s="2407"/>
    </row>
    <row r="23" spans="2:16">
      <c r="B23" s="2407"/>
      <c r="C23" s="2407"/>
      <c r="D23" s="2407"/>
      <c r="E23" s="2407"/>
      <c r="F23" s="2407"/>
      <c r="G23" s="2407"/>
      <c r="H23" s="2407"/>
      <c r="I23" s="2407"/>
      <c r="J23" s="2407"/>
      <c r="K23" s="2407"/>
      <c r="L23" s="2407"/>
      <c r="M23" s="2407"/>
      <c r="N23" s="2407"/>
      <c r="O23" s="2407"/>
      <c r="P23" s="2407"/>
    </row>
    <row r="24" spans="2:16">
      <c r="B24" s="2407"/>
      <c r="C24" s="2631" t="s">
        <v>6204</v>
      </c>
      <c r="D24" s="2407"/>
      <c r="E24" s="2407"/>
      <c r="F24" s="2407"/>
      <c r="G24" s="2407"/>
      <c r="H24" s="2407"/>
      <c r="I24" s="2407"/>
      <c r="J24" s="2407"/>
      <c r="K24" s="2407"/>
      <c r="L24" s="2407"/>
      <c r="M24" s="2407"/>
      <c r="N24" s="2407"/>
      <c r="O24" s="2407"/>
      <c r="P24" s="2407"/>
    </row>
    <row r="25" spans="2:16">
      <c r="B25" s="2407"/>
      <c r="C25" s="2631" t="s">
        <v>6203</v>
      </c>
      <c r="D25" s="2407"/>
      <c r="E25" s="2407"/>
      <c r="F25" s="2407"/>
      <c r="G25" s="2407"/>
      <c r="H25" s="2407"/>
      <c r="I25" s="2407"/>
      <c r="J25" s="2407"/>
      <c r="K25" s="2407"/>
      <c r="L25" s="2407"/>
      <c r="M25" s="2407"/>
      <c r="N25" s="2407"/>
      <c r="O25" s="2407"/>
      <c r="P25" s="2407"/>
    </row>
    <row r="26" spans="2:16">
      <c r="B26" s="2407"/>
      <c r="C26" s="2631" t="s">
        <v>6202</v>
      </c>
      <c r="D26" s="2407"/>
      <c r="E26" s="2407"/>
      <c r="F26" s="2407"/>
      <c r="G26" s="2407"/>
      <c r="H26" s="2407"/>
      <c r="I26" s="2407"/>
      <c r="J26" s="2407"/>
      <c r="K26" s="2407"/>
      <c r="L26" s="2407"/>
      <c r="M26" s="2407"/>
      <c r="N26" s="2407"/>
      <c r="O26" s="2407"/>
      <c r="P26" s="2407"/>
    </row>
    <row r="27" spans="2:16">
      <c r="B27" s="2407"/>
      <c r="C27" s="2631" t="s">
        <v>6201</v>
      </c>
      <c r="D27" s="2407"/>
      <c r="E27" s="2407"/>
      <c r="F27" s="2407"/>
      <c r="G27" s="2407"/>
      <c r="H27" s="2407"/>
      <c r="I27" s="2407"/>
      <c r="J27" s="2407"/>
      <c r="K27" s="2407"/>
      <c r="L27" s="2407"/>
      <c r="M27" s="2407"/>
      <c r="N27" s="2407"/>
      <c r="O27" s="2407"/>
      <c r="P27" s="2407"/>
    </row>
    <row r="28" spans="2:16">
      <c r="B28" s="2407"/>
      <c r="C28" s="2631" t="s">
        <v>6200</v>
      </c>
      <c r="D28" s="2407"/>
      <c r="E28" s="2407"/>
      <c r="F28" s="2407"/>
      <c r="G28" s="2407"/>
      <c r="H28" s="2407"/>
      <c r="I28" s="2407"/>
      <c r="J28" s="2407"/>
      <c r="K28" s="2407"/>
      <c r="L28" s="2407"/>
      <c r="M28" s="2407"/>
      <c r="N28" s="2407"/>
      <c r="O28" s="2407"/>
      <c r="P28" s="2407"/>
    </row>
    <row r="29" spans="2:16">
      <c r="B29" s="2407"/>
      <c r="C29" s="2631" t="s">
        <v>6199</v>
      </c>
      <c r="D29" s="2407"/>
      <c r="E29" s="2407"/>
      <c r="F29" s="2407"/>
      <c r="G29" s="2407"/>
      <c r="H29" s="2407"/>
      <c r="I29" s="2407"/>
      <c r="J29" s="2407"/>
      <c r="K29" s="2407"/>
      <c r="L29" s="2407"/>
      <c r="M29" s="2407"/>
      <c r="N29" s="2407"/>
      <c r="O29" s="2407"/>
      <c r="P29" s="2407"/>
    </row>
    <row r="30" spans="2:16">
      <c r="B30" s="2407"/>
      <c r="C30" s="2407"/>
      <c r="D30" s="2407"/>
      <c r="E30" s="2407"/>
      <c r="F30" s="2407"/>
      <c r="G30" s="2407"/>
      <c r="H30" s="2407"/>
      <c r="I30" s="2407"/>
      <c r="J30" s="2407"/>
      <c r="K30" s="2407"/>
      <c r="L30" s="2407"/>
      <c r="M30" s="2407"/>
      <c r="N30" s="2407"/>
      <c r="O30" s="2407"/>
      <c r="P30" s="2407"/>
    </row>
    <row r="31" spans="2:16">
      <c r="B31" s="2407"/>
      <c r="C31" s="2631" t="s">
        <v>6198</v>
      </c>
      <c r="D31" s="2407"/>
      <c r="E31" s="2407"/>
      <c r="F31" s="2407"/>
      <c r="G31" s="2407"/>
      <c r="H31" s="2407"/>
      <c r="I31" s="2407"/>
      <c r="J31" s="2407"/>
      <c r="K31" s="2407"/>
      <c r="L31" s="2407"/>
      <c r="M31" s="2407"/>
      <c r="N31" s="2407"/>
      <c r="O31" s="2407"/>
      <c r="P31" s="2407"/>
    </row>
    <row r="32" spans="2:16">
      <c r="B32" s="2407"/>
      <c r="C32" s="2631" t="s">
        <v>6197</v>
      </c>
      <c r="D32" s="2407"/>
      <c r="E32" s="2407"/>
      <c r="F32" s="2407"/>
      <c r="G32" s="2407"/>
      <c r="H32" s="2407"/>
      <c r="I32" s="2407"/>
      <c r="J32" s="2407"/>
      <c r="K32" s="2407"/>
      <c r="L32" s="2407"/>
      <c r="M32" s="2407"/>
      <c r="N32" s="2407"/>
      <c r="O32" s="2407"/>
      <c r="P32" s="2407"/>
    </row>
    <row r="33" spans="2:16">
      <c r="B33" s="2407"/>
      <c r="C33" s="2631" t="s">
        <v>6196</v>
      </c>
      <c r="D33" s="2407"/>
      <c r="E33" s="2407"/>
      <c r="F33" s="2407"/>
      <c r="G33" s="2407"/>
      <c r="H33" s="2407"/>
      <c r="I33" s="2407"/>
      <c r="J33" s="2407"/>
      <c r="K33" s="2407"/>
      <c r="L33" s="2407"/>
      <c r="M33" s="2407"/>
      <c r="N33" s="2407"/>
      <c r="O33" s="2407"/>
      <c r="P33" s="2407"/>
    </row>
    <row r="34" spans="2:16">
      <c r="B34" s="2407"/>
      <c r="C34" s="2407"/>
      <c r="D34" s="2407"/>
      <c r="E34" s="2407"/>
      <c r="F34" s="2407"/>
      <c r="G34" s="2407"/>
      <c r="H34" s="2407"/>
      <c r="I34" s="2407"/>
      <c r="J34" s="2407"/>
      <c r="K34" s="2407"/>
      <c r="L34" s="2407"/>
      <c r="M34" s="2407"/>
      <c r="N34" s="2407"/>
      <c r="O34" s="2407"/>
      <c r="P34" s="2407"/>
    </row>
    <row r="35" spans="2:16" ht="18.75">
      <c r="B35" s="2409" t="s">
        <v>6195</v>
      </c>
      <c r="C35" s="2407"/>
      <c r="D35" s="2407"/>
      <c r="E35" s="2407"/>
      <c r="F35" s="2407"/>
      <c r="G35" s="2407"/>
      <c r="H35" s="2407"/>
      <c r="I35" s="2407"/>
      <c r="J35" s="2407"/>
      <c r="K35" s="2407"/>
      <c r="L35" s="2407"/>
      <c r="M35" s="2407"/>
      <c r="N35" s="2407"/>
      <c r="O35" s="2407"/>
      <c r="P35" s="2407"/>
    </row>
    <row r="36" spans="2:16">
      <c r="B36" s="2620" t="s">
        <v>108</v>
      </c>
      <c r="C36" s="2624" t="s">
        <v>6194</v>
      </c>
      <c r="D36" s="2407"/>
      <c r="E36" s="2407"/>
      <c r="F36" s="2407"/>
      <c r="G36" s="2407"/>
      <c r="H36" s="2407"/>
      <c r="I36" s="2407"/>
      <c r="J36" s="2407"/>
      <c r="K36" s="2407"/>
      <c r="L36" s="2407"/>
      <c r="M36" s="2407"/>
      <c r="N36" s="2407"/>
      <c r="O36" s="2407"/>
      <c r="P36" s="2407"/>
    </row>
    <row r="37" spans="2:16">
      <c r="B37" s="2407"/>
      <c r="C37" s="2407"/>
      <c r="D37" s="2407"/>
      <c r="E37" s="2407"/>
      <c r="F37" s="2407"/>
      <c r="G37" s="2407"/>
      <c r="H37" s="2407"/>
      <c r="I37" s="2407"/>
      <c r="J37" s="2407"/>
      <c r="K37" s="2407"/>
      <c r="L37" s="2407"/>
      <c r="M37" s="2407"/>
      <c r="N37" s="2407"/>
      <c r="O37" s="2407"/>
      <c r="P37" s="2407"/>
    </row>
    <row r="38" spans="2:16" ht="18.75">
      <c r="B38" s="2409" t="s">
        <v>6193</v>
      </c>
      <c r="C38" s="2407"/>
      <c r="D38" s="2407"/>
      <c r="E38" s="2407"/>
      <c r="F38" s="2407"/>
      <c r="G38" s="2407"/>
      <c r="H38" s="2407"/>
      <c r="I38" s="2407"/>
      <c r="J38" s="2407"/>
      <c r="K38" s="2407"/>
      <c r="L38" s="2407"/>
      <c r="M38" s="2407"/>
      <c r="N38" s="2407"/>
      <c r="O38" s="2407"/>
      <c r="P38" s="2407"/>
    </row>
    <row r="39" spans="2:16">
      <c r="B39" s="2620" t="s">
        <v>108</v>
      </c>
      <c r="C39" s="2624" t="s">
        <v>6192</v>
      </c>
      <c r="D39" s="2407"/>
      <c r="E39" s="2407"/>
      <c r="F39" s="2407"/>
      <c r="G39" s="2407"/>
      <c r="H39" s="2407"/>
      <c r="I39" s="2407"/>
      <c r="J39" s="2407"/>
      <c r="K39" s="2407"/>
      <c r="L39" s="2407"/>
      <c r="M39" s="2407"/>
      <c r="N39" s="2407"/>
      <c r="O39" s="2407"/>
      <c r="P39" s="2407"/>
    </row>
    <row r="40" spans="2:16">
      <c r="B40" s="2624"/>
      <c r="C40" s="2624"/>
      <c r="D40" s="2407"/>
      <c r="E40" s="2407"/>
      <c r="F40" s="2407"/>
      <c r="G40" s="2407"/>
      <c r="H40" s="2407"/>
      <c r="I40" s="2407"/>
      <c r="J40" s="2407"/>
      <c r="K40" s="2407"/>
      <c r="L40" s="2407"/>
      <c r="M40" s="2407"/>
      <c r="N40" s="2407"/>
      <c r="O40" s="2407"/>
      <c r="P40" s="2407"/>
    </row>
    <row r="41" spans="2:16" ht="18.75">
      <c r="B41" s="2409" t="s">
        <v>6191</v>
      </c>
      <c r="C41" s="2407"/>
      <c r="D41" s="2407"/>
      <c r="E41" s="2407"/>
      <c r="F41" s="2407"/>
      <c r="G41" s="2407"/>
      <c r="H41" s="2407"/>
      <c r="I41" s="2407"/>
      <c r="J41" s="2407"/>
      <c r="K41" s="2407"/>
      <c r="L41" s="2407"/>
      <c r="M41" s="2407"/>
      <c r="N41" s="2407"/>
      <c r="O41" s="2407"/>
      <c r="P41" s="2407"/>
    </row>
    <row r="42" spans="2:16">
      <c r="B42" s="2620" t="s">
        <v>108</v>
      </c>
      <c r="C42" s="2623" t="s">
        <v>6190</v>
      </c>
      <c r="D42" s="2407"/>
      <c r="E42" s="2407"/>
      <c r="F42" s="2407"/>
      <c r="G42" s="2407"/>
      <c r="H42" s="2407"/>
      <c r="I42" s="2407"/>
      <c r="J42" s="2407"/>
      <c r="K42" s="2407"/>
      <c r="L42" s="2407"/>
      <c r="M42" s="2407"/>
      <c r="N42" s="2407"/>
      <c r="O42" s="2407"/>
      <c r="P42" s="2407"/>
    </row>
    <row r="43" spans="2:16">
      <c r="B43" s="2407"/>
      <c r="C43" s="2407"/>
      <c r="D43" s="2407"/>
      <c r="E43" s="2407"/>
      <c r="F43" s="2407"/>
      <c r="G43" s="2407"/>
      <c r="H43" s="2407"/>
      <c r="I43" s="2407"/>
      <c r="J43" s="2407"/>
      <c r="K43" s="2407"/>
      <c r="L43" s="2407"/>
      <c r="M43" s="2407"/>
      <c r="N43" s="2407"/>
      <c r="O43" s="2407"/>
      <c r="P43" s="2407"/>
    </row>
    <row r="44" spans="2:16" ht="18.75">
      <c r="B44" s="2409" t="s">
        <v>6189</v>
      </c>
      <c r="C44" s="2407"/>
      <c r="D44" s="2407"/>
      <c r="E44" s="2407"/>
      <c r="F44" s="2407"/>
      <c r="G44" s="2407"/>
      <c r="H44" s="2407"/>
      <c r="I44" s="2407"/>
      <c r="J44" s="2407"/>
      <c r="K44" s="2407"/>
      <c r="L44" s="2407"/>
      <c r="M44" s="2407"/>
      <c r="N44" s="2407"/>
      <c r="O44" s="2407"/>
      <c r="P44" s="2407"/>
    </row>
    <row r="45" spans="2:16">
      <c r="B45" s="2620" t="s">
        <v>108</v>
      </c>
      <c r="C45" s="2624" t="s">
        <v>6188</v>
      </c>
      <c r="D45" s="2407"/>
      <c r="E45" s="2407"/>
      <c r="F45" s="2407"/>
      <c r="G45" s="2407"/>
      <c r="H45" s="2407"/>
      <c r="I45" s="2407"/>
      <c r="J45" s="2407"/>
      <c r="K45" s="2407"/>
      <c r="L45" s="2407"/>
      <c r="M45" s="2407"/>
      <c r="N45" s="2407"/>
      <c r="O45" s="2407"/>
      <c r="P45" s="2407"/>
    </row>
    <row r="46" spans="2:16">
      <c r="B46" s="2407"/>
      <c r="C46" s="2407"/>
      <c r="D46" s="2407"/>
      <c r="E46" s="2407"/>
      <c r="F46" s="2407"/>
      <c r="G46" s="2407"/>
      <c r="H46" s="2407"/>
      <c r="I46" s="2407"/>
      <c r="J46" s="2407"/>
      <c r="K46" s="2407"/>
      <c r="L46" s="2407"/>
      <c r="M46" s="2407"/>
      <c r="N46" s="2407"/>
      <c r="O46" s="2407"/>
      <c r="P46" s="2407"/>
    </row>
    <row r="47" spans="2:16">
      <c r="B47" s="2407"/>
      <c r="C47" s="2407" t="s">
        <v>6187</v>
      </c>
      <c r="D47" s="2407"/>
      <c r="E47" s="2407"/>
      <c r="F47" s="2407"/>
      <c r="G47" s="2407"/>
      <c r="H47" s="2407"/>
      <c r="I47" s="2407"/>
      <c r="J47" s="2407"/>
      <c r="K47" s="2407"/>
      <c r="L47" s="2407"/>
      <c r="M47" s="2407"/>
      <c r="N47" s="2407"/>
      <c r="O47" s="2407"/>
      <c r="P47" s="2407"/>
    </row>
    <row r="48" spans="2:16">
      <c r="B48" s="2407"/>
      <c r="C48" s="2407" t="s">
        <v>6186</v>
      </c>
      <c r="D48" s="2407"/>
      <c r="E48" s="2407"/>
      <c r="F48" s="2407"/>
      <c r="G48" s="2407"/>
      <c r="H48" s="2407"/>
      <c r="I48" s="2407"/>
      <c r="J48" s="2407"/>
      <c r="K48" s="2407"/>
      <c r="L48" s="2407"/>
      <c r="M48" s="2407"/>
      <c r="N48" s="2407"/>
      <c r="O48" s="2407"/>
      <c r="P48" s="2407"/>
    </row>
    <row r="49" spans="1:16">
      <c r="B49" s="2407"/>
      <c r="C49" s="2407" t="s">
        <v>6185</v>
      </c>
      <c r="D49" s="2407"/>
      <c r="E49" s="2407"/>
      <c r="F49" s="2407"/>
      <c r="G49" s="2407"/>
      <c r="H49" s="2407"/>
      <c r="I49" s="2407"/>
      <c r="J49" s="2407"/>
      <c r="K49" s="2407"/>
      <c r="L49" s="2407"/>
      <c r="M49" s="2407"/>
      <c r="N49" s="2407"/>
      <c r="O49" s="2407"/>
      <c r="P49" s="2407"/>
    </row>
    <row r="50" spans="1:16">
      <c r="B50" s="2407"/>
      <c r="C50" s="2407"/>
      <c r="D50" s="2407"/>
      <c r="E50" s="2407"/>
      <c r="F50" s="2407"/>
      <c r="G50" s="2407"/>
      <c r="H50" s="2407"/>
      <c r="I50" s="2407"/>
      <c r="J50" s="2407"/>
      <c r="K50" s="2407"/>
      <c r="L50" s="2407"/>
      <c r="M50" s="2407"/>
      <c r="N50" s="2407"/>
      <c r="O50" s="2407"/>
      <c r="P50" s="2407"/>
    </row>
    <row r="51" spans="1:16">
      <c r="B51" s="2407"/>
      <c r="C51" s="2631" t="s">
        <v>6184</v>
      </c>
      <c r="D51" s="2407"/>
      <c r="E51" s="2407"/>
      <c r="F51" s="2407"/>
      <c r="G51" s="2407"/>
      <c r="H51" s="2407"/>
      <c r="I51" s="2407"/>
      <c r="J51" s="2407"/>
      <c r="K51" s="2407"/>
      <c r="L51" s="2407"/>
      <c r="M51" s="2407"/>
      <c r="N51" s="2407"/>
      <c r="O51" s="2407"/>
      <c r="P51" s="2407"/>
    </row>
    <row r="52" spans="1:16">
      <c r="B52" s="2407"/>
      <c r="C52" s="2631" t="s">
        <v>6183</v>
      </c>
      <c r="D52" s="2407"/>
      <c r="E52" s="2407"/>
      <c r="F52" s="2407"/>
      <c r="G52" s="2407"/>
      <c r="H52" s="2407"/>
      <c r="I52" s="2407"/>
      <c r="J52" s="2407"/>
      <c r="K52" s="2407"/>
      <c r="L52" s="2407"/>
      <c r="M52" s="2407"/>
      <c r="N52" s="2407"/>
      <c r="O52" s="2407"/>
      <c r="P52" s="2407"/>
    </row>
    <row r="53" spans="1:16">
      <c r="B53" s="2407"/>
      <c r="C53" s="2631" t="s">
        <v>6182</v>
      </c>
      <c r="D53" s="2407"/>
      <c r="E53" s="2407"/>
      <c r="F53" s="2407"/>
      <c r="G53" s="2407"/>
      <c r="H53" s="2407"/>
      <c r="I53" s="2407"/>
      <c r="J53" s="2407"/>
      <c r="K53" s="2407"/>
      <c r="L53" s="2407"/>
      <c r="M53" s="2407"/>
      <c r="N53" s="2407"/>
      <c r="O53" s="2407"/>
      <c r="P53" s="2407"/>
    </row>
    <row r="54" spans="1:16">
      <c r="B54" s="2407"/>
      <c r="C54" s="2631" t="s">
        <v>6181</v>
      </c>
      <c r="D54" s="2407"/>
      <c r="E54" s="2407"/>
      <c r="F54" s="2407"/>
      <c r="G54" s="2407"/>
      <c r="H54" s="2407"/>
      <c r="I54" s="2407"/>
      <c r="J54" s="2407"/>
      <c r="K54" s="2407"/>
      <c r="L54" s="2407"/>
      <c r="M54" s="2407"/>
      <c r="N54" s="2407"/>
      <c r="O54" s="2407"/>
      <c r="P54" s="2407"/>
    </row>
    <row r="55" spans="1:16">
      <c r="B55" s="2407"/>
      <c r="C55" s="2407"/>
      <c r="D55" s="2407"/>
      <c r="E55" s="2407"/>
      <c r="F55" s="2407"/>
      <c r="G55" s="2407"/>
      <c r="H55" s="2407"/>
      <c r="I55" s="2407"/>
      <c r="J55" s="2407"/>
      <c r="K55" s="2407"/>
      <c r="L55" s="2407"/>
      <c r="M55" s="2407"/>
      <c r="N55" s="2407"/>
      <c r="O55" s="2407"/>
      <c r="P55" s="2407"/>
    </row>
    <row r="56" spans="1:16">
      <c r="B56" s="2407"/>
      <c r="C56" s="2631" t="s">
        <v>6180</v>
      </c>
      <c r="D56" s="2407"/>
      <c r="E56" s="2407"/>
      <c r="F56" s="2407"/>
      <c r="G56" s="2407"/>
      <c r="H56" s="2407"/>
      <c r="I56" s="2407"/>
      <c r="J56" s="2407"/>
      <c r="K56" s="2407"/>
      <c r="L56" s="2407"/>
      <c r="M56" s="2407"/>
      <c r="N56" s="2407"/>
      <c r="O56" s="2407"/>
      <c r="P56" s="2407"/>
    </row>
    <row r="57" spans="1:16">
      <c r="B57" s="2407"/>
      <c r="C57" s="2631" t="s">
        <v>6179</v>
      </c>
      <c r="D57" s="2407"/>
      <c r="E57" s="2407"/>
      <c r="F57" s="2407"/>
      <c r="G57" s="2407"/>
      <c r="H57" s="2407"/>
      <c r="I57" s="2407"/>
      <c r="J57" s="2407"/>
      <c r="K57" s="2407"/>
      <c r="L57" s="2407"/>
      <c r="M57" s="2407"/>
      <c r="N57" s="2407"/>
      <c r="O57" s="2407"/>
      <c r="P57" s="2407"/>
    </row>
    <row r="58" spans="1:16">
      <c r="B58" s="2407"/>
      <c r="C58" s="2631" t="s">
        <v>6178</v>
      </c>
      <c r="D58" s="2407"/>
      <c r="E58" s="2407"/>
      <c r="F58" s="2407"/>
      <c r="G58" s="2407"/>
      <c r="H58" s="2407"/>
      <c r="I58" s="2407"/>
      <c r="J58" s="2407"/>
      <c r="K58" s="2407"/>
      <c r="L58" s="2407"/>
      <c r="M58" s="2407"/>
      <c r="N58" s="2407"/>
      <c r="O58" s="2407"/>
      <c r="P58" s="2407"/>
    </row>
    <row r="59" spans="1:16">
      <c r="B59" s="2407"/>
      <c r="C59" s="2407"/>
      <c r="D59" s="2407"/>
      <c r="E59" s="2407"/>
      <c r="F59" s="2407"/>
      <c r="G59" s="2407"/>
      <c r="H59" s="2407"/>
      <c r="I59" s="2407"/>
      <c r="J59" s="2407"/>
      <c r="K59" s="2407"/>
      <c r="L59" s="2407"/>
      <c r="M59" s="2407"/>
      <c r="N59" s="2407"/>
      <c r="O59" s="2407"/>
      <c r="P59" s="2407"/>
    </row>
    <row r="60" spans="1:16">
      <c r="A60" s="2625"/>
      <c r="B60" s="2625"/>
      <c r="C60" s="2625"/>
      <c r="D60" s="2625"/>
      <c r="E60" s="2625"/>
      <c r="F60" s="2625"/>
      <c r="G60" s="2625"/>
      <c r="H60" s="2625"/>
      <c r="I60" s="2625"/>
      <c r="J60" s="2625"/>
      <c r="K60" s="2625"/>
      <c r="L60" s="2625"/>
      <c r="M60" s="2625"/>
      <c r="N60" s="2625"/>
      <c r="O60" s="2625"/>
      <c r="P60" s="2625"/>
    </row>
    <row r="61" spans="1:16">
      <c r="B61" s="2407"/>
      <c r="C61" s="2407"/>
      <c r="D61" s="2407"/>
      <c r="E61" s="2407"/>
      <c r="F61" s="2407"/>
      <c r="G61" s="2407"/>
      <c r="H61" s="2407"/>
      <c r="I61" s="2407"/>
      <c r="J61" s="2407"/>
      <c r="K61" s="2407"/>
      <c r="L61" s="2407"/>
      <c r="M61" s="2407"/>
      <c r="N61" s="2407"/>
      <c r="O61" s="2407"/>
      <c r="P61" s="2407"/>
    </row>
    <row r="62" spans="1:16">
      <c r="B62" s="2620" t="s">
        <v>108</v>
      </c>
      <c r="C62" s="2623" t="s">
        <v>6177</v>
      </c>
      <c r="D62" s="2407"/>
      <c r="E62" s="2407"/>
      <c r="F62" s="2407"/>
      <c r="G62" s="2407"/>
      <c r="H62" s="2407"/>
      <c r="I62" s="2407"/>
      <c r="J62" s="2407"/>
      <c r="K62" s="2407"/>
      <c r="L62" s="2407"/>
      <c r="M62" s="2407"/>
      <c r="N62" s="2407"/>
      <c r="O62" s="2407"/>
      <c r="P62" s="2407"/>
    </row>
    <row r="63" spans="1:16">
      <c r="B63" s="2407"/>
      <c r="C63" s="2407"/>
      <c r="D63" s="2407"/>
      <c r="E63" s="2407"/>
      <c r="F63" s="2407"/>
      <c r="G63" s="2407"/>
      <c r="H63" s="2407"/>
      <c r="I63" s="2407"/>
      <c r="J63" s="2407"/>
      <c r="K63" s="2407"/>
      <c r="L63" s="2407"/>
      <c r="M63" s="2407"/>
      <c r="N63" s="2407"/>
      <c r="O63" s="2407"/>
      <c r="P63" s="2407"/>
    </row>
    <row r="64" spans="1:16">
      <c r="B64" s="2407"/>
      <c r="C64" s="2407" t="s">
        <v>6176</v>
      </c>
      <c r="D64" s="2407"/>
      <c r="E64" s="2407"/>
      <c r="F64" s="2407"/>
      <c r="G64" s="2407"/>
      <c r="H64" s="2407"/>
      <c r="I64" s="2407"/>
      <c r="J64" s="2407"/>
      <c r="K64" s="2407"/>
      <c r="L64" s="2407"/>
      <c r="M64" s="2407"/>
      <c r="N64" s="2407"/>
      <c r="O64" s="2407"/>
      <c r="P64" s="2407"/>
    </row>
    <row r="65" spans="2:16">
      <c r="B65" s="2407"/>
      <c r="C65" s="2407" t="s">
        <v>6175</v>
      </c>
      <c r="D65" s="2407"/>
      <c r="E65" s="2407"/>
      <c r="F65" s="2407"/>
      <c r="G65" s="2407"/>
      <c r="H65" s="2407"/>
      <c r="I65" s="2407"/>
      <c r="J65" s="2407"/>
      <c r="K65" s="2407"/>
      <c r="L65" s="2407"/>
      <c r="M65" s="2407"/>
      <c r="N65" s="2407"/>
      <c r="O65" s="2407"/>
      <c r="P65" s="2407"/>
    </row>
    <row r="66" spans="2:16">
      <c r="B66" s="2407"/>
      <c r="C66" s="2407"/>
      <c r="D66" s="2407"/>
      <c r="E66" s="2407"/>
      <c r="F66" s="2407"/>
      <c r="G66" s="2407"/>
      <c r="H66" s="2407"/>
      <c r="I66" s="2407"/>
      <c r="J66" s="2407"/>
      <c r="K66" s="2407"/>
      <c r="L66" s="2407"/>
      <c r="M66" s="2407"/>
      <c r="N66" s="2407"/>
      <c r="O66" s="2407"/>
      <c r="P66" s="2407"/>
    </row>
    <row r="67" spans="2:16">
      <c r="B67" s="2407"/>
      <c r="C67" s="2407" t="s">
        <v>6174</v>
      </c>
      <c r="D67" s="2407"/>
      <c r="E67" s="2407"/>
      <c r="F67" s="2407"/>
      <c r="G67" s="2407"/>
      <c r="H67" s="2407"/>
      <c r="I67" s="2407"/>
      <c r="J67" s="2407"/>
      <c r="K67" s="2407"/>
      <c r="L67" s="2407"/>
      <c r="M67" s="2407"/>
      <c r="N67" s="2407"/>
      <c r="O67" s="2407"/>
      <c r="P67" s="2407"/>
    </row>
    <row r="68" spans="2:16">
      <c r="B68" s="2407"/>
      <c r="C68" s="2407" t="s">
        <v>6173</v>
      </c>
      <c r="D68" s="2407"/>
      <c r="E68" s="2407"/>
      <c r="F68" s="2407"/>
      <c r="G68" s="2407"/>
      <c r="H68" s="2407"/>
      <c r="I68" s="2407"/>
      <c r="J68" s="2407"/>
      <c r="K68" s="2407"/>
      <c r="L68" s="2407"/>
      <c r="M68" s="2407"/>
      <c r="N68" s="2407"/>
      <c r="O68" s="2407"/>
      <c r="P68" s="2407"/>
    </row>
    <row r="69" spans="2:16">
      <c r="B69" s="2407"/>
      <c r="C69" s="2407" t="s">
        <v>6172</v>
      </c>
      <c r="D69" s="2407"/>
      <c r="E69" s="2407"/>
      <c r="F69" s="2407"/>
      <c r="G69" s="2407"/>
      <c r="H69" s="2407"/>
      <c r="I69" s="2407"/>
      <c r="J69" s="2407"/>
      <c r="K69" s="2407"/>
      <c r="L69" s="2407"/>
      <c r="M69" s="2407"/>
      <c r="N69" s="2407"/>
      <c r="O69" s="2407"/>
      <c r="P69" s="2407"/>
    </row>
    <row r="70" spans="2:16">
      <c r="B70" s="2407"/>
      <c r="C70" s="2407" t="s">
        <v>6171</v>
      </c>
      <c r="D70" s="2407"/>
      <c r="E70" s="2407"/>
      <c r="F70" s="2407"/>
      <c r="G70" s="2407"/>
      <c r="H70" s="2407"/>
      <c r="I70" s="2407"/>
      <c r="J70" s="2407"/>
      <c r="K70" s="2407"/>
      <c r="L70" s="2407"/>
      <c r="M70" s="2407"/>
      <c r="N70" s="2407"/>
      <c r="O70" s="2407"/>
      <c r="P70" s="2407"/>
    </row>
    <row r="71" spans="2:16">
      <c r="B71" s="2407"/>
      <c r="C71" s="2407" t="s">
        <v>6170</v>
      </c>
      <c r="D71" s="2407"/>
      <c r="E71" s="2407"/>
      <c r="F71" s="2407"/>
      <c r="G71" s="2407"/>
      <c r="H71" s="2407"/>
      <c r="I71" s="2407"/>
      <c r="J71" s="2407"/>
      <c r="K71" s="2407"/>
      <c r="L71" s="2407"/>
      <c r="M71" s="2407"/>
      <c r="N71" s="2407"/>
      <c r="O71" s="2407"/>
      <c r="P71" s="2407"/>
    </row>
    <row r="72" spans="2:16">
      <c r="B72" s="2407"/>
      <c r="C72" s="2407" t="s">
        <v>6169</v>
      </c>
      <c r="D72" s="2407"/>
      <c r="E72" s="2407"/>
      <c r="F72" s="2407"/>
      <c r="G72" s="2407"/>
      <c r="H72" s="2407"/>
      <c r="I72" s="2407"/>
      <c r="J72" s="2407"/>
      <c r="K72" s="2407"/>
      <c r="L72" s="2407"/>
      <c r="M72" s="2407"/>
      <c r="N72" s="2407"/>
      <c r="O72" s="2407"/>
      <c r="P72" s="2407"/>
    </row>
    <row r="73" spans="2:16">
      <c r="B73" s="2407"/>
      <c r="C73" s="2407" t="s">
        <v>6168</v>
      </c>
      <c r="D73" s="2407"/>
      <c r="E73" s="2407"/>
      <c r="F73" s="2407"/>
      <c r="G73" s="2407"/>
      <c r="H73" s="2407"/>
      <c r="I73" s="2407"/>
      <c r="J73" s="2407"/>
      <c r="K73" s="2407"/>
      <c r="L73" s="2407"/>
      <c r="M73" s="2407"/>
      <c r="N73" s="2407"/>
      <c r="O73" s="2407"/>
      <c r="P73" s="2407"/>
    </row>
    <row r="74" spans="2:16">
      <c r="B74" s="2407"/>
      <c r="C74" s="2407" t="s">
        <v>6167</v>
      </c>
      <c r="D74" s="2407"/>
      <c r="E74" s="2407"/>
      <c r="F74" s="2407"/>
      <c r="G74" s="2407"/>
      <c r="H74" s="2407"/>
      <c r="I74" s="2407"/>
      <c r="J74" s="2407"/>
      <c r="K74" s="2407"/>
      <c r="L74" s="2407"/>
      <c r="M74" s="2407"/>
      <c r="N74" s="2407"/>
      <c r="O74" s="2407"/>
      <c r="P74" s="2407"/>
    </row>
    <row r="75" spans="2:16">
      <c r="B75" s="2407"/>
      <c r="C75" s="2407" t="s">
        <v>6166</v>
      </c>
      <c r="D75" s="2407"/>
      <c r="E75" s="2407"/>
      <c r="F75" s="2407"/>
      <c r="G75" s="2407"/>
      <c r="H75" s="2407"/>
      <c r="I75" s="2407"/>
      <c r="J75" s="2407"/>
      <c r="K75" s="2407"/>
      <c r="L75" s="2407"/>
      <c r="M75" s="2407"/>
      <c r="N75" s="2407"/>
      <c r="O75" s="2407"/>
      <c r="P75" s="2407"/>
    </row>
    <row r="76" spans="2:16">
      <c r="B76" s="2407"/>
      <c r="C76" s="2407" t="s">
        <v>6165</v>
      </c>
      <c r="D76" s="2407"/>
      <c r="E76" s="2407"/>
      <c r="F76" s="2407"/>
      <c r="G76" s="2407"/>
      <c r="H76" s="2407"/>
      <c r="I76" s="2407"/>
      <c r="J76" s="2407"/>
      <c r="K76" s="2407"/>
      <c r="L76" s="2407"/>
      <c r="M76" s="2407"/>
      <c r="N76" s="2407"/>
      <c r="O76" s="2407"/>
      <c r="P76" s="2407"/>
    </row>
    <row r="77" spans="2:16">
      <c r="B77" s="2407"/>
      <c r="C77" s="2407" t="s">
        <v>6164</v>
      </c>
      <c r="D77" s="2407"/>
      <c r="E77" s="2407"/>
      <c r="F77" s="2407"/>
      <c r="G77" s="2407"/>
      <c r="H77" s="2407"/>
      <c r="I77" s="2407"/>
      <c r="J77" s="2407"/>
      <c r="K77" s="2407"/>
      <c r="L77" s="2407"/>
      <c r="M77" s="2407"/>
      <c r="N77" s="2407"/>
      <c r="O77" s="2407"/>
      <c r="P77" s="2407"/>
    </row>
    <row r="78" spans="2:16">
      <c r="B78" s="2407"/>
      <c r="C78" s="2407" t="s">
        <v>6163</v>
      </c>
      <c r="D78" s="2407"/>
      <c r="E78" s="2407"/>
      <c r="F78" s="2407"/>
      <c r="G78" s="2407"/>
      <c r="H78" s="2407"/>
      <c r="I78" s="2407"/>
      <c r="J78" s="2407"/>
      <c r="K78" s="2407"/>
      <c r="L78" s="2407"/>
      <c r="M78" s="2407"/>
      <c r="N78" s="2407"/>
      <c r="O78" s="2407"/>
      <c r="P78" s="2407"/>
    </row>
    <row r="79" spans="2:16">
      <c r="B79" s="2407"/>
      <c r="C79" s="2407" t="s">
        <v>6162</v>
      </c>
      <c r="D79" s="2407"/>
      <c r="E79" s="2407"/>
      <c r="F79" s="2407"/>
      <c r="G79" s="2407"/>
      <c r="H79" s="2407"/>
      <c r="I79" s="2407"/>
      <c r="J79" s="2407"/>
      <c r="K79" s="2407"/>
      <c r="L79" s="2407"/>
      <c r="M79" s="2407"/>
      <c r="N79" s="2407"/>
      <c r="O79" s="2407"/>
      <c r="P79" s="2407"/>
    </row>
    <row r="80" spans="2:16">
      <c r="B80" s="2407"/>
      <c r="C80" s="2407" t="s">
        <v>6161</v>
      </c>
      <c r="D80" s="2407"/>
      <c r="E80" s="2407"/>
      <c r="F80" s="2407"/>
      <c r="G80" s="2407"/>
      <c r="H80" s="2407"/>
      <c r="I80" s="2407"/>
      <c r="J80" s="2407"/>
      <c r="K80" s="2407"/>
      <c r="L80" s="2407"/>
      <c r="M80" s="2407"/>
      <c r="N80" s="2407"/>
      <c r="O80" s="2407"/>
      <c r="P80" s="2407"/>
    </row>
    <row r="81" spans="2:16">
      <c r="B81" s="2407"/>
      <c r="C81" s="2407"/>
      <c r="D81" s="2407"/>
      <c r="E81" s="2407"/>
      <c r="F81" s="2407"/>
      <c r="G81" s="2407"/>
      <c r="H81" s="2407"/>
      <c r="I81" s="2407"/>
      <c r="J81" s="2407"/>
      <c r="K81" s="2407"/>
      <c r="L81" s="2407"/>
      <c r="M81" s="2407"/>
      <c r="N81" s="2407"/>
      <c r="O81" s="2407"/>
      <c r="P81" s="2407"/>
    </row>
    <row r="82" spans="2:16">
      <c r="B82" s="2407"/>
      <c r="C82" s="2407" t="s">
        <v>6160</v>
      </c>
      <c r="D82" s="2407"/>
      <c r="E82" s="2407"/>
      <c r="F82" s="2407"/>
      <c r="G82" s="2407"/>
      <c r="H82" s="2407"/>
      <c r="I82" s="2407"/>
      <c r="J82" s="2407"/>
      <c r="K82" s="2407"/>
      <c r="L82" s="2407"/>
      <c r="M82" s="2407"/>
      <c r="N82" s="2407"/>
      <c r="O82" s="2407"/>
      <c r="P82" s="2407"/>
    </row>
    <row r="83" spans="2:16">
      <c r="B83" s="2407"/>
      <c r="C83" s="2407" t="s">
        <v>6159</v>
      </c>
      <c r="D83" s="2407"/>
      <c r="E83" s="2407"/>
      <c r="F83" s="2407"/>
      <c r="G83" s="2407"/>
      <c r="H83" s="2407"/>
      <c r="I83" s="2407"/>
      <c r="J83" s="2407"/>
      <c r="K83" s="2407"/>
      <c r="L83" s="2407"/>
      <c r="M83" s="2407"/>
      <c r="N83" s="2407"/>
      <c r="O83" s="2407"/>
      <c r="P83" s="2407"/>
    </row>
    <row r="84" spans="2:16">
      <c r="B84" s="2407"/>
      <c r="C84" s="2407"/>
      <c r="D84" s="2407"/>
      <c r="E84" s="2407"/>
      <c r="F84" s="2407"/>
      <c r="G84" s="2407"/>
      <c r="H84" s="2407"/>
      <c r="I84" s="2407"/>
      <c r="J84" s="2407"/>
      <c r="K84" s="2407"/>
      <c r="L84" s="2407"/>
      <c r="M84" s="2407"/>
      <c r="N84" s="2407"/>
      <c r="O84" s="2407"/>
      <c r="P84" s="2407"/>
    </row>
    <row r="85" spans="2:16">
      <c r="B85" s="2407"/>
      <c r="C85" s="2407"/>
      <c r="D85" s="2407"/>
      <c r="E85" s="2407"/>
      <c r="F85" s="2407"/>
      <c r="G85" s="2407"/>
      <c r="H85" s="2407"/>
      <c r="I85" s="2407"/>
      <c r="J85" s="2407"/>
      <c r="K85" s="2407"/>
      <c r="L85" s="2407"/>
      <c r="M85" s="2407"/>
      <c r="N85" s="2407"/>
      <c r="O85" s="2407"/>
      <c r="P85" s="2407"/>
    </row>
    <row r="86" spans="2:16" ht="18.75">
      <c r="B86" s="2409" t="s">
        <v>6158</v>
      </c>
      <c r="C86" s="2407"/>
      <c r="D86" s="2407"/>
      <c r="E86" s="2407"/>
      <c r="F86" s="2407"/>
      <c r="G86" s="2407"/>
      <c r="H86" s="2407"/>
      <c r="I86" s="2407"/>
      <c r="J86" s="2407"/>
      <c r="K86" s="2407"/>
      <c r="L86" s="2407"/>
      <c r="M86" s="2407"/>
      <c r="N86" s="2407"/>
      <c r="O86" s="2407"/>
      <c r="P86" s="2407"/>
    </row>
    <row r="87" spans="2:16">
      <c r="B87" s="2620" t="s">
        <v>108</v>
      </c>
      <c r="C87" s="2623" t="s">
        <v>6157</v>
      </c>
      <c r="D87" s="2407"/>
      <c r="E87" s="2407"/>
      <c r="F87" s="2407"/>
      <c r="G87" s="2407"/>
      <c r="H87" s="2407"/>
      <c r="I87" s="2407"/>
      <c r="J87" s="2407"/>
      <c r="K87" s="2407"/>
      <c r="L87" s="2407"/>
      <c r="M87" s="2407"/>
      <c r="N87" s="2407"/>
      <c r="O87" s="2407"/>
      <c r="P87" s="2407"/>
    </row>
    <row r="88" spans="2:16">
      <c r="B88" s="2407"/>
      <c r="C88" s="2407"/>
      <c r="D88" s="2407"/>
      <c r="E88" s="2407"/>
      <c r="F88" s="2407"/>
      <c r="G88" s="2407"/>
      <c r="H88" s="2407"/>
      <c r="I88" s="2407"/>
      <c r="J88" s="2407"/>
      <c r="K88" s="2407"/>
      <c r="L88" s="2407"/>
      <c r="M88" s="2407"/>
      <c r="N88" s="2407"/>
      <c r="O88" s="2407"/>
      <c r="P88" s="2407"/>
    </row>
    <row r="89" spans="2:16" ht="18.75">
      <c r="B89" s="2620" t="s">
        <v>108</v>
      </c>
      <c r="C89" s="2619" t="s">
        <v>6156</v>
      </c>
      <c r="D89" s="2407"/>
      <c r="E89" s="2407"/>
      <c r="F89" s="2407"/>
      <c r="G89" s="2407"/>
      <c r="H89" s="2407"/>
      <c r="I89" s="2407"/>
      <c r="J89" s="2407"/>
      <c r="K89" s="2407"/>
      <c r="L89" s="2407"/>
      <c r="M89" s="2407"/>
      <c r="N89" s="2407"/>
      <c r="O89" s="2407"/>
      <c r="P89" s="2407"/>
    </row>
    <row r="90" spans="2:16">
      <c r="B90" s="2407"/>
      <c r="C90" s="2407"/>
      <c r="D90" s="2407"/>
      <c r="E90" s="2407"/>
      <c r="F90" s="2407"/>
      <c r="G90" s="2407"/>
      <c r="H90" s="2407"/>
      <c r="I90" s="2407"/>
      <c r="J90" s="2407"/>
      <c r="K90" s="2407"/>
      <c r="L90" s="2407"/>
      <c r="M90" s="2407"/>
      <c r="N90" s="2407"/>
      <c r="O90" s="2407"/>
      <c r="P90" s="2407"/>
    </row>
    <row r="91" spans="2:16" ht="18.75">
      <c r="B91" s="2409" t="s">
        <v>6151</v>
      </c>
      <c r="C91" s="2407"/>
      <c r="D91" s="2407"/>
      <c r="E91" s="2407"/>
      <c r="F91" s="2407"/>
      <c r="G91" s="2407"/>
      <c r="H91" s="2407"/>
      <c r="I91" s="2407"/>
      <c r="J91" s="2407"/>
      <c r="K91" s="2407"/>
      <c r="L91" s="2407"/>
      <c r="M91" s="2407"/>
      <c r="N91" s="2407"/>
      <c r="O91" s="2407"/>
      <c r="P91" s="2407"/>
    </row>
    <row r="92" spans="2:16">
      <c r="B92" s="2620" t="s">
        <v>108</v>
      </c>
      <c r="C92" s="2623" t="s">
        <v>6150</v>
      </c>
      <c r="D92" s="2407"/>
      <c r="E92" s="2407"/>
      <c r="F92" s="2407"/>
      <c r="G92" s="2407"/>
      <c r="H92" s="2407"/>
      <c r="I92" s="2407"/>
      <c r="J92" s="2407"/>
      <c r="K92" s="2407"/>
      <c r="L92" s="2407"/>
      <c r="M92" s="2407"/>
      <c r="N92" s="2407"/>
      <c r="O92" s="2407"/>
      <c r="P92" s="2407"/>
    </row>
    <row r="93" spans="2:16">
      <c r="B93" s="2407"/>
      <c r="C93" s="2407"/>
      <c r="D93" s="2407"/>
      <c r="E93" s="2407"/>
      <c r="F93" s="2407"/>
      <c r="G93" s="2407"/>
      <c r="H93" s="2407"/>
      <c r="I93" s="2407"/>
      <c r="J93" s="2407"/>
      <c r="K93" s="2407"/>
      <c r="L93" s="2407"/>
      <c r="M93" s="2407"/>
      <c r="N93" s="2407"/>
      <c r="O93" s="2407"/>
      <c r="P93" s="2407"/>
    </row>
    <row r="94" spans="2:16" ht="18.75">
      <c r="B94" s="2409" t="s">
        <v>6155</v>
      </c>
      <c r="C94" s="2407"/>
      <c r="D94" s="2407"/>
      <c r="E94" s="2407"/>
      <c r="F94" s="2407"/>
      <c r="G94" s="2407"/>
      <c r="H94" s="2407"/>
      <c r="I94" s="2407"/>
      <c r="J94" s="2407"/>
      <c r="K94" s="2407"/>
      <c r="L94" s="2407"/>
      <c r="M94" s="2407"/>
      <c r="N94" s="2407"/>
      <c r="O94" s="2407"/>
      <c r="P94" s="2407"/>
    </row>
    <row r="95" spans="2:16">
      <c r="B95" s="2620" t="s">
        <v>108</v>
      </c>
      <c r="C95" s="2623" t="s">
        <v>6154</v>
      </c>
      <c r="D95" s="2407"/>
      <c r="E95" s="2407"/>
      <c r="F95" s="2407"/>
      <c r="G95" s="2407"/>
      <c r="H95" s="2407"/>
      <c r="I95" s="2407"/>
      <c r="J95" s="2407"/>
      <c r="K95" s="2407"/>
      <c r="L95" s="2407"/>
      <c r="M95" s="2407"/>
      <c r="N95" s="2407"/>
      <c r="O95" s="2407"/>
      <c r="P95" s="2407"/>
    </row>
    <row r="96" spans="2:16">
      <c r="B96" s="2407"/>
      <c r="C96" s="2407"/>
      <c r="D96" s="2407"/>
      <c r="E96" s="2407"/>
      <c r="F96" s="2407"/>
      <c r="G96" s="2407"/>
      <c r="H96" s="2407"/>
      <c r="I96" s="2407"/>
      <c r="J96" s="2407"/>
      <c r="K96" s="2407"/>
      <c r="L96" s="2407"/>
      <c r="M96" s="2407"/>
      <c r="N96" s="2407"/>
      <c r="O96" s="2407"/>
      <c r="P96" s="2407"/>
    </row>
    <row r="97" spans="1:16" ht="18.75">
      <c r="B97" s="2409" t="s">
        <v>6153</v>
      </c>
      <c r="C97" s="2407"/>
      <c r="D97" s="2407"/>
      <c r="E97" s="2407"/>
      <c r="F97" s="2407"/>
      <c r="G97" s="2407"/>
      <c r="H97" s="2407"/>
      <c r="I97" s="2407"/>
      <c r="J97" s="2407"/>
      <c r="K97" s="2407"/>
      <c r="L97" s="2407"/>
      <c r="M97" s="2407"/>
      <c r="N97" s="2623"/>
      <c r="O97" s="2407"/>
      <c r="P97" s="2407"/>
    </row>
    <row r="98" spans="1:16">
      <c r="B98" s="2620" t="s">
        <v>108</v>
      </c>
      <c r="C98" s="2623" t="s">
        <v>6152</v>
      </c>
      <c r="D98" s="2407"/>
      <c r="E98" s="2407"/>
      <c r="F98" s="2407"/>
      <c r="G98" s="2407"/>
      <c r="H98" s="2407"/>
      <c r="I98" s="2407"/>
      <c r="J98" s="2407"/>
      <c r="K98" s="2407"/>
      <c r="L98" s="2407"/>
      <c r="M98" s="2407"/>
      <c r="N98" s="2623"/>
      <c r="O98" s="2407"/>
      <c r="P98" s="2407"/>
    </row>
    <row r="99" spans="1:16">
      <c r="B99" s="2407"/>
      <c r="C99" s="2407"/>
      <c r="D99" s="2407"/>
      <c r="E99" s="2407"/>
      <c r="F99" s="2407"/>
      <c r="G99" s="2407"/>
      <c r="H99" s="2407"/>
      <c r="I99" s="2407"/>
      <c r="J99" s="2407"/>
      <c r="K99" s="2407"/>
      <c r="L99" s="2407"/>
      <c r="M99" s="2407"/>
      <c r="N99" s="2623"/>
      <c r="O99" s="2407"/>
      <c r="P99" s="2407"/>
    </row>
    <row r="100" spans="1:16" ht="18.75">
      <c r="B100" s="2409" t="s">
        <v>6151</v>
      </c>
      <c r="C100" s="2623"/>
      <c r="D100" s="2407"/>
      <c r="E100" s="2407"/>
      <c r="F100" s="2407"/>
      <c r="G100" s="2407"/>
      <c r="H100" s="2407"/>
      <c r="I100" s="2407"/>
      <c r="J100" s="2407"/>
      <c r="K100" s="2407"/>
      <c r="L100" s="2407"/>
      <c r="M100" s="2626"/>
      <c r="N100" s="2628"/>
      <c r="O100" s="2407"/>
      <c r="P100" s="2407"/>
    </row>
    <row r="101" spans="1:16">
      <c r="B101" s="2620" t="s">
        <v>108</v>
      </c>
      <c r="C101" s="2623" t="s">
        <v>6150</v>
      </c>
      <c r="D101" s="2407"/>
      <c r="E101" s="2407"/>
      <c r="F101" s="2407"/>
      <c r="G101" s="2407"/>
      <c r="H101" s="2407"/>
      <c r="I101" s="2407"/>
      <c r="J101" s="2407"/>
      <c r="K101" s="2407"/>
      <c r="L101" s="2407"/>
      <c r="M101" s="2626"/>
      <c r="N101" s="2626"/>
      <c r="O101" s="2626"/>
      <c r="P101" s="2626"/>
    </row>
    <row r="102" spans="1:16">
      <c r="B102" s="2407"/>
      <c r="C102" s="2407"/>
      <c r="D102" s="2407"/>
      <c r="E102" s="2407"/>
      <c r="F102" s="2407"/>
      <c r="G102" s="2407"/>
      <c r="H102" s="2407"/>
      <c r="I102" s="2407"/>
      <c r="J102" s="2407"/>
      <c r="K102" s="2407"/>
      <c r="L102" s="2407"/>
      <c r="M102" s="2407"/>
      <c r="N102" s="2623"/>
      <c r="O102" s="2407"/>
      <c r="P102" s="2407"/>
    </row>
    <row r="103" spans="1:16" ht="18.75">
      <c r="B103" s="2620" t="s">
        <v>108</v>
      </c>
      <c r="C103" s="2619" t="s">
        <v>6149</v>
      </c>
      <c r="D103" s="2407"/>
      <c r="E103" s="2407"/>
      <c r="F103" s="2407"/>
      <c r="G103" s="2407"/>
      <c r="H103" s="2407"/>
      <c r="I103" s="2407"/>
      <c r="J103" s="2407"/>
      <c r="K103" s="2407"/>
      <c r="L103" s="2407"/>
      <c r="M103" s="2407"/>
      <c r="N103" s="2407"/>
      <c r="O103" s="2407"/>
      <c r="P103" s="2407"/>
    </row>
    <row r="104" spans="1:16">
      <c r="B104" s="2407"/>
      <c r="C104" s="2407"/>
      <c r="D104" s="2407"/>
      <c r="E104" s="2407"/>
      <c r="F104" s="2407"/>
      <c r="G104" s="2407"/>
      <c r="H104" s="2407"/>
      <c r="I104" s="2407"/>
      <c r="J104" s="2407"/>
      <c r="K104" s="2407"/>
      <c r="L104" s="2407"/>
      <c r="M104" s="2407"/>
      <c r="N104" s="2623"/>
      <c r="O104" s="2407"/>
      <c r="P104" s="2407"/>
    </row>
    <row r="105" spans="1:16" ht="18.75">
      <c r="B105" s="2620" t="s">
        <v>108</v>
      </c>
      <c r="C105" s="2619" t="s">
        <v>6148</v>
      </c>
      <c r="D105" s="2407"/>
      <c r="E105" s="2407"/>
      <c r="F105" s="2407"/>
      <c r="G105" s="2407"/>
      <c r="H105" s="2407"/>
      <c r="I105" s="2407"/>
      <c r="J105" s="2407"/>
      <c r="K105" s="2407"/>
      <c r="L105" s="2407"/>
      <c r="M105" s="2407"/>
      <c r="N105" s="2407"/>
      <c r="O105" s="2407"/>
      <c r="P105" s="2407"/>
    </row>
    <row r="106" spans="1:16">
      <c r="B106" s="2407"/>
      <c r="C106" s="2407"/>
      <c r="D106" s="2407"/>
      <c r="E106" s="2407"/>
      <c r="F106" s="2407"/>
      <c r="G106" s="2407"/>
      <c r="H106" s="2407"/>
      <c r="I106" s="2407"/>
      <c r="J106" s="2407"/>
      <c r="K106" s="2407"/>
      <c r="L106" s="2407"/>
      <c r="M106" s="2407"/>
      <c r="N106" s="2407"/>
      <c r="O106" s="2407"/>
      <c r="P106" s="2407"/>
    </row>
    <row r="107" spans="1:16" s="989" customFormat="1" ht="21.75" customHeight="1">
      <c r="A107" s="2410"/>
      <c r="B107" s="2620" t="s">
        <v>108</v>
      </c>
      <c r="C107" s="2619" t="s">
        <v>6147</v>
      </c>
      <c r="E107" s="2587"/>
      <c r="F107" s="2587"/>
      <c r="G107" s="2587"/>
      <c r="H107" s="2587"/>
      <c r="I107" s="2587"/>
      <c r="J107" s="2630"/>
      <c r="K107" s="2629"/>
      <c r="L107" s="2629"/>
      <c r="M107" s="2629"/>
      <c r="N107" s="2626"/>
      <c r="O107" s="2626"/>
      <c r="P107" s="2626"/>
    </row>
    <row r="108" spans="1:16">
      <c r="B108" s="2407"/>
      <c r="C108" s="2407"/>
      <c r="D108" s="2407"/>
      <c r="E108" s="2407"/>
      <c r="F108" s="2407"/>
      <c r="G108" s="2407"/>
      <c r="H108" s="2407"/>
      <c r="I108" s="2407"/>
      <c r="J108" s="2407"/>
      <c r="K108" s="2407"/>
      <c r="L108" s="2407"/>
      <c r="M108" s="2626"/>
      <c r="N108" s="2628"/>
      <c r="O108" s="2407"/>
      <c r="P108" s="2407"/>
    </row>
    <row r="109" spans="1:16" ht="18.75">
      <c r="B109" s="2409" t="s">
        <v>6146</v>
      </c>
      <c r="C109" s="2407"/>
      <c r="D109" s="2407"/>
      <c r="E109" s="2407"/>
      <c r="F109" s="2407"/>
      <c r="G109" s="2407"/>
      <c r="H109" s="2407"/>
      <c r="I109" s="2407"/>
      <c r="J109" s="2407"/>
      <c r="K109" s="2407"/>
      <c r="L109" s="2407"/>
      <c r="M109" s="2626"/>
      <c r="N109" s="2626"/>
      <c r="O109" s="2626"/>
      <c r="P109" s="2626"/>
    </row>
    <row r="110" spans="1:16">
      <c r="B110" s="2620" t="s">
        <v>108</v>
      </c>
      <c r="C110" s="2623" t="s">
        <v>6145</v>
      </c>
      <c r="D110" s="2407"/>
      <c r="E110" s="2407"/>
      <c r="F110" s="2407"/>
      <c r="G110" s="2407"/>
      <c r="H110" s="2407"/>
      <c r="I110" s="2407"/>
      <c r="J110" s="2407"/>
      <c r="K110" s="2407"/>
      <c r="L110" s="2407"/>
      <c r="M110" s="2626"/>
      <c r="N110" s="2626"/>
      <c r="O110" s="2626"/>
      <c r="P110" s="2626"/>
    </row>
    <row r="111" spans="1:16">
      <c r="B111" s="2407"/>
      <c r="C111" s="2407"/>
      <c r="D111" s="2407"/>
      <c r="E111" s="2407"/>
      <c r="F111" s="2407"/>
      <c r="G111" s="2407"/>
      <c r="H111" s="2407"/>
      <c r="I111" s="2407"/>
      <c r="J111" s="2407"/>
      <c r="K111" s="2407"/>
      <c r="L111" s="2407"/>
      <c r="M111" s="2626"/>
      <c r="N111" s="2626"/>
      <c r="O111" s="2626"/>
      <c r="P111" s="2626"/>
    </row>
    <row r="112" spans="1:16">
      <c r="A112" s="2625"/>
      <c r="B112" s="2625"/>
      <c r="C112" s="2625"/>
      <c r="D112" s="2625"/>
      <c r="E112" s="2625"/>
      <c r="F112" s="2625"/>
      <c r="G112" s="2625"/>
      <c r="H112" s="2625"/>
      <c r="I112" s="2625"/>
      <c r="J112" s="2625"/>
      <c r="K112" s="2625"/>
      <c r="L112" s="2625"/>
      <c r="M112" s="2627"/>
      <c r="N112" s="2627"/>
      <c r="O112" s="2627"/>
      <c r="P112" s="2627"/>
    </row>
    <row r="113" spans="1:16">
      <c r="B113" s="2407"/>
      <c r="C113" s="2407"/>
      <c r="D113" s="2407"/>
      <c r="E113" s="2407"/>
      <c r="F113" s="2407"/>
      <c r="G113" s="2407"/>
      <c r="H113" s="2407"/>
      <c r="I113" s="2407"/>
      <c r="J113" s="2407"/>
      <c r="K113" s="2407"/>
      <c r="L113" s="2407"/>
      <c r="M113" s="2626"/>
      <c r="N113" s="2626"/>
      <c r="O113" s="2626"/>
      <c r="P113" s="2626"/>
    </row>
    <row r="114" spans="1:16" ht="18.75">
      <c r="B114" s="2409" t="s">
        <v>6144</v>
      </c>
      <c r="C114" s="2407"/>
      <c r="D114" s="2407"/>
      <c r="E114" s="2407"/>
      <c r="F114" s="2407"/>
      <c r="G114" s="2407"/>
      <c r="H114" s="2407"/>
      <c r="I114" s="2407"/>
      <c r="J114" s="2407"/>
      <c r="K114" s="2407"/>
      <c r="L114" s="2407"/>
      <c r="M114" s="2407"/>
      <c r="N114" s="2407"/>
      <c r="O114" s="2407"/>
      <c r="P114" s="2407"/>
    </row>
    <row r="115" spans="1:16">
      <c r="B115" s="2620" t="s">
        <v>108</v>
      </c>
      <c r="C115" s="2623" t="s">
        <v>6143</v>
      </c>
      <c r="D115" s="2407"/>
      <c r="E115" s="2407"/>
      <c r="F115" s="2407"/>
      <c r="G115" s="2407"/>
      <c r="H115" s="2407"/>
      <c r="I115" s="2407"/>
      <c r="J115" s="2407"/>
      <c r="K115" s="2407"/>
      <c r="L115" s="2407"/>
      <c r="M115" s="2407"/>
      <c r="N115" s="2407"/>
      <c r="O115" s="2407"/>
      <c r="P115" s="2407"/>
    </row>
    <row r="116" spans="1:16">
      <c r="B116" s="2407"/>
      <c r="C116" s="2407"/>
      <c r="D116" s="2407"/>
      <c r="E116" s="2407"/>
      <c r="F116" s="2407"/>
      <c r="G116" s="2407"/>
      <c r="H116" s="2407"/>
      <c r="I116" s="2407"/>
      <c r="J116" s="2407"/>
      <c r="K116" s="2407"/>
      <c r="L116" s="2407"/>
      <c r="M116" s="2626"/>
      <c r="N116" s="2626"/>
      <c r="O116" s="2626"/>
      <c r="P116" s="2626"/>
    </row>
    <row r="117" spans="1:16" ht="18.75">
      <c r="B117" s="2409" t="s">
        <v>6142</v>
      </c>
      <c r="C117" s="2407"/>
      <c r="D117" s="2407"/>
      <c r="E117" s="2407"/>
      <c r="F117" s="2407"/>
      <c r="G117" s="2407"/>
      <c r="H117" s="2407"/>
      <c r="I117" s="2407"/>
      <c r="J117" s="2407"/>
      <c r="K117" s="2407"/>
      <c r="L117" s="2407"/>
      <c r="M117" s="2626"/>
      <c r="N117" s="2626"/>
      <c r="O117" s="2626"/>
      <c r="P117" s="2626"/>
    </row>
    <row r="118" spans="1:16">
      <c r="B118" s="2620" t="s">
        <v>108</v>
      </c>
      <c r="C118" s="2623" t="s">
        <v>6141</v>
      </c>
      <c r="D118" s="2407"/>
      <c r="E118" s="2407"/>
      <c r="F118" s="2407"/>
      <c r="G118" s="2407"/>
      <c r="H118" s="2407"/>
      <c r="I118" s="2407"/>
      <c r="J118" s="2407"/>
      <c r="K118" s="2407"/>
      <c r="L118" s="2407"/>
      <c r="M118" s="2626"/>
      <c r="N118" s="2626"/>
      <c r="O118" s="2626"/>
      <c r="P118" s="2626"/>
    </row>
    <row r="119" spans="1:16">
      <c r="A119" s="2623"/>
      <c r="B119" s="2623"/>
      <c r="C119" s="2623"/>
      <c r="D119" s="2407"/>
      <c r="E119" s="2407"/>
      <c r="F119" s="2407"/>
      <c r="G119" s="2407"/>
      <c r="H119" s="2407"/>
      <c r="I119" s="2407"/>
      <c r="J119" s="2407"/>
      <c r="K119" s="2407"/>
      <c r="L119" s="2407"/>
      <c r="M119" s="2626"/>
      <c r="N119" s="2626"/>
      <c r="O119" s="2626"/>
      <c r="P119" s="2626"/>
    </row>
    <row r="120" spans="1:16" ht="18.75">
      <c r="B120" s="2409" t="s">
        <v>6140</v>
      </c>
      <c r="C120" s="2623"/>
      <c r="D120" s="2407"/>
      <c r="E120" s="2407"/>
      <c r="F120" s="2407"/>
      <c r="G120" s="2407"/>
      <c r="H120" s="2407"/>
      <c r="I120" s="2407"/>
      <c r="J120" s="2407"/>
      <c r="K120" s="2407"/>
      <c r="L120" s="2407"/>
      <c r="M120" s="2626"/>
      <c r="N120" s="2626"/>
      <c r="O120" s="2626"/>
      <c r="P120" s="2626"/>
    </row>
    <row r="121" spans="1:16">
      <c r="B121" s="2620" t="s">
        <v>108</v>
      </c>
      <c r="C121" s="2623" t="s">
        <v>6139</v>
      </c>
      <c r="D121" s="2407"/>
      <c r="E121" s="2407"/>
      <c r="F121" s="2407"/>
      <c r="G121" s="2407"/>
      <c r="H121" s="2407"/>
      <c r="I121" s="2407"/>
      <c r="J121" s="2407"/>
      <c r="K121" s="2407"/>
      <c r="L121" s="2407"/>
      <c r="M121" s="2626"/>
      <c r="N121" s="2626"/>
      <c r="O121" s="2626"/>
      <c r="P121" s="2626"/>
    </row>
    <row r="122" spans="1:16" ht="18">
      <c r="A122" s="2623"/>
      <c r="B122" s="2623"/>
      <c r="C122" s="2621"/>
      <c r="D122" s="2407"/>
      <c r="E122" s="2407"/>
      <c r="F122" s="2407"/>
      <c r="G122" s="2407"/>
      <c r="H122" s="2407"/>
      <c r="I122" s="2407"/>
      <c r="J122" s="2407"/>
      <c r="K122" s="2407"/>
      <c r="L122" s="2407"/>
      <c r="M122" s="2626"/>
      <c r="N122" s="2626"/>
      <c r="O122" s="2626"/>
      <c r="P122" s="2626"/>
    </row>
    <row r="123" spans="1:16" ht="23.25">
      <c r="B123" s="2620" t="s">
        <v>108</v>
      </c>
      <c r="C123" s="2619" t="s">
        <v>6138</v>
      </c>
      <c r="D123" s="2407"/>
      <c r="E123" s="2407"/>
      <c r="F123" s="2587"/>
      <c r="G123" s="2407"/>
      <c r="H123" s="2407"/>
      <c r="I123" s="2407"/>
      <c r="J123" s="2407"/>
      <c r="K123" s="2407"/>
      <c r="L123" s="2407"/>
      <c r="M123" s="2626"/>
      <c r="N123" s="2626"/>
      <c r="O123" s="2626"/>
      <c r="P123" s="2626"/>
    </row>
    <row r="124" spans="1:16" ht="18">
      <c r="B124" s="2407"/>
      <c r="C124" s="2621"/>
      <c r="D124" s="2407"/>
      <c r="E124" s="2407"/>
      <c r="F124" s="2407"/>
      <c r="G124" s="2407"/>
      <c r="H124" s="2407"/>
      <c r="I124" s="2407"/>
      <c r="J124" s="2407"/>
      <c r="K124" s="2407"/>
      <c r="L124" s="2407"/>
      <c r="M124" s="2626"/>
      <c r="N124" s="2626"/>
      <c r="O124" s="2626"/>
      <c r="P124" s="2626"/>
    </row>
    <row r="125" spans="1:16" ht="23.25">
      <c r="B125" s="2620" t="s">
        <v>108</v>
      </c>
      <c r="C125" s="2619" t="s">
        <v>6137</v>
      </c>
      <c r="F125" s="2587"/>
      <c r="G125" s="2407"/>
      <c r="H125" s="2407"/>
      <c r="I125" s="2407"/>
      <c r="J125" s="2407"/>
      <c r="K125" s="2407"/>
      <c r="L125" s="2407"/>
      <c r="M125" s="2626"/>
      <c r="N125" s="2626"/>
      <c r="O125" s="2626"/>
      <c r="P125" s="2626"/>
    </row>
    <row r="126" spans="1:16">
      <c r="B126" s="2407"/>
      <c r="C126" s="2623"/>
      <c r="D126" s="2407"/>
      <c r="E126" s="2407"/>
      <c r="F126" s="2407"/>
      <c r="G126" s="2407"/>
      <c r="H126" s="2407"/>
      <c r="I126" s="2407"/>
      <c r="J126" s="2407"/>
      <c r="K126" s="2407"/>
      <c r="L126" s="2407"/>
      <c r="M126" s="2626"/>
      <c r="N126" s="2626"/>
      <c r="O126" s="2626"/>
      <c r="P126" s="2626"/>
    </row>
    <row r="127" spans="1:16" ht="18.75">
      <c r="B127" s="2409" t="s">
        <v>6136</v>
      </c>
      <c r="C127" s="2623"/>
      <c r="D127" s="2407"/>
      <c r="E127" s="2407"/>
      <c r="F127" s="2407"/>
      <c r="G127" s="2407"/>
      <c r="H127" s="2407"/>
      <c r="I127" s="2407"/>
      <c r="J127" s="2407"/>
      <c r="K127" s="2407"/>
      <c r="L127" s="2407"/>
      <c r="M127" s="2407"/>
      <c r="N127" s="2407"/>
      <c r="O127" s="2407"/>
      <c r="P127" s="2407"/>
    </row>
    <row r="128" spans="1:16">
      <c r="B128" s="2620" t="s">
        <v>108</v>
      </c>
      <c r="C128" s="2623" t="s">
        <v>6135</v>
      </c>
      <c r="D128" s="2407"/>
      <c r="E128" s="2407"/>
      <c r="F128" s="2407"/>
      <c r="G128" s="2407"/>
      <c r="H128" s="2407"/>
      <c r="I128" s="2407"/>
      <c r="J128" s="2407"/>
      <c r="K128" s="2407"/>
      <c r="L128" s="2407"/>
      <c r="M128" s="2407"/>
      <c r="N128" s="2407"/>
      <c r="O128" s="2407"/>
      <c r="P128" s="2407"/>
    </row>
    <row r="129" spans="2:16">
      <c r="B129" s="2407"/>
      <c r="C129" s="2623"/>
      <c r="D129" s="2407"/>
      <c r="E129" s="2407"/>
      <c r="F129" s="2407"/>
      <c r="G129" s="2407"/>
      <c r="H129" s="2407"/>
      <c r="I129" s="2407"/>
      <c r="J129" s="2407"/>
      <c r="K129" s="2407"/>
      <c r="L129" s="2407"/>
      <c r="M129" s="2407"/>
      <c r="N129" s="2407"/>
      <c r="O129" s="2407"/>
      <c r="P129" s="2407"/>
    </row>
    <row r="130" spans="2:16" ht="18.75">
      <c r="B130" s="2409" t="s">
        <v>6134</v>
      </c>
      <c r="C130" s="2407"/>
      <c r="D130" s="2407"/>
      <c r="E130" s="2407"/>
      <c r="F130" s="2407"/>
      <c r="G130" s="2407"/>
      <c r="H130" s="2407"/>
      <c r="I130" s="2407"/>
      <c r="J130" s="2407"/>
      <c r="K130" s="2407"/>
      <c r="L130" s="2407"/>
      <c r="M130" s="2407"/>
      <c r="N130" s="2407"/>
      <c r="O130" s="2407"/>
      <c r="P130" s="2407"/>
    </row>
    <row r="131" spans="2:16">
      <c r="B131" s="2620" t="s">
        <v>108</v>
      </c>
      <c r="C131" s="2623" t="s">
        <v>6133</v>
      </c>
      <c r="D131" s="2407"/>
      <c r="E131" s="2407"/>
      <c r="F131" s="2407"/>
      <c r="G131" s="2407"/>
      <c r="H131" s="2407"/>
      <c r="I131" s="2407"/>
      <c r="J131" s="2407"/>
      <c r="K131" s="2407"/>
      <c r="L131" s="2407"/>
      <c r="M131" s="2407"/>
      <c r="N131" s="2407"/>
      <c r="O131" s="2407"/>
      <c r="P131" s="2407"/>
    </row>
    <row r="132" spans="2:16">
      <c r="B132" s="2407"/>
      <c r="C132" s="2623"/>
      <c r="D132" s="2407"/>
      <c r="E132" s="2407"/>
      <c r="F132" s="2407"/>
      <c r="G132" s="2407"/>
      <c r="H132" s="2407"/>
      <c r="I132" s="2407"/>
      <c r="J132" s="2407"/>
      <c r="K132" s="2407"/>
      <c r="L132" s="2407"/>
      <c r="M132" s="2407"/>
      <c r="N132" s="2407"/>
      <c r="O132" s="2407"/>
      <c r="P132" s="2407"/>
    </row>
    <row r="133" spans="2:16" ht="18.75">
      <c r="B133" s="2409" t="s">
        <v>6132</v>
      </c>
      <c r="C133" s="2407"/>
      <c r="D133" s="2407"/>
      <c r="E133" s="2407"/>
      <c r="F133" s="2407"/>
      <c r="G133" s="2407"/>
      <c r="H133" s="2407"/>
      <c r="I133" s="2407"/>
      <c r="J133" s="2407"/>
      <c r="K133" s="2407"/>
      <c r="L133" s="2407"/>
      <c r="M133" s="2407"/>
      <c r="N133" s="2407"/>
      <c r="O133" s="2407"/>
      <c r="P133" s="2407"/>
    </row>
    <row r="134" spans="2:16">
      <c r="B134" s="2620" t="s">
        <v>108</v>
      </c>
      <c r="C134" s="2623" t="s">
        <v>6131</v>
      </c>
      <c r="D134" s="2407"/>
      <c r="E134" s="2407"/>
      <c r="F134" s="2407"/>
      <c r="G134" s="2407"/>
      <c r="H134" s="2407"/>
      <c r="I134" s="2407"/>
      <c r="J134" s="2407"/>
      <c r="K134" s="2407"/>
      <c r="L134" s="2407"/>
      <c r="M134" s="2407"/>
      <c r="N134" s="2407"/>
      <c r="O134" s="2407"/>
      <c r="P134" s="2407"/>
    </row>
    <row r="135" spans="2:16">
      <c r="B135" s="2407"/>
      <c r="C135" s="2407"/>
      <c r="D135" s="2407"/>
      <c r="E135" s="2407"/>
      <c r="F135" s="2407"/>
      <c r="G135" s="2407"/>
      <c r="H135" s="2407"/>
      <c r="I135" s="2407"/>
      <c r="J135" s="2407"/>
      <c r="K135" s="2407"/>
      <c r="L135" s="2407"/>
      <c r="M135" s="2407"/>
      <c r="N135" s="2407"/>
      <c r="O135" s="2407"/>
      <c r="P135" s="2407"/>
    </row>
    <row r="136" spans="2:16" ht="18.75">
      <c r="B136" s="2409" t="s">
        <v>6130</v>
      </c>
      <c r="C136" s="2407"/>
      <c r="D136" s="2407"/>
      <c r="E136" s="2407"/>
      <c r="F136" s="2407"/>
      <c r="G136" s="2407"/>
      <c r="H136" s="2407"/>
      <c r="I136" s="2407"/>
      <c r="J136" s="2407"/>
      <c r="K136" s="2407"/>
      <c r="L136" s="2407"/>
      <c r="M136" s="2407"/>
      <c r="N136" s="2407"/>
      <c r="O136" s="2407"/>
      <c r="P136" s="2407"/>
    </row>
    <row r="137" spans="2:16">
      <c r="B137" s="2620" t="s">
        <v>108</v>
      </c>
      <c r="C137" s="2623" t="s">
        <v>6129</v>
      </c>
      <c r="D137" s="2407"/>
      <c r="E137" s="2407"/>
      <c r="F137" s="2407"/>
      <c r="G137" s="2407"/>
      <c r="H137" s="2407"/>
      <c r="I137" s="2407"/>
      <c r="J137" s="2407"/>
      <c r="K137" s="2407"/>
      <c r="L137" s="2407"/>
      <c r="M137" s="2407"/>
      <c r="N137" s="2407"/>
      <c r="O137" s="2407"/>
      <c r="P137" s="2407"/>
    </row>
    <row r="138" spans="2:16">
      <c r="B138" s="2407"/>
      <c r="C138" s="2407"/>
      <c r="D138" s="2407"/>
      <c r="E138" s="2407"/>
      <c r="F138" s="2407"/>
      <c r="G138" s="2407"/>
      <c r="H138" s="2407"/>
      <c r="I138" s="2407"/>
      <c r="J138" s="2407"/>
      <c r="K138" s="2407"/>
      <c r="L138" s="2407"/>
      <c r="M138" s="2407"/>
      <c r="N138" s="2407"/>
      <c r="O138" s="2407"/>
      <c r="P138" s="2407"/>
    </row>
    <row r="139" spans="2:16" ht="18.75">
      <c r="B139" s="2409" t="s">
        <v>6128</v>
      </c>
      <c r="C139" s="2407"/>
      <c r="D139" s="2407"/>
      <c r="E139" s="2407"/>
      <c r="F139" s="2407"/>
      <c r="G139" s="2407"/>
      <c r="H139" s="2407"/>
      <c r="I139" s="2407"/>
      <c r="J139" s="2407"/>
      <c r="K139" s="2407"/>
      <c r="L139" s="2407"/>
      <c r="M139" s="2407"/>
      <c r="N139" s="2407"/>
      <c r="O139" s="2407"/>
      <c r="P139" s="2407"/>
    </row>
    <row r="140" spans="2:16">
      <c r="B140" s="2620" t="s">
        <v>108</v>
      </c>
      <c r="C140" s="2623" t="s">
        <v>6127</v>
      </c>
      <c r="D140" s="2407"/>
      <c r="E140" s="2407"/>
      <c r="F140" s="2407"/>
      <c r="G140" s="2407"/>
      <c r="H140" s="2407"/>
      <c r="I140" s="2407"/>
      <c r="J140" s="2407"/>
      <c r="K140" s="2407"/>
      <c r="L140" s="2407"/>
      <c r="M140" s="2407"/>
      <c r="N140" s="2407"/>
      <c r="O140" s="2407"/>
      <c r="P140" s="2407"/>
    </row>
    <row r="141" spans="2:16">
      <c r="B141" s="2407"/>
      <c r="C141" s="2407"/>
      <c r="D141" s="2407"/>
      <c r="E141" s="2407"/>
      <c r="F141" s="2407"/>
      <c r="G141" s="2407"/>
      <c r="H141" s="2407"/>
      <c r="I141" s="2407"/>
      <c r="J141" s="2407"/>
      <c r="K141" s="2407"/>
      <c r="L141" s="2407"/>
      <c r="M141" s="2407"/>
      <c r="N141" s="2407"/>
      <c r="O141" s="2407"/>
      <c r="P141" s="2407"/>
    </row>
    <row r="142" spans="2:16" ht="18.75">
      <c r="B142" s="2409" t="s">
        <v>6126</v>
      </c>
      <c r="C142" s="2407"/>
      <c r="D142" s="2407"/>
      <c r="E142" s="2407"/>
      <c r="F142" s="2407"/>
      <c r="G142" s="2407"/>
      <c r="H142" s="2407"/>
      <c r="I142" s="2407"/>
      <c r="J142" s="2407"/>
      <c r="K142" s="2407"/>
      <c r="L142" s="2407"/>
      <c r="M142" s="2407"/>
      <c r="N142" s="2407"/>
      <c r="O142" s="2407"/>
      <c r="P142" s="2407"/>
    </row>
    <row r="143" spans="2:16">
      <c r="B143" s="2620" t="s">
        <v>108</v>
      </c>
      <c r="C143" s="2623" t="s">
        <v>6125</v>
      </c>
      <c r="D143" s="2407"/>
      <c r="E143" s="2407"/>
      <c r="F143" s="2407"/>
      <c r="G143" s="2407"/>
      <c r="H143" s="2407"/>
      <c r="I143" s="2407"/>
      <c r="J143" s="2407"/>
      <c r="K143" s="2407"/>
      <c r="L143" s="2407"/>
      <c r="M143" s="2407"/>
      <c r="N143" s="2407"/>
      <c r="O143" s="2407"/>
      <c r="P143" s="2407"/>
    </row>
    <row r="144" spans="2:16">
      <c r="B144" s="2407"/>
      <c r="C144" s="2407"/>
      <c r="D144" s="2407"/>
      <c r="E144" s="2407"/>
      <c r="F144" s="2407"/>
      <c r="G144" s="2407"/>
      <c r="H144" s="2407"/>
      <c r="I144" s="2407"/>
      <c r="J144" s="2407"/>
      <c r="K144" s="2407"/>
      <c r="L144" s="2407"/>
      <c r="M144" s="2407"/>
      <c r="N144" s="2407"/>
      <c r="O144" s="2407"/>
      <c r="P144" s="2407"/>
    </row>
    <row r="145" spans="2:16" ht="18.75">
      <c r="B145" s="2409" t="s">
        <v>6124</v>
      </c>
      <c r="C145" s="2407"/>
      <c r="D145" s="2407"/>
      <c r="E145" s="2407"/>
      <c r="F145" s="2407"/>
      <c r="G145" s="2407"/>
      <c r="H145" s="2407"/>
      <c r="I145" s="2407"/>
      <c r="J145" s="2407"/>
      <c r="K145" s="2407"/>
      <c r="L145" s="2407"/>
      <c r="M145" s="2407"/>
      <c r="N145" s="2407"/>
      <c r="O145" s="2407"/>
      <c r="P145" s="2407"/>
    </row>
    <row r="146" spans="2:16">
      <c r="B146" s="2620" t="s">
        <v>108</v>
      </c>
      <c r="C146" s="2623" t="s">
        <v>6123</v>
      </c>
      <c r="D146" s="2407"/>
      <c r="E146" s="2407"/>
      <c r="F146" s="2407"/>
      <c r="G146" s="2407"/>
      <c r="H146" s="2407"/>
      <c r="I146" s="2407"/>
      <c r="J146" s="2407"/>
      <c r="K146" s="2407"/>
      <c r="L146" s="2407"/>
      <c r="M146" s="2407"/>
      <c r="N146" s="2407"/>
      <c r="O146" s="2407"/>
      <c r="P146" s="2407"/>
    </row>
    <row r="147" spans="2:16">
      <c r="B147" s="2407"/>
      <c r="C147" s="2407"/>
      <c r="D147" s="2407"/>
      <c r="E147" s="2407"/>
      <c r="F147" s="2407"/>
      <c r="G147" s="2407"/>
      <c r="H147" s="2407"/>
      <c r="I147" s="2407"/>
      <c r="J147" s="2407"/>
      <c r="K147" s="2407"/>
      <c r="L147" s="2407"/>
      <c r="M147" s="2407"/>
      <c r="N147" s="2407"/>
      <c r="O147" s="2407"/>
      <c r="P147" s="2407"/>
    </row>
    <row r="148" spans="2:16" ht="18.75">
      <c r="B148" s="2409" t="s">
        <v>6122</v>
      </c>
      <c r="C148" s="2407"/>
      <c r="D148" s="2407"/>
      <c r="E148" s="2407"/>
      <c r="F148" s="2407"/>
      <c r="G148" s="2407"/>
      <c r="H148" s="2407"/>
      <c r="I148" s="2407"/>
      <c r="J148" s="2407"/>
      <c r="K148" s="2407"/>
      <c r="L148" s="2407"/>
      <c r="M148" s="2407"/>
      <c r="N148" s="2407"/>
      <c r="O148" s="2407"/>
      <c r="P148" s="2407"/>
    </row>
    <row r="149" spans="2:16">
      <c r="B149" s="2620" t="s">
        <v>108</v>
      </c>
      <c r="C149" s="2623" t="s">
        <v>6121</v>
      </c>
      <c r="D149" s="2407"/>
      <c r="E149" s="2407"/>
      <c r="F149" s="2407"/>
      <c r="G149" s="2407"/>
      <c r="H149" s="2407"/>
      <c r="I149" s="2407"/>
      <c r="J149" s="2407"/>
      <c r="K149" s="2407"/>
      <c r="L149" s="2407"/>
      <c r="M149" s="2407"/>
      <c r="N149" s="2407"/>
      <c r="O149" s="2407"/>
      <c r="P149" s="2407"/>
    </row>
    <row r="150" spans="2:16">
      <c r="B150" s="2407"/>
      <c r="C150" s="2407"/>
      <c r="D150" s="2407"/>
      <c r="E150" s="2407"/>
      <c r="F150" s="2407"/>
      <c r="G150" s="2407"/>
      <c r="H150" s="2407"/>
      <c r="I150" s="2407"/>
      <c r="J150" s="2407"/>
      <c r="K150" s="2407"/>
      <c r="L150" s="2407"/>
      <c r="M150" s="2407"/>
      <c r="N150" s="2407"/>
      <c r="O150" s="2407"/>
      <c r="P150" s="2407"/>
    </row>
    <row r="151" spans="2:16" ht="18.75">
      <c r="B151" s="2409" t="s">
        <v>6120</v>
      </c>
      <c r="C151" s="2409"/>
      <c r="D151" s="2407"/>
      <c r="E151" s="2407"/>
      <c r="F151" s="2407"/>
      <c r="G151" s="2407"/>
      <c r="H151" s="2407"/>
      <c r="I151" s="2407"/>
      <c r="J151" s="2407"/>
      <c r="K151" s="2407"/>
      <c r="L151" s="2407"/>
      <c r="M151" s="2407"/>
      <c r="N151" s="2407"/>
      <c r="O151" s="2407"/>
      <c r="P151" s="2407"/>
    </row>
    <row r="152" spans="2:16">
      <c r="B152" s="2620" t="s">
        <v>108</v>
      </c>
      <c r="C152" s="2623" t="s">
        <v>6119</v>
      </c>
      <c r="D152" s="2407"/>
      <c r="E152" s="2407"/>
      <c r="F152" s="2407"/>
      <c r="G152" s="2407"/>
      <c r="H152" s="2407"/>
      <c r="I152" s="2407"/>
      <c r="J152" s="2407"/>
      <c r="K152" s="2407"/>
      <c r="L152" s="2407"/>
      <c r="M152" s="2407"/>
      <c r="N152" s="2407"/>
      <c r="O152" s="2407"/>
      <c r="P152" s="2407"/>
    </row>
    <row r="153" spans="2:16">
      <c r="B153" s="2407"/>
      <c r="C153" s="2407"/>
      <c r="D153" s="2407"/>
      <c r="E153" s="2407"/>
      <c r="F153" s="2407"/>
      <c r="G153" s="2407"/>
      <c r="H153" s="2407"/>
      <c r="I153" s="2407"/>
      <c r="J153" s="2407"/>
      <c r="K153" s="2407"/>
      <c r="L153" s="2407"/>
      <c r="M153" s="2407"/>
      <c r="N153" s="2407"/>
      <c r="O153" s="2407"/>
      <c r="P153" s="2407"/>
    </row>
    <row r="154" spans="2:16" ht="18.75">
      <c r="B154" s="2409" t="s">
        <v>6118</v>
      </c>
      <c r="C154" s="2409"/>
      <c r="D154" s="2407"/>
      <c r="E154" s="2407"/>
      <c r="F154" s="2407"/>
      <c r="G154" s="2407"/>
      <c r="H154" s="2407"/>
      <c r="I154" s="2407"/>
      <c r="J154" s="2407"/>
      <c r="K154" s="2407"/>
      <c r="L154" s="2407"/>
      <c r="M154" s="2407"/>
      <c r="N154" s="2407"/>
      <c r="O154" s="2407"/>
      <c r="P154" s="2407"/>
    </row>
    <row r="155" spans="2:16">
      <c r="B155" s="2620" t="s">
        <v>108</v>
      </c>
      <c r="C155" s="2623" t="s">
        <v>6117</v>
      </c>
      <c r="D155" s="2407"/>
      <c r="E155" s="2407"/>
      <c r="F155" s="2407"/>
      <c r="G155" s="2407"/>
      <c r="H155" s="2407"/>
      <c r="I155" s="2407"/>
      <c r="J155" s="2407"/>
      <c r="K155" s="2407"/>
      <c r="L155" s="2407"/>
      <c r="M155" s="2407"/>
      <c r="N155" s="2407"/>
      <c r="O155" s="2407"/>
      <c r="P155" s="2407"/>
    </row>
    <row r="156" spans="2:16">
      <c r="B156" s="2407"/>
      <c r="C156" s="2407"/>
      <c r="D156" s="2407"/>
      <c r="E156" s="2407"/>
      <c r="F156" s="2407"/>
      <c r="G156" s="2407"/>
      <c r="H156" s="2407"/>
      <c r="I156" s="2407"/>
      <c r="J156" s="2407"/>
      <c r="K156" s="2407"/>
      <c r="L156" s="2407"/>
      <c r="M156" s="2407"/>
      <c r="N156" s="2407"/>
      <c r="O156" s="2407"/>
      <c r="P156" s="2407"/>
    </row>
    <row r="157" spans="2:16" ht="18.75">
      <c r="B157" s="2409" t="s">
        <v>6116</v>
      </c>
      <c r="C157" s="2409"/>
      <c r="D157" s="2407"/>
      <c r="E157" s="2407"/>
      <c r="F157" s="2407"/>
      <c r="G157" s="2407"/>
      <c r="H157" s="2407"/>
      <c r="I157" s="2407"/>
      <c r="J157" s="2407"/>
      <c r="K157" s="2407"/>
      <c r="L157" s="2407"/>
      <c r="M157" s="2407"/>
      <c r="N157" s="2407"/>
      <c r="O157" s="2407"/>
      <c r="P157" s="2407"/>
    </row>
    <row r="158" spans="2:16">
      <c r="B158" s="2620" t="s">
        <v>108</v>
      </c>
      <c r="C158" s="2623" t="s">
        <v>6115</v>
      </c>
      <c r="D158" s="2407"/>
      <c r="E158" s="2407"/>
      <c r="F158" s="2407"/>
      <c r="G158" s="2407"/>
      <c r="H158" s="2407"/>
      <c r="I158" s="2407"/>
      <c r="J158" s="2407"/>
      <c r="K158" s="2407"/>
      <c r="L158" s="2407"/>
      <c r="M158" s="2407"/>
      <c r="N158" s="2407"/>
      <c r="O158" s="2407"/>
      <c r="P158" s="2407"/>
    </row>
    <row r="159" spans="2:16">
      <c r="B159" s="2407"/>
      <c r="C159" s="2407"/>
      <c r="D159" s="2407"/>
      <c r="E159" s="2407"/>
      <c r="F159" s="2407"/>
      <c r="G159" s="2407"/>
      <c r="H159" s="2407"/>
      <c r="I159" s="2407"/>
      <c r="J159" s="2407"/>
      <c r="K159" s="2407"/>
      <c r="L159" s="2407"/>
      <c r="M159" s="2407"/>
      <c r="N159" s="2407"/>
      <c r="O159" s="2407"/>
      <c r="P159" s="2407"/>
    </row>
    <row r="160" spans="2:16" ht="18.75">
      <c r="B160" s="2409" t="s">
        <v>6114</v>
      </c>
      <c r="C160" s="2409"/>
      <c r="D160" s="2407"/>
      <c r="E160" s="2407"/>
      <c r="F160" s="2407"/>
      <c r="G160" s="2407"/>
      <c r="H160" s="2407"/>
      <c r="I160" s="2407"/>
      <c r="J160" s="2407"/>
      <c r="K160" s="2407"/>
      <c r="L160" s="2407"/>
      <c r="M160" s="2407"/>
      <c r="N160" s="2407"/>
      <c r="O160" s="2407"/>
      <c r="P160" s="2407"/>
    </row>
    <row r="161" spans="1:16">
      <c r="B161" s="2620" t="s">
        <v>108</v>
      </c>
      <c r="C161" s="2623" t="s">
        <v>6063</v>
      </c>
      <c r="D161" s="2407"/>
      <c r="E161" s="2407"/>
      <c r="F161" s="2407"/>
      <c r="G161" s="2407"/>
      <c r="H161" s="2407"/>
      <c r="I161" s="2407"/>
      <c r="J161" s="2407"/>
      <c r="K161" s="2407"/>
      <c r="L161" s="2407"/>
      <c r="M161" s="2407"/>
      <c r="N161" s="2407"/>
      <c r="O161" s="2407"/>
      <c r="P161" s="2407"/>
    </row>
    <row r="162" spans="1:16">
      <c r="B162" s="2407"/>
      <c r="C162" s="2407"/>
      <c r="D162" s="2407"/>
      <c r="E162" s="2407"/>
      <c r="F162" s="2407"/>
      <c r="G162" s="2407"/>
      <c r="H162" s="2407"/>
      <c r="I162" s="2407"/>
      <c r="J162" s="2407"/>
      <c r="K162" s="2407"/>
      <c r="L162" s="2407"/>
      <c r="M162" s="2407"/>
      <c r="N162" s="2407"/>
      <c r="O162" s="2407"/>
      <c r="P162" s="2407"/>
    </row>
    <row r="163" spans="1:16">
      <c r="A163" s="2625"/>
      <c r="B163" s="2625"/>
      <c r="C163" s="2625"/>
      <c r="D163" s="2625"/>
      <c r="E163" s="2625"/>
      <c r="F163" s="2625"/>
      <c r="G163" s="2625"/>
      <c r="H163" s="2625"/>
      <c r="I163" s="2625"/>
      <c r="J163" s="2625"/>
      <c r="K163" s="2625"/>
      <c r="L163" s="2625"/>
      <c r="M163" s="2625"/>
      <c r="N163" s="2625"/>
      <c r="O163" s="2625"/>
      <c r="P163" s="2625"/>
    </row>
    <row r="164" spans="1:16">
      <c r="B164" s="2407"/>
      <c r="C164" s="2407"/>
      <c r="D164" s="2407"/>
      <c r="E164" s="2407"/>
      <c r="F164" s="2407"/>
      <c r="G164" s="2407"/>
      <c r="H164" s="2407"/>
      <c r="I164" s="2407"/>
      <c r="J164" s="2407"/>
      <c r="K164" s="2407"/>
      <c r="L164" s="2407"/>
      <c r="M164" s="2407"/>
      <c r="N164" s="2407"/>
      <c r="O164" s="2407"/>
      <c r="P164" s="2407"/>
    </row>
    <row r="165" spans="1:16" ht="18.75">
      <c r="B165" s="2409" t="s">
        <v>6113</v>
      </c>
      <c r="C165" s="2407"/>
      <c r="D165" s="2407"/>
      <c r="E165" s="2407"/>
      <c r="F165" s="2407"/>
      <c r="G165" s="2407"/>
      <c r="H165" s="2407"/>
      <c r="I165" s="2407"/>
      <c r="J165" s="2407"/>
      <c r="K165" s="2407"/>
      <c r="L165" s="2407"/>
      <c r="M165" s="2407"/>
      <c r="N165" s="2407"/>
      <c r="O165" s="2407"/>
      <c r="P165" s="2407"/>
    </row>
    <row r="166" spans="1:16">
      <c r="B166" s="2620" t="s">
        <v>108</v>
      </c>
      <c r="C166" s="2623" t="s">
        <v>6112</v>
      </c>
      <c r="D166" s="2407"/>
      <c r="E166" s="2407"/>
      <c r="F166" s="2407"/>
      <c r="G166" s="2407"/>
      <c r="H166" s="2407"/>
      <c r="I166" s="2407"/>
      <c r="J166" s="2407"/>
      <c r="K166" s="2407"/>
      <c r="L166" s="2407"/>
      <c r="M166" s="2407"/>
      <c r="N166" s="2407"/>
      <c r="O166" s="2407"/>
      <c r="P166" s="2407"/>
    </row>
    <row r="167" spans="1:16">
      <c r="B167" s="2407"/>
      <c r="C167" s="2407"/>
      <c r="D167" s="2407"/>
      <c r="E167" s="2407"/>
      <c r="F167" s="2407"/>
      <c r="G167" s="2407"/>
      <c r="H167" s="2407"/>
      <c r="I167" s="2407"/>
      <c r="J167" s="2407"/>
      <c r="K167" s="2407"/>
      <c r="L167" s="2407"/>
      <c r="M167" s="2407"/>
      <c r="N167" s="2407"/>
      <c r="O167" s="2407"/>
      <c r="P167" s="2407"/>
    </row>
    <row r="168" spans="1:16" ht="18.75">
      <c r="B168" s="2409" t="s">
        <v>6111</v>
      </c>
      <c r="C168" s="2407"/>
      <c r="D168" s="2407"/>
      <c r="E168" s="2407"/>
      <c r="F168" s="2407"/>
      <c r="G168" s="2407"/>
      <c r="H168" s="2407"/>
      <c r="I168" s="2407"/>
      <c r="J168" s="2407"/>
      <c r="K168" s="2407"/>
      <c r="L168" s="2407"/>
      <c r="M168" s="2407"/>
      <c r="N168" s="2407"/>
      <c r="O168" s="2407"/>
      <c r="P168" s="2407"/>
    </row>
    <row r="169" spans="1:16">
      <c r="B169" s="2620" t="s">
        <v>108</v>
      </c>
      <c r="C169" s="2623" t="s">
        <v>6110</v>
      </c>
      <c r="D169" s="2407"/>
      <c r="E169" s="2407"/>
      <c r="F169" s="2407"/>
      <c r="G169" s="2407"/>
      <c r="H169" s="2407"/>
      <c r="I169" s="2407"/>
      <c r="J169" s="2407"/>
      <c r="K169" s="2407"/>
      <c r="L169" s="2407"/>
      <c r="M169" s="2407"/>
      <c r="N169" s="2407"/>
      <c r="O169" s="2407"/>
      <c r="P169" s="2407"/>
    </row>
    <row r="170" spans="1:16" ht="18.75">
      <c r="B170" s="2409" t="s">
        <v>6109</v>
      </c>
      <c r="C170" s="2409"/>
      <c r="D170" s="2407"/>
      <c r="E170" s="2407"/>
      <c r="F170" s="2407"/>
      <c r="G170" s="2407"/>
      <c r="H170" s="2407"/>
      <c r="I170" s="2407"/>
      <c r="J170" s="2407"/>
      <c r="K170" s="2407"/>
      <c r="L170" s="2407"/>
      <c r="M170" s="2407"/>
      <c r="N170" s="2407"/>
      <c r="O170" s="2407"/>
      <c r="P170" s="2407"/>
    </row>
    <row r="171" spans="1:16">
      <c r="B171" s="2620" t="s">
        <v>108</v>
      </c>
      <c r="C171" s="2623" t="s">
        <v>6108</v>
      </c>
      <c r="D171" s="2407"/>
      <c r="E171" s="2407"/>
      <c r="F171" s="2407"/>
      <c r="G171" s="2407"/>
      <c r="H171" s="2407"/>
      <c r="I171" s="2407"/>
      <c r="J171" s="2407"/>
      <c r="K171" s="2407"/>
      <c r="L171" s="2407"/>
      <c r="M171" s="2407"/>
      <c r="N171" s="2407"/>
      <c r="O171" s="2407"/>
      <c r="P171" s="2407"/>
    </row>
    <row r="172" spans="1:16">
      <c r="B172" s="2407"/>
      <c r="C172" s="2407"/>
      <c r="D172" s="2407"/>
      <c r="E172" s="2407"/>
      <c r="F172" s="2407"/>
      <c r="G172" s="2407"/>
      <c r="H172" s="2407"/>
      <c r="I172" s="2407"/>
      <c r="J172" s="2407"/>
      <c r="K172" s="2407"/>
      <c r="L172" s="2407"/>
      <c r="M172" s="2407"/>
      <c r="N172" s="2407"/>
      <c r="O172" s="2407"/>
      <c r="P172" s="2407"/>
    </row>
    <row r="173" spans="1:16" ht="18.75">
      <c r="B173" s="2409" t="s">
        <v>6107</v>
      </c>
      <c r="C173" s="2409"/>
      <c r="D173" s="2407"/>
      <c r="E173" s="2407"/>
      <c r="F173" s="2407"/>
      <c r="G173" s="2407"/>
      <c r="H173" s="2407"/>
      <c r="I173" s="2407"/>
      <c r="J173" s="2407"/>
      <c r="K173" s="2407"/>
      <c r="L173" s="2407"/>
      <c r="M173" s="2407"/>
      <c r="N173" s="2407"/>
      <c r="O173" s="2407"/>
      <c r="P173" s="2407"/>
    </row>
    <row r="174" spans="1:16">
      <c r="B174" s="2620" t="s">
        <v>108</v>
      </c>
      <c r="C174" s="2623" t="s">
        <v>6106</v>
      </c>
      <c r="D174" s="2407"/>
      <c r="E174" s="2407"/>
      <c r="F174" s="2407"/>
      <c r="G174" s="2407"/>
      <c r="H174" s="2407"/>
      <c r="I174" s="2407"/>
      <c r="J174" s="2407"/>
      <c r="K174" s="2407"/>
      <c r="L174" s="2407"/>
      <c r="M174" s="2407"/>
      <c r="N174" s="2407"/>
      <c r="O174" s="2407"/>
      <c r="P174" s="2407"/>
    </row>
    <row r="175" spans="1:16">
      <c r="B175" s="2407"/>
      <c r="C175" s="2407"/>
      <c r="D175" s="2407"/>
      <c r="E175" s="2407"/>
      <c r="F175" s="2407"/>
      <c r="G175" s="2407"/>
      <c r="H175" s="2407"/>
      <c r="I175" s="2407"/>
      <c r="J175" s="2407"/>
      <c r="K175" s="2407"/>
      <c r="L175" s="2407"/>
      <c r="M175" s="2407"/>
      <c r="N175" s="2407"/>
      <c r="O175" s="2407"/>
      <c r="P175" s="2407"/>
    </row>
    <row r="176" spans="1:16" ht="18.75">
      <c r="B176" s="2409" t="s">
        <v>6105</v>
      </c>
      <c r="C176" s="2409"/>
      <c r="D176" s="2407"/>
      <c r="E176" s="2407"/>
      <c r="F176" s="2407"/>
      <c r="G176" s="2407"/>
      <c r="H176" s="2407"/>
      <c r="I176" s="2407"/>
      <c r="J176" s="2407"/>
      <c r="K176" s="2407"/>
      <c r="L176" s="2407"/>
      <c r="M176" s="2407"/>
      <c r="N176" s="2407"/>
      <c r="O176" s="2407"/>
      <c r="P176" s="2407"/>
    </row>
    <row r="177" spans="2:16">
      <c r="B177" s="2620" t="s">
        <v>108</v>
      </c>
      <c r="C177" s="2623" t="s">
        <v>6104</v>
      </c>
      <c r="D177" s="2407"/>
      <c r="E177" s="2407"/>
      <c r="F177" s="2407"/>
      <c r="G177" s="2407"/>
      <c r="H177" s="2407"/>
      <c r="I177" s="2407"/>
      <c r="J177" s="2407"/>
      <c r="K177" s="2407"/>
      <c r="L177" s="2407"/>
      <c r="M177" s="2407"/>
      <c r="N177" s="2407"/>
      <c r="O177" s="2407"/>
      <c r="P177" s="2407"/>
    </row>
    <row r="178" spans="2:16">
      <c r="B178" s="2407"/>
      <c r="C178" s="2407"/>
      <c r="D178" s="2407"/>
      <c r="E178" s="2407"/>
      <c r="F178" s="2407"/>
      <c r="G178" s="2407"/>
      <c r="H178" s="2407"/>
      <c r="I178" s="2407"/>
      <c r="J178" s="2407"/>
      <c r="K178" s="2407"/>
      <c r="L178" s="2407"/>
      <c r="M178" s="2407"/>
      <c r="N178" s="2407"/>
      <c r="O178" s="2407"/>
      <c r="P178" s="2407"/>
    </row>
    <row r="179" spans="2:16" ht="18.75">
      <c r="B179" s="2409" t="s">
        <v>6103</v>
      </c>
      <c r="C179" s="2409"/>
      <c r="D179" s="2407"/>
      <c r="E179" s="2407"/>
      <c r="F179" s="2407"/>
      <c r="G179" s="2407"/>
      <c r="H179" s="2407"/>
      <c r="I179" s="2407"/>
      <c r="J179" s="2407"/>
      <c r="K179" s="2407"/>
      <c r="L179" s="2407"/>
      <c r="M179" s="2407"/>
      <c r="N179" s="2407"/>
      <c r="O179" s="2407"/>
      <c r="P179" s="2407"/>
    </row>
    <row r="180" spans="2:16">
      <c r="B180" s="2620" t="s">
        <v>108</v>
      </c>
      <c r="C180" s="2623" t="s">
        <v>6102</v>
      </c>
      <c r="D180" s="2407"/>
      <c r="E180" s="2407"/>
      <c r="F180" s="2407"/>
      <c r="G180" s="2407"/>
      <c r="H180" s="2407"/>
      <c r="I180" s="2407"/>
      <c r="J180" s="2407"/>
      <c r="K180" s="2407"/>
      <c r="L180" s="2407"/>
      <c r="M180" s="2407"/>
      <c r="N180" s="2407"/>
      <c r="O180" s="2407"/>
      <c r="P180" s="2407"/>
    </row>
    <row r="181" spans="2:16">
      <c r="B181" s="2407"/>
      <c r="C181" s="2407"/>
      <c r="D181" s="2407"/>
      <c r="E181" s="2407"/>
      <c r="F181" s="2407"/>
      <c r="G181" s="2407"/>
      <c r="H181" s="2407"/>
      <c r="I181" s="2407"/>
      <c r="J181" s="2407"/>
      <c r="K181" s="2407"/>
      <c r="L181" s="2407"/>
      <c r="M181" s="2407"/>
      <c r="N181" s="2407"/>
      <c r="O181" s="2407"/>
      <c r="P181" s="2407"/>
    </row>
    <row r="182" spans="2:16" ht="18.75">
      <c r="B182" s="2409" t="s">
        <v>6101</v>
      </c>
      <c r="C182" s="2409"/>
      <c r="D182" s="2407"/>
      <c r="E182" s="2407"/>
      <c r="F182" s="2407"/>
      <c r="G182" s="2407"/>
      <c r="H182" s="2407"/>
      <c r="I182" s="2407"/>
      <c r="J182" s="2407"/>
      <c r="K182" s="2407"/>
      <c r="L182" s="2407"/>
      <c r="M182" s="2407"/>
      <c r="N182" s="2407"/>
      <c r="O182" s="2407"/>
      <c r="P182" s="2407"/>
    </row>
    <row r="183" spans="2:16">
      <c r="B183" s="2620" t="s">
        <v>108</v>
      </c>
      <c r="C183" s="2623" t="s">
        <v>6100</v>
      </c>
      <c r="D183" s="2407"/>
      <c r="E183" s="2407"/>
      <c r="F183" s="2407"/>
      <c r="G183" s="2407"/>
      <c r="H183" s="2407"/>
      <c r="I183" s="2407"/>
      <c r="J183" s="2407"/>
      <c r="K183" s="2407"/>
      <c r="L183" s="2407"/>
      <c r="M183" s="2407"/>
      <c r="N183" s="2407"/>
      <c r="O183" s="2407"/>
      <c r="P183" s="2407"/>
    </row>
    <row r="184" spans="2:16">
      <c r="B184" s="2407"/>
      <c r="C184" s="2407"/>
      <c r="D184" s="2407"/>
      <c r="E184" s="2407"/>
      <c r="F184" s="2407"/>
      <c r="G184" s="2407"/>
      <c r="H184" s="2407"/>
      <c r="I184" s="2407"/>
      <c r="J184" s="2407"/>
      <c r="K184" s="2407"/>
      <c r="L184" s="2407"/>
      <c r="M184" s="2407"/>
      <c r="N184" s="2407"/>
      <c r="O184" s="2407"/>
      <c r="P184" s="2407"/>
    </row>
    <row r="185" spans="2:16">
      <c r="B185" s="2625"/>
      <c r="C185" s="2625"/>
      <c r="D185" s="2625"/>
      <c r="E185" s="2625"/>
      <c r="F185" s="2625"/>
      <c r="G185" s="2625"/>
      <c r="H185" s="2625"/>
      <c r="I185" s="2625"/>
      <c r="J185" s="2625"/>
      <c r="K185" s="2625"/>
      <c r="L185" s="2625"/>
      <c r="M185" s="2625"/>
      <c r="N185" s="2625"/>
      <c r="O185" s="2625"/>
      <c r="P185" s="2625"/>
    </row>
    <row r="186" spans="2:16">
      <c r="B186" s="2407"/>
      <c r="C186" s="2407"/>
      <c r="D186" s="2407"/>
      <c r="E186" s="2407"/>
      <c r="F186" s="2407"/>
      <c r="G186" s="2407"/>
      <c r="H186" s="2407"/>
      <c r="I186" s="2407"/>
      <c r="J186" s="2407"/>
      <c r="K186" s="2407"/>
      <c r="L186" s="2407"/>
      <c r="M186" s="2407"/>
      <c r="N186" s="2407"/>
      <c r="O186" s="2407"/>
      <c r="P186" s="2407"/>
    </row>
    <row r="187" spans="2:16" ht="18.75">
      <c r="B187" s="2409" t="s">
        <v>6099</v>
      </c>
      <c r="C187" s="2407"/>
      <c r="D187" s="2407"/>
      <c r="E187" s="2407"/>
      <c r="F187" s="2407"/>
      <c r="G187" s="2407"/>
      <c r="H187" s="2407"/>
      <c r="I187" s="2407"/>
      <c r="J187" s="2407"/>
      <c r="K187" s="2407"/>
      <c r="L187" s="2407"/>
      <c r="M187" s="2407"/>
      <c r="N187" s="2407"/>
      <c r="O187" s="2407"/>
      <c r="P187" s="2407"/>
    </row>
    <row r="188" spans="2:16">
      <c r="B188" s="2620" t="s">
        <v>108</v>
      </c>
      <c r="C188" s="2624" t="s">
        <v>6098</v>
      </c>
      <c r="D188" s="2407"/>
      <c r="E188" s="2407"/>
      <c r="F188" s="2407"/>
      <c r="G188" s="2407"/>
      <c r="H188" s="2407"/>
      <c r="I188" s="2407"/>
      <c r="J188" s="2407"/>
      <c r="K188" s="2407"/>
      <c r="L188" s="2407"/>
      <c r="M188" s="2407"/>
      <c r="N188" s="2407"/>
      <c r="O188" s="2407"/>
      <c r="P188" s="2407"/>
    </row>
    <row r="189" spans="2:16">
      <c r="B189" s="4959" t="s">
        <v>6097</v>
      </c>
      <c r="C189" s="4959"/>
      <c r="D189" s="2624" t="s">
        <v>6096</v>
      </c>
      <c r="E189" s="2407"/>
      <c r="F189" s="2407"/>
      <c r="G189" s="2407"/>
      <c r="H189" s="2407"/>
      <c r="I189" s="2407"/>
      <c r="J189" s="2407"/>
      <c r="K189" s="2407"/>
      <c r="L189" s="2407"/>
      <c r="M189" s="2407"/>
      <c r="N189" s="2407"/>
      <c r="O189" s="2407"/>
      <c r="P189" s="2407"/>
    </row>
    <row r="190" spans="2:16">
      <c r="B190" s="2407"/>
      <c r="C190" s="2407"/>
      <c r="D190" s="2407"/>
      <c r="E190" s="2407"/>
      <c r="F190" s="2407"/>
      <c r="G190" s="2407"/>
      <c r="H190" s="2407"/>
      <c r="I190" s="2407"/>
      <c r="J190" s="2407"/>
      <c r="K190" s="2407"/>
      <c r="L190" s="2407"/>
      <c r="M190" s="2407"/>
      <c r="N190" s="2407"/>
      <c r="O190" s="2407"/>
      <c r="P190" s="2407"/>
    </row>
    <row r="191" spans="2:16" ht="18.75">
      <c r="B191" s="2409" t="s">
        <v>6083</v>
      </c>
      <c r="C191" s="2409"/>
      <c r="D191" s="2407"/>
      <c r="E191" s="2407"/>
      <c r="F191" s="2407"/>
      <c r="G191" s="2407"/>
      <c r="H191" s="2407"/>
      <c r="I191" s="2407"/>
      <c r="J191" s="2407"/>
      <c r="K191" s="2407"/>
      <c r="L191" s="2407"/>
      <c r="M191" s="2407"/>
      <c r="N191" s="2407"/>
      <c r="O191" s="2407"/>
      <c r="P191" s="2407"/>
    </row>
    <row r="192" spans="2:16">
      <c r="B192" s="2620" t="s">
        <v>108</v>
      </c>
      <c r="C192" s="2623" t="s">
        <v>6082</v>
      </c>
      <c r="D192" s="2407"/>
      <c r="E192" s="2407"/>
      <c r="F192" s="2407"/>
      <c r="G192" s="2407"/>
      <c r="H192" s="2407"/>
      <c r="I192" s="2407"/>
      <c r="J192" s="2407"/>
      <c r="K192" s="2407"/>
      <c r="L192" s="2407"/>
      <c r="M192" s="2407"/>
      <c r="N192" s="2407"/>
      <c r="O192" s="2407"/>
      <c r="P192" s="2407"/>
    </row>
    <row r="193" spans="2:16">
      <c r="B193" s="2407"/>
      <c r="C193" s="2407"/>
      <c r="D193" s="2407"/>
      <c r="E193" s="2407"/>
      <c r="F193" s="2407"/>
      <c r="G193" s="2407"/>
      <c r="H193" s="2407"/>
      <c r="I193" s="2407"/>
      <c r="J193" s="2407"/>
      <c r="K193" s="2407"/>
      <c r="L193" s="2407"/>
      <c r="M193" s="2407"/>
      <c r="N193" s="2407"/>
      <c r="O193" s="2407"/>
      <c r="P193" s="2407"/>
    </row>
    <row r="194" spans="2:16" ht="18.75">
      <c r="B194" s="2409" t="s">
        <v>6095</v>
      </c>
      <c r="C194" s="2409"/>
      <c r="D194" s="2407"/>
      <c r="E194" s="2407"/>
      <c r="F194" s="2407"/>
      <c r="G194" s="2407"/>
      <c r="H194" s="2407"/>
      <c r="I194" s="2407"/>
      <c r="J194" s="2407"/>
      <c r="K194" s="2407"/>
      <c r="L194" s="2407"/>
      <c r="M194" s="2407"/>
      <c r="N194" s="2407"/>
      <c r="O194" s="2407"/>
      <c r="P194" s="2407"/>
    </row>
    <row r="195" spans="2:16">
      <c r="B195" s="2620" t="s">
        <v>108</v>
      </c>
      <c r="C195" s="2623" t="s">
        <v>6094</v>
      </c>
      <c r="D195" s="2407"/>
      <c r="E195" s="2407"/>
      <c r="F195" s="2407"/>
      <c r="G195" s="2407"/>
      <c r="H195" s="2407"/>
      <c r="I195" s="2407"/>
      <c r="J195" s="2407"/>
      <c r="K195" s="2407"/>
      <c r="L195" s="2407"/>
      <c r="M195" s="2407"/>
      <c r="N195" s="2407"/>
      <c r="O195" s="2407"/>
      <c r="P195" s="2407"/>
    </row>
    <row r="196" spans="2:16">
      <c r="B196" s="2407"/>
      <c r="C196" s="2407"/>
      <c r="D196" s="2407"/>
      <c r="E196" s="2407"/>
      <c r="F196" s="2407"/>
      <c r="G196" s="2407"/>
      <c r="H196" s="2407"/>
      <c r="I196" s="2407"/>
      <c r="J196" s="2407"/>
      <c r="K196" s="2407"/>
      <c r="L196" s="2407"/>
      <c r="M196" s="2407"/>
      <c r="N196" s="2407"/>
      <c r="O196" s="2407"/>
      <c r="P196" s="2407"/>
    </row>
    <row r="197" spans="2:16" ht="18.75">
      <c r="B197" s="2409" t="s">
        <v>6093</v>
      </c>
      <c r="C197" s="2409"/>
      <c r="D197" s="2407"/>
      <c r="E197" s="2407"/>
      <c r="F197" s="2407"/>
      <c r="G197" s="2407"/>
      <c r="H197" s="2407"/>
      <c r="I197" s="2407"/>
      <c r="J197" s="2407"/>
      <c r="K197" s="2407"/>
      <c r="L197" s="2407"/>
      <c r="M197" s="2407"/>
      <c r="N197" s="2407"/>
      <c r="O197" s="2407"/>
      <c r="P197" s="2407"/>
    </row>
    <row r="198" spans="2:16">
      <c r="B198" s="2620" t="s">
        <v>108</v>
      </c>
      <c r="C198" s="2623" t="s">
        <v>6092</v>
      </c>
      <c r="D198" s="2407"/>
      <c r="E198" s="2407"/>
      <c r="F198" s="2407"/>
      <c r="G198" s="2407"/>
      <c r="H198" s="2407"/>
      <c r="I198" s="2407"/>
      <c r="J198" s="2407"/>
      <c r="K198" s="2407"/>
      <c r="L198" s="2407"/>
      <c r="M198" s="2407"/>
      <c r="N198" s="2407"/>
      <c r="O198" s="2407"/>
      <c r="P198" s="2407"/>
    </row>
    <row r="199" spans="2:16">
      <c r="B199" s="2407"/>
      <c r="C199" s="2407"/>
      <c r="D199" s="2407"/>
      <c r="E199" s="2407"/>
      <c r="F199" s="2407"/>
      <c r="G199" s="2407"/>
      <c r="H199" s="2407"/>
      <c r="I199" s="2407"/>
      <c r="J199" s="2407"/>
      <c r="K199" s="2407"/>
      <c r="L199" s="2407"/>
      <c r="M199" s="2407"/>
      <c r="N199" s="2407"/>
      <c r="O199" s="2407"/>
      <c r="P199" s="2407"/>
    </row>
    <row r="200" spans="2:16" ht="18.75">
      <c r="B200" s="2409" t="s">
        <v>6091</v>
      </c>
      <c r="C200" s="2409"/>
      <c r="D200" s="2407"/>
      <c r="E200" s="2407"/>
      <c r="F200" s="2407"/>
      <c r="G200" s="2407"/>
      <c r="H200" s="2407"/>
      <c r="I200" s="2407"/>
      <c r="J200" s="2407"/>
      <c r="K200" s="2407"/>
      <c r="L200" s="2407"/>
      <c r="M200" s="2407"/>
      <c r="N200" s="2407"/>
      <c r="O200" s="2407"/>
      <c r="P200" s="2407"/>
    </row>
    <row r="201" spans="2:16">
      <c r="B201" s="2620" t="s">
        <v>108</v>
      </c>
      <c r="C201" s="2623" t="s">
        <v>6090</v>
      </c>
      <c r="D201" s="2407"/>
      <c r="E201" s="2407"/>
      <c r="F201" s="2407"/>
      <c r="G201" s="2407"/>
      <c r="H201" s="2407"/>
      <c r="I201" s="2407"/>
      <c r="J201" s="2407"/>
      <c r="K201" s="2407"/>
      <c r="L201" s="2407"/>
      <c r="M201" s="2407"/>
      <c r="N201" s="2407"/>
      <c r="O201" s="2407"/>
      <c r="P201" s="2407"/>
    </row>
    <row r="202" spans="2:16">
      <c r="B202" s="2407"/>
      <c r="C202" s="2407"/>
      <c r="D202" s="2407"/>
      <c r="E202" s="2407"/>
      <c r="F202" s="2407"/>
      <c r="G202" s="2407"/>
      <c r="H202" s="2407"/>
      <c r="I202" s="2407"/>
      <c r="J202" s="2407"/>
      <c r="K202" s="2407"/>
      <c r="L202" s="2407"/>
      <c r="M202" s="2407"/>
      <c r="N202" s="2407"/>
      <c r="O202" s="2407"/>
      <c r="P202" s="2407"/>
    </row>
    <row r="203" spans="2:16">
      <c r="B203" s="2407" t="s">
        <v>6089</v>
      </c>
      <c r="C203" s="2407"/>
      <c r="D203" s="2407"/>
      <c r="E203" s="2407"/>
      <c r="F203" s="2407"/>
      <c r="G203" s="2407"/>
      <c r="H203" s="2407"/>
      <c r="I203" s="2407"/>
      <c r="J203" s="2407"/>
      <c r="K203" s="2407"/>
      <c r="L203" s="2407"/>
      <c r="M203" s="2407"/>
      <c r="N203" s="2407"/>
      <c r="O203" s="2407"/>
      <c r="P203" s="2407"/>
    </row>
    <row r="204" spans="2:16">
      <c r="B204" s="2407" t="s">
        <v>6088</v>
      </c>
      <c r="C204" s="2407"/>
      <c r="D204" s="2407"/>
      <c r="E204" s="2407"/>
      <c r="F204" s="2407"/>
      <c r="G204" s="2407"/>
      <c r="H204" s="2407"/>
      <c r="I204" s="2407"/>
      <c r="J204" s="2407"/>
      <c r="K204" s="2407"/>
      <c r="L204" s="2407"/>
      <c r="M204" s="2407"/>
      <c r="N204" s="2407"/>
      <c r="O204" s="2407"/>
      <c r="P204" s="2407"/>
    </row>
    <row r="205" spans="2:16">
      <c r="B205" s="2407" t="s">
        <v>6087</v>
      </c>
      <c r="C205" s="2407"/>
      <c r="D205" s="2407"/>
      <c r="E205" s="2623"/>
      <c r="F205" s="2407"/>
      <c r="G205" s="2407"/>
      <c r="H205" s="2407"/>
      <c r="I205" s="2407"/>
      <c r="J205" s="2407"/>
      <c r="K205" s="2407"/>
      <c r="L205" s="2407"/>
      <c r="M205" s="2407"/>
      <c r="N205" s="2407"/>
      <c r="O205" s="2407"/>
      <c r="P205" s="2407"/>
    </row>
    <row r="206" spans="2:16">
      <c r="B206" s="2407" t="s">
        <v>6086</v>
      </c>
      <c r="C206" s="2407"/>
      <c r="D206" s="2407"/>
      <c r="E206" s="2407"/>
      <c r="F206" s="2407"/>
      <c r="G206" s="2407"/>
      <c r="H206" s="2407"/>
      <c r="I206" s="2407"/>
      <c r="J206" s="2407"/>
      <c r="K206" s="2407"/>
      <c r="L206" s="2407"/>
      <c r="M206" s="2407"/>
      <c r="N206" s="2407"/>
      <c r="O206" s="2407"/>
      <c r="P206" s="2407"/>
    </row>
    <row r="207" spans="2:16">
      <c r="B207" s="2407"/>
      <c r="C207" s="2407"/>
      <c r="D207" s="2407"/>
      <c r="E207" s="2407"/>
      <c r="F207" s="2407"/>
      <c r="G207" s="2407"/>
      <c r="H207" s="2407"/>
      <c r="I207" s="2407"/>
      <c r="J207" s="2407"/>
      <c r="K207" s="2407"/>
      <c r="L207" s="2407"/>
      <c r="M207" s="2407"/>
      <c r="N207" s="2407"/>
      <c r="O207" s="2407"/>
      <c r="P207" s="2407"/>
    </row>
    <row r="208" spans="2:16" ht="18.75">
      <c r="B208" s="2409" t="s">
        <v>6085</v>
      </c>
      <c r="C208" s="2409"/>
      <c r="D208" s="2407"/>
      <c r="E208" s="2407"/>
      <c r="F208" s="2407"/>
      <c r="G208" s="2407"/>
      <c r="H208" s="2407"/>
      <c r="I208" s="2407"/>
      <c r="J208" s="2407"/>
      <c r="K208" s="2407"/>
      <c r="L208" s="2407"/>
      <c r="M208" s="2407"/>
      <c r="N208" s="2407"/>
      <c r="O208" s="2407"/>
      <c r="P208" s="2407"/>
    </row>
    <row r="209" spans="2:16">
      <c r="B209" s="2620" t="s">
        <v>108</v>
      </c>
      <c r="C209" s="2623" t="s">
        <v>6084</v>
      </c>
      <c r="D209" s="2407"/>
      <c r="E209" s="2407"/>
      <c r="F209" s="2407"/>
      <c r="G209" s="2407"/>
      <c r="H209" s="2407"/>
      <c r="I209" s="2407"/>
      <c r="J209" s="2407"/>
      <c r="K209" s="2407"/>
      <c r="L209" s="2407"/>
      <c r="M209" s="2407"/>
      <c r="N209" s="2407"/>
      <c r="O209" s="2407"/>
      <c r="P209" s="2407"/>
    </row>
    <row r="210" spans="2:16">
      <c r="B210" s="2407"/>
      <c r="C210" s="2407"/>
      <c r="D210" s="2407"/>
      <c r="E210" s="2407"/>
      <c r="F210" s="2407"/>
      <c r="G210" s="2407"/>
      <c r="H210" s="2407"/>
      <c r="I210" s="2407"/>
      <c r="J210" s="2407"/>
      <c r="K210" s="2407"/>
      <c r="L210" s="2407"/>
      <c r="M210" s="2407"/>
      <c r="N210" s="2407"/>
      <c r="O210" s="2407"/>
      <c r="P210" s="2407"/>
    </row>
    <row r="211" spans="2:16" ht="18.75">
      <c r="B211" s="2409" t="s">
        <v>6083</v>
      </c>
      <c r="C211" s="2409"/>
      <c r="D211" s="2407"/>
      <c r="E211" s="2407"/>
      <c r="F211" s="2407"/>
      <c r="G211" s="2407"/>
      <c r="H211" s="2407"/>
      <c r="I211" s="2407"/>
      <c r="J211" s="2407"/>
      <c r="K211" s="2407"/>
      <c r="L211" s="2407"/>
      <c r="M211" s="2407"/>
      <c r="N211" s="2407"/>
      <c r="O211" s="2407"/>
      <c r="P211" s="2407"/>
    </row>
    <row r="212" spans="2:16">
      <c r="B212" s="2620" t="s">
        <v>108</v>
      </c>
      <c r="C212" s="2623" t="s">
        <v>6082</v>
      </c>
      <c r="D212" s="2407"/>
      <c r="E212" s="2407"/>
      <c r="F212" s="2407"/>
      <c r="G212" s="2407"/>
      <c r="H212" s="2407"/>
      <c r="I212" s="2407"/>
      <c r="J212" s="2407"/>
      <c r="K212" s="2407"/>
      <c r="L212" s="2407"/>
      <c r="M212" s="2407"/>
      <c r="N212" s="2407"/>
      <c r="O212" s="2407"/>
      <c r="P212" s="2407"/>
    </row>
    <row r="213" spans="2:16">
      <c r="B213" s="2407"/>
      <c r="C213" s="2407"/>
      <c r="D213" s="2407"/>
      <c r="E213" s="2407"/>
      <c r="F213" s="2407"/>
      <c r="G213" s="2407"/>
      <c r="H213" s="2407"/>
      <c r="I213" s="2407"/>
      <c r="J213" s="2407"/>
      <c r="K213" s="2407"/>
      <c r="L213" s="2407"/>
      <c r="M213" s="2407"/>
      <c r="N213" s="2407"/>
      <c r="O213" s="2407"/>
      <c r="P213" s="2407"/>
    </row>
    <row r="214" spans="2:16" ht="18.75">
      <c r="B214" s="2409" t="s">
        <v>6081</v>
      </c>
      <c r="C214" s="2409"/>
      <c r="D214" s="2407"/>
      <c r="E214" s="2407"/>
      <c r="F214" s="2407"/>
      <c r="G214" s="2407"/>
      <c r="H214" s="2407"/>
      <c r="I214" s="2407"/>
      <c r="J214" s="2407"/>
      <c r="K214" s="2407"/>
      <c r="L214" s="2407"/>
      <c r="M214" s="2407"/>
      <c r="N214" s="2407"/>
      <c r="O214" s="2407"/>
      <c r="P214" s="2407"/>
    </row>
    <row r="215" spans="2:16">
      <c r="B215" s="2620" t="s">
        <v>108</v>
      </c>
      <c r="C215" s="2623" t="s">
        <v>6080</v>
      </c>
      <c r="D215" s="2407"/>
      <c r="E215" s="2407"/>
      <c r="F215" s="2407"/>
      <c r="G215" s="2407"/>
      <c r="H215" s="2407"/>
      <c r="I215" s="2407"/>
      <c r="J215" s="2407"/>
      <c r="K215" s="2407"/>
      <c r="L215" s="2407"/>
      <c r="M215" s="2407"/>
      <c r="N215" s="2407"/>
      <c r="O215" s="2407"/>
      <c r="P215" s="2407"/>
    </row>
    <row r="216" spans="2:16">
      <c r="B216" s="2407"/>
      <c r="C216" s="2407"/>
      <c r="D216" s="2407"/>
      <c r="E216" s="2407"/>
      <c r="F216" s="2407"/>
      <c r="G216" s="2407"/>
      <c r="H216" s="2407"/>
      <c r="I216" s="2407"/>
      <c r="J216" s="2407"/>
      <c r="K216" s="2407"/>
      <c r="L216" s="2407"/>
      <c r="M216" s="2407"/>
      <c r="N216" s="2407"/>
      <c r="O216" s="2407"/>
      <c r="P216" s="2407"/>
    </row>
    <row r="217" spans="2:16" ht="18.75">
      <c r="B217" s="2409" t="s">
        <v>6079</v>
      </c>
      <c r="C217" s="2407"/>
      <c r="D217" s="2407"/>
      <c r="E217" s="2407"/>
      <c r="F217" s="2407"/>
      <c r="G217" s="2407"/>
      <c r="H217" s="2407"/>
      <c r="I217" s="2407"/>
      <c r="J217" s="2407"/>
      <c r="K217" s="2407"/>
      <c r="L217" s="2407"/>
      <c r="M217" s="2407"/>
      <c r="N217" s="2407"/>
      <c r="O217" s="2407"/>
      <c r="P217" s="2407"/>
    </row>
    <row r="218" spans="2:16">
      <c r="B218" s="2620" t="s">
        <v>108</v>
      </c>
      <c r="C218" s="2624" t="s">
        <v>6078</v>
      </c>
      <c r="D218" s="2407"/>
      <c r="E218" s="2407"/>
      <c r="F218" s="2407"/>
      <c r="G218" s="2407"/>
      <c r="H218" s="2407"/>
      <c r="I218" s="2407"/>
      <c r="J218" s="2407"/>
      <c r="K218" s="2407"/>
      <c r="L218" s="2407"/>
      <c r="M218" s="2407"/>
      <c r="N218" s="2407"/>
      <c r="O218" s="2407"/>
      <c r="P218" s="2407"/>
    </row>
    <row r="219" spans="2:16">
      <c r="B219" s="4946" t="s">
        <v>6077</v>
      </c>
      <c r="C219" s="4946"/>
      <c r="D219" s="2623" t="s">
        <v>6076</v>
      </c>
      <c r="E219" s="2407"/>
      <c r="F219" s="2407"/>
      <c r="G219" s="2407"/>
      <c r="H219" s="2407"/>
      <c r="I219" s="2407"/>
      <c r="J219" s="2407"/>
      <c r="K219" s="2407"/>
      <c r="L219" s="2407"/>
      <c r="M219" s="2407"/>
      <c r="N219" s="2407"/>
      <c r="O219" s="2407"/>
      <c r="P219" s="2407"/>
    </row>
    <row r="220" spans="2:16">
      <c r="B220" s="2407"/>
      <c r="C220" s="2407"/>
      <c r="D220" s="2407"/>
      <c r="E220" s="2407"/>
      <c r="F220" s="2407"/>
      <c r="G220" s="2407"/>
      <c r="H220" s="2407"/>
      <c r="I220" s="2407"/>
      <c r="J220" s="2407"/>
      <c r="K220" s="2407"/>
      <c r="L220" s="2407"/>
      <c r="M220" s="2407"/>
      <c r="N220" s="2407"/>
      <c r="O220" s="2407"/>
      <c r="P220" s="2407"/>
    </row>
    <row r="221" spans="2:16" ht="18.75">
      <c r="B221" s="2409" t="s">
        <v>6075</v>
      </c>
      <c r="C221" s="2407"/>
      <c r="D221" s="2407"/>
      <c r="E221" s="2407"/>
      <c r="F221" s="2407"/>
      <c r="G221" s="2407"/>
      <c r="H221" s="2407"/>
      <c r="I221" s="2407"/>
      <c r="J221" s="2407"/>
      <c r="K221" s="2407"/>
      <c r="L221" s="2407"/>
      <c r="M221" s="2407"/>
      <c r="N221" s="2407"/>
      <c r="O221" s="2407"/>
      <c r="P221" s="2407"/>
    </row>
    <row r="222" spans="2:16">
      <c r="B222" s="2620" t="s">
        <v>108</v>
      </c>
      <c r="C222" s="2623" t="s">
        <v>6074</v>
      </c>
      <c r="D222" s="2407"/>
      <c r="E222" s="2407"/>
      <c r="F222" s="2407"/>
      <c r="G222" s="2407"/>
      <c r="H222" s="2407"/>
      <c r="I222" s="2407"/>
      <c r="J222" s="2407"/>
      <c r="K222" s="2407"/>
      <c r="L222" s="2407"/>
      <c r="M222" s="2407"/>
      <c r="N222" s="2407"/>
      <c r="O222" s="2407"/>
      <c r="P222" s="2407"/>
    </row>
    <row r="223" spans="2:16">
      <c r="B223" s="4946" t="s">
        <v>6073</v>
      </c>
      <c r="C223" s="4946"/>
      <c r="D223" s="2623" t="s">
        <v>6057</v>
      </c>
      <c r="E223" s="2407"/>
      <c r="F223" s="2407"/>
      <c r="G223" s="2407"/>
      <c r="H223" s="2407"/>
      <c r="I223" s="2407"/>
      <c r="J223" s="2407"/>
      <c r="K223" s="2407"/>
      <c r="L223" s="2407"/>
      <c r="M223" s="2407"/>
      <c r="N223" s="2407"/>
      <c r="O223" s="2407"/>
      <c r="P223" s="2407"/>
    </row>
    <row r="224" spans="2:16">
      <c r="B224" s="2407"/>
      <c r="C224" s="2407"/>
      <c r="D224" s="2407"/>
      <c r="E224" s="2407"/>
      <c r="F224" s="2407"/>
      <c r="G224" s="2407"/>
      <c r="H224" s="2407"/>
      <c r="I224" s="2407"/>
      <c r="J224" s="2407"/>
      <c r="K224" s="2407"/>
      <c r="L224" s="2407"/>
      <c r="M224" s="2407"/>
      <c r="N224" s="2407"/>
      <c r="O224" s="2407"/>
      <c r="P224" s="2407"/>
    </row>
    <row r="225" spans="1:16" ht="18.75">
      <c r="B225" s="2409" t="s">
        <v>6072</v>
      </c>
      <c r="C225" s="2409"/>
      <c r="D225" s="2407"/>
      <c r="E225" s="2407"/>
      <c r="F225" s="2407"/>
      <c r="G225" s="2407"/>
      <c r="H225" s="2407"/>
      <c r="I225" s="2407"/>
      <c r="J225" s="2407"/>
      <c r="K225" s="2407"/>
      <c r="L225" s="2407"/>
      <c r="M225" s="2407"/>
      <c r="N225" s="2407"/>
      <c r="O225" s="2407"/>
      <c r="P225" s="2407"/>
    </row>
    <row r="226" spans="1:16">
      <c r="B226" s="2620" t="s">
        <v>108</v>
      </c>
      <c r="C226" s="2623" t="s">
        <v>6071</v>
      </c>
      <c r="D226" s="2407"/>
      <c r="E226" s="2407"/>
      <c r="F226" s="2407"/>
      <c r="G226" s="2407"/>
      <c r="H226" s="2407"/>
      <c r="I226" s="2407"/>
      <c r="J226" s="2407"/>
      <c r="K226" s="2407"/>
      <c r="L226" s="2407"/>
      <c r="M226" s="2407"/>
      <c r="N226" s="2407"/>
      <c r="O226" s="2407"/>
      <c r="P226" s="2407"/>
    </row>
    <row r="227" spans="1:16">
      <c r="B227" s="2407"/>
      <c r="C227" s="2407"/>
      <c r="D227" s="2407"/>
      <c r="E227" s="2407"/>
      <c r="F227" s="2407"/>
      <c r="G227" s="2407"/>
      <c r="H227" s="2407"/>
      <c r="I227" s="2407"/>
      <c r="J227" s="2407"/>
      <c r="K227" s="2407"/>
      <c r="L227" s="2407"/>
      <c r="M227" s="2407"/>
      <c r="N227" s="2407"/>
      <c r="O227" s="2407"/>
      <c r="P227" s="2407"/>
    </row>
    <row r="228" spans="1:16" ht="18.75">
      <c r="A228" s="2407"/>
      <c r="B228" s="2409" t="s">
        <v>6070</v>
      </c>
      <c r="C228" s="2409"/>
      <c r="D228" s="2407"/>
      <c r="E228" s="2407"/>
      <c r="F228" s="2407"/>
      <c r="G228" s="2407"/>
      <c r="H228" s="2407"/>
      <c r="I228" s="2407"/>
      <c r="J228" s="2407"/>
      <c r="K228" s="2407"/>
      <c r="L228" s="2407"/>
      <c r="M228" s="2407"/>
      <c r="N228" s="2407"/>
      <c r="O228" s="2407"/>
      <c r="P228" s="2407"/>
    </row>
    <row r="229" spans="1:16">
      <c r="A229" s="2407"/>
      <c r="B229" s="2620" t="s">
        <v>108</v>
      </c>
      <c r="C229" s="2623" t="s">
        <v>6069</v>
      </c>
      <c r="D229" s="2407"/>
      <c r="E229" s="2407"/>
      <c r="F229" s="2407"/>
      <c r="G229" s="2407"/>
      <c r="H229" s="2407"/>
      <c r="I229" s="2407"/>
      <c r="J229" s="2407"/>
      <c r="K229" s="2407"/>
      <c r="L229" s="2407"/>
      <c r="M229" s="2407"/>
      <c r="N229" s="2407"/>
      <c r="O229" s="2407"/>
      <c r="P229" s="2407"/>
    </row>
    <row r="230" spans="1:16">
      <c r="B230" s="2407"/>
      <c r="C230" s="2407"/>
      <c r="D230" s="2407"/>
      <c r="E230" s="2407"/>
      <c r="F230" s="2407"/>
      <c r="G230" s="2407"/>
      <c r="H230" s="2407"/>
      <c r="I230" s="2407"/>
      <c r="J230" s="2407"/>
      <c r="K230" s="2407"/>
      <c r="L230" s="2407"/>
      <c r="M230" s="2407"/>
      <c r="N230" s="2407"/>
      <c r="O230" s="2407"/>
      <c r="P230" s="2407"/>
    </row>
    <row r="231" spans="1:16" ht="18.75">
      <c r="B231" s="2409" t="s">
        <v>6068</v>
      </c>
      <c r="C231" s="2407"/>
      <c r="D231" s="2407"/>
      <c r="E231" s="2407"/>
      <c r="F231" s="2407"/>
      <c r="G231" s="2407"/>
      <c r="H231" s="2407"/>
      <c r="I231" s="2407"/>
      <c r="J231" s="2407"/>
      <c r="K231" s="2407"/>
      <c r="L231" s="2407"/>
      <c r="M231" s="2407"/>
      <c r="N231" s="2407"/>
      <c r="O231" s="2407"/>
      <c r="P231" s="2407"/>
    </row>
    <row r="232" spans="1:16">
      <c r="B232" s="2620" t="s">
        <v>108</v>
      </c>
      <c r="C232" s="2623" t="s">
        <v>6067</v>
      </c>
      <c r="D232" s="2407"/>
      <c r="E232" s="2407"/>
      <c r="F232" s="2407"/>
      <c r="G232" s="2407"/>
      <c r="H232" s="2407"/>
      <c r="I232" s="2407"/>
      <c r="J232" s="2407"/>
      <c r="K232" s="2407"/>
      <c r="L232" s="2407"/>
      <c r="M232" s="2407"/>
      <c r="N232" s="2407"/>
      <c r="O232" s="2407"/>
      <c r="P232" s="2407"/>
    </row>
    <row r="233" spans="1:16">
      <c r="B233" s="4946" t="s">
        <v>6066</v>
      </c>
      <c r="C233" s="4946"/>
      <c r="D233" s="2623" t="s">
        <v>6065</v>
      </c>
      <c r="E233" s="2407"/>
      <c r="F233" s="2407"/>
      <c r="G233" s="2407"/>
      <c r="H233" s="2407"/>
      <c r="I233" s="2407"/>
      <c r="J233" s="2407"/>
      <c r="K233" s="2407"/>
      <c r="L233" s="2407"/>
      <c r="M233" s="2407"/>
      <c r="N233" s="2407"/>
      <c r="O233" s="2407"/>
      <c r="P233" s="2407"/>
    </row>
    <row r="234" spans="1:16">
      <c r="B234" s="2407"/>
      <c r="C234" s="2407"/>
      <c r="D234" s="2407"/>
      <c r="E234" s="2407"/>
      <c r="F234" s="2407"/>
      <c r="G234" s="2407"/>
      <c r="H234" s="2407"/>
      <c r="I234" s="2407"/>
      <c r="J234" s="2407"/>
      <c r="K234" s="2407"/>
      <c r="L234" s="2407"/>
      <c r="M234" s="2407"/>
      <c r="N234" s="2407"/>
      <c r="O234" s="2407"/>
      <c r="P234" s="2407"/>
    </row>
    <row r="235" spans="1:16">
      <c r="B235" s="2407" t="s">
        <v>6064</v>
      </c>
      <c r="C235" s="2407"/>
      <c r="D235" s="2407"/>
      <c r="E235" s="2407"/>
      <c r="F235" s="2407"/>
      <c r="G235" s="2407"/>
      <c r="H235" s="2407"/>
      <c r="I235" s="2407"/>
      <c r="J235" s="2407"/>
      <c r="K235" s="2407"/>
      <c r="L235" s="2407"/>
      <c r="M235" s="2407" t="s">
        <v>6063</v>
      </c>
      <c r="N235" s="2407"/>
      <c r="O235" s="2407"/>
      <c r="P235" s="2407"/>
    </row>
    <row r="236" spans="1:16">
      <c r="B236" s="2407" t="s">
        <v>6062</v>
      </c>
      <c r="C236" s="2407"/>
      <c r="D236" s="2407"/>
      <c r="E236" s="2407"/>
      <c r="F236" s="2407"/>
      <c r="G236" s="2407"/>
      <c r="H236" s="2407"/>
      <c r="I236" s="2407"/>
      <c r="J236" s="2407"/>
      <c r="K236" s="2407"/>
      <c r="L236" s="2407"/>
      <c r="M236" s="2407"/>
      <c r="N236" s="2407"/>
      <c r="O236" s="2407"/>
      <c r="P236" s="2407"/>
    </row>
    <row r="237" spans="1:16">
      <c r="B237" s="2407" t="s">
        <v>6061</v>
      </c>
      <c r="C237" s="2407"/>
      <c r="D237" s="2407"/>
      <c r="E237" s="2407"/>
      <c r="F237" s="2407"/>
      <c r="G237" s="2407"/>
      <c r="H237" s="2407"/>
      <c r="I237" s="2407"/>
      <c r="J237" s="2407"/>
      <c r="K237" s="2407"/>
      <c r="L237" s="2407"/>
      <c r="M237" s="2407"/>
      <c r="N237" s="2407"/>
      <c r="O237" s="2407"/>
      <c r="P237" s="2407"/>
    </row>
    <row r="238" spans="1:16">
      <c r="B238" s="2407" t="s">
        <v>6060</v>
      </c>
      <c r="C238" s="2407"/>
      <c r="D238" s="2407"/>
      <c r="E238" s="2407"/>
      <c r="F238" s="2407"/>
      <c r="G238" s="2407"/>
      <c r="H238" s="2407"/>
      <c r="I238" s="2407"/>
      <c r="J238" s="2407"/>
      <c r="K238" s="2407"/>
      <c r="L238" s="2407"/>
      <c r="M238" s="2407"/>
      <c r="N238" s="2407"/>
      <c r="O238" s="2407"/>
      <c r="P238" s="2407"/>
    </row>
    <row r="239" spans="1:16">
      <c r="B239" s="2407" t="s">
        <v>6059</v>
      </c>
      <c r="C239" s="2407"/>
      <c r="D239" s="2407"/>
      <c r="E239" s="2407"/>
      <c r="F239" s="2407"/>
      <c r="G239" s="2407"/>
      <c r="H239" s="2407"/>
      <c r="I239" s="2407"/>
      <c r="J239" s="2407"/>
      <c r="K239" s="2407"/>
      <c r="L239" s="2407"/>
      <c r="M239" s="2407"/>
      <c r="N239" s="2407"/>
      <c r="O239" s="2407"/>
      <c r="P239" s="2407"/>
    </row>
    <row r="240" spans="1:16">
      <c r="B240" s="2407" t="s">
        <v>6058</v>
      </c>
      <c r="C240" s="2407"/>
      <c r="D240" s="2407"/>
      <c r="E240" s="2407"/>
      <c r="F240" s="2407"/>
      <c r="G240" s="2407"/>
      <c r="H240" s="2407"/>
      <c r="I240" s="2407"/>
      <c r="J240" s="2407"/>
      <c r="K240" s="2407"/>
      <c r="L240" s="2407"/>
      <c r="M240" s="2407" t="s">
        <v>6057</v>
      </c>
      <c r="N240" s="2407"/>
      <c r="O240" s="2407"/>
      <c r="P240" s="2407"/>
    </row>
    <row r="241" spans="1:16">
      <c r="B241" s="2407"/>
      <c r="C241" s="2407"/>
      <c r="D241" s="2407"/>
      <c r="E241" s="2407"/>
      <c r="F241" s="2407"/>
      <c r="G241" s="2407"/>
      <c r="H241" s="2407"/>
      <c r="I241" s="2407"/>
      <c r="J241" s="2407"/>
      <c r="K241" s="2407"/>
      <c r="L241" s="2407"/>
      <c r="M241" s="2407"/>
      <c r="N241" s="2407"/>
      <c r="O241" s="2407"/>
      <c r="P241" s="2407"/>
    </row>
    <row r="242" spans="1:16">
      <c r="B242" s="2407"/>
      <c r="C242" s="2407"/>
      <c r="D242" s="2407"/>
      <c r="E242" s="2407"/>
      <c r="F242" s="2407"/>
      <c r="G242" s="2407"/>
      <c r="H242" s="2407"/>
      <c r="I242" s="2407"/>
      <c r="J242" s="2407"/>
      <c r="K242" s="2407"/>
      <c r="L242" s="2407"/>
      <c r="M242" s="2407"/>
      <c r="N242" s="2407"/>
      <c r="O242" s="2407"/>
      <c r="P242" s="2407"/>
    </row>
    <row r="243" spans="1:16" s="989" customFormat="1" ht="21.75" customHeight="1">
      <c r="A243" s="2410"/>
      <c r="B243" s="2622"/>
      <c r="C243" s="2622" t="s">
        <v>6056</v>
      </c>
      <c r="D243" s="1015"/>
      <c r="E243" s="990"/>
      <c r="F243" s="990"/>
      <c r="G243" s="990"/>
      <c r="H243" s="990"/>
      <c r="I243" s="990"/>
      <c r="J243" s="990"/>
      <c r="K243" s="990"/>
      <c r="L243" s="990"/>
      <c r="M243" s="990"/>
      <c r="N243" s="990"/>
      <c r="O243" s="990"/>
      <c r="P243" s="990"/>
    </row>
    <row r="244" spans="1:16" ht="18">
      <c r="B244" s="2407"/>
      <c r="C244" s="2621"/>
      <c r="D244" s="2407"/>
      <c r="E244" s="2407"/>
      <c r="F244" s="2407"/>
      <c r="G244" s="2407"/>
      <c r="H244" s="2407"/>
      <c r="I244" s="2407"/>
      <c r="J244" s="2407"/>
      <c r="K244" s="2407"/>
      <c r="L244" s="2407"/>
      <c r="M244" s="2407"/>
      <c r="N244" s="2407"/>
      <c r="O244" s="2407"/>
      <c r="P244" s="2407"/>
    </row>
    <row r="245" spans="1:16" ht="18.75">
      <c r="B245" s="2409" t="s">
        <v>6055</v>
      </c>
      <c r="C245" s="2407"/>
      <c r="D245" s="2407"/>
      <c r="E245" s="2407"/>
      <c r="F245" s="2407"/>
      <c r="G245" s="2407"/>
      <c r="H245" s="2407"/>
      <c r="I245" s="2407"/>
      <c r="J245" s="2407"/>
      <c r="K245" s="2407"/>
      <c r="L245" s="2407"/>
      <c r="M245" s="2407"/>
      <c r="N245" s="2407"/>
      <c r="O245" s="2407"/>
      <c r="P245" s="2407"/>
    </row>
    <row r="246" spans="1:16" ht="18.75">
      <c r="B246" s="2620" t="s">
        <v>6036</v>
      </c>
      <c r="C246" s="2619" t="s">
        <v>6054</v>
      </c>
      <c r="D246" s="2407"/>
      <c r="E246" s="2407"/>
      <c r="F246" s="2407"/>
      <c r="G246" s="2407"/>
      <c r="H246" s="2407"/>
      <c r="I246" s="2407"/>
      <c r="J246" s="2407"/>
      <c r="K246" s="2407"/>
      <c r="L246" s="2407"/>
      <c r="M246" s="2407"/>
      <c r="N246" s="2407"/>
      <c r="O246" s="2407"/>
      <c r="P246" s="2407"/>
    </row>
    <row r="247" spans="1:16" ht="18">
      <c r="B247" s="2407"/>
      <c r="C247" s="2621"/>
      <c r="D247" s="2407"/>
      <c r="E247" s="2407"/>
      <c r="F247" s="2407"/>
      <c r="G247" s="2407"/>
      <c r="H247" s="2407"/>
      <c r="I247" s="2407"/>
      <c r="J247" s="2407"/>
      <c r="K247" s="2407"/>
      <c r="L247" s="2407"/>
      <c r="M247" s="2407"/>
      <c r="N247" s="2407"/>
      <c r="O247" s="2407"/>
      <c r="P247" s="2407"/>
    </row>
    <row r="248" spans="1:16" ht="18.75">
      <c r="B248" s="2409" t="s">
        <v>6053</v>
      </c>
      <c r="C248" s="2407"/>
      <c r="D248" s="2407"/>
      <c r="E248" s="2407"/>
      <c r="F248" s="2407"/>
      <c r="G248" s="2407"/>
      <c r="H248" s="2407"/>
      <c r="I248" s="2407"/>
      <c r="J248" s="2407"/>
      <c r="K248" s="2407"/>
      <c r="L248" s="2407"/>
      <c r="M248" s="2407"/>
      <c r="N248" s="2407"/>
      <c r="O248" s="2407"/>
      <c r="P248" s="2407"/>
    </row>
    <row r="249" spans="1:16" ht="18.75">
      <c r="B249" s="2620" t="s">
        <v>6036</v>
      </c>
      <c r="C249" s="2619" t="s">
        <v>6052</v>
      </c>
      <c r="D249" s="2407"/>
      <c r="E249" s="2407"/>
      <c r="F249" s="2407"/>
      <c r="G249" s="2407"/>
      <c r="H249" s="2407"/>
      <c r="I249" s="2407"/>
      <c r="J249" s="2407"/>
      <c r="K249" s="2407"/>
      <c r="L249" s="2407"/>
      <c r="M249" s="2407"/>
      <c r="N249" s="2407"/>
      <c r="O249" s="2407"/>
      <c r="P249" s="2407"/>
    </row>
    <row r="250" spans="1:16" ht="18">
      <c r="B250" s="2407"/>
      <c r="C250" s="2621"/>
      <c r="D250" s="2407"/>
      <c r="E250" s="2407"/>
      <c r="F250" s="2407"/>
      <c r="G250" s="2407"/>
      <c r="H250" s="2407"/>
      <c r="I250" s="2407"/>
      <c r="J250" s="2407"/>
      <c r="K250" s="2407"/>
      <c r="L250" s="2407"/>
      <c r="M250" s="2407"/>
      <c r="N250" s="2407"/>
      <c r="O250" s="2407"/>
      <c r="P250" s="2407"/>
    </row>
    <row r="251" spans="1:16" ht="18.75">
      <c r="B251" s="2620" t="s">
        <v>6036</v>
      </c>
      <c r="C251" s="2619" t="s">
        <v>6051</v>
      </c>
      <c r="D251" s="2407"/>
      <c r="E251" s="2407"/>
      <c r="F251" s="2407"/>
      <c r="G251" s="2407"/>
      <c r="H251" s="2407"/>
      <c r="I251" s="2407"/>
      <c r="J251" s="2407"/>
      <c r="K251" s="2407" t="s">
        <v>6050</v>
      </c>
      <c r="L251" s="2407"/>
      <c r="M251" s="2407"/>
      <c r="N251" s="2407"/>
      <c r="O251" s="2407"/>
      <c r="P251" s="2407"/>
    </row>
    <row r="252" spans="1:16" ht="18">
      <c r="B252" s="2407"/>
      <c r="C252" s="2621"/>
      <c r="D252" s="2407"/>
      <c r="E252" s="2407"/>
      <c r="F252" s="2407"/>
      <c r="G252" s="2407"/>
      <c r="H252" s="2407"/>
      <c r="I252" s="2407"/>
      <c r="J252" s="2407"/>
      <c r="K252" s="2407"/>
      <c r="L252" s="2407"/>
      <c r="M252" s="2407"/>
      <c r="N252" s="2407"/>
      <c r="O252" s="2407"/>
      <c r="P252" s="2407"/>
    </row>
    <row r="253" spans="1:16" ht="18.75">
      <c r="B253" s="2620" t="s">
        <v>108</v>
      </c>
      <c r="C253" s="2619" t="s">
        <v>6049</v>
      </c>
      <c r="D253" s="2407"/>
      <c r="E253" s="2407"/>
      <c r="F253" s="2407"/>
      <c r="G253" s="2407"/>
      <c r="H253" s="2407"/>
      <c r="I253" s="2407"/>
      <c r="J253" s="2407"/>
      <c r="K253" s="2407"/>
      <c r="L253" s="2407"/>
      <c r="M253" s="2407"/>
      <c r="N253" s="2407"/>
      <c r="O253" s="2407"/>
      <c r="P253" s="2407"/>
    </row>
    <row r="254" spans="1:16" ht="18">
      <c r="B254" s="2407"/>
      <c r="C254" s="2621"/>
      <c r="D254" s="2407"/>
      <c r="E254" s="2407"/>
      <c r="F254" s="2407"/>
      <c r="G254" s="2407"/>
      <c r="H254" s="2407"/>
      <c r="I254" s="2407"/>
      <c r="J254" s="2407"/>
      <c r="K254" s="2407"/>
      <c r="L254" s="2407"/>
      <c r="M254" s="2407"/>
      <c r="N254" s="2407"/>
      <c r="O254" s="2407"/>
      <c r="P254" s="2407"/>
    </row>
    <row r="255" spans="1:16" ht="18.75">
      <c r="B255" s="2620" t="s">
        <v>108</v>
      </c>
      <c r="C255" s="2619" t="s">
        <v>6048</v>
      </c>
      <c r="D255" s="2407"/>
      <c r="E255" s="2407"/>
      <c r="F255" s="2407"/>
      <c r="G255" s="2407"/>
      <c r="H255" s="2407"/>
      <c r="I255" s="2407"/>
      <c r="J255" s="2407"/>
      <c r="K255" s="2407" t="s">
        <v>6047</v>
      </c>
      <c r="L255" s="2407"/>
      <c r="M255" s="2407"/>
      <c r="N255" s="2407"/>
      <c r="O255" s="2407"/>
      <c r="P255" s="2407"/>
    </row>
    <row r="256" spans="1:16" ht="18">
      <c r="B256" s="2407"/>
      <c r="C256" s="2621"/>
      <c r="D256" s="2407"/>
      <c r="E256" s="2407"/>
      <c r="F256" s="2407"/>
      <c r="G256" s="2407"/>
      <c r="H256" s="2407"/>
      <c r="I256" s="2407"/>
      <c r="J256" s="2407"/>
      <c r="K256" s="2407"/>
      <c r="L256" s="2407"/>
      <c r="M256" s="2407"/>
      <c r="N256" s="2407"/>
      <c r="O256" s="2407"/>
      <c r="P256" s="2407"/>
    </row>
    <row r="257" spans="2:16" ht="18.75">
      <c r="B257" s="2620" t="s">
        <v>108</v>
      </c>
      <c r="C257" s="2619" t="s">
        <v>6046</v>
      </c>
      <c r="D257" s="2407"/>
      <c r="E257" s="2407"/>
      <c r="F257" s="2407"/>
      <c r="G257" s="2407"/>
      <c r="H257" s="2407"/>
      <c r="I257" s="2407"/>
      <c r="J257" s="2407"/>
      <c r="K257" s="2407" t="s">
        <v>6045</v>
      </c>
      <c r="L257" s="2407"/>
      <c r="M257" s="2407"/>
      <c r="N257" s="2407"/>
      <c r="O257" s="2407"/>
      <c r="P257" s="2407"/>
    </row>
    <row r="258" spans="2:16" ht="18">
      <c r="B258" s="2407"/>
      <c r="C258" s="2621"/>
      <c r="D258" s="2407"/>
      <c r="E258" s="2407"/>
      <c r="F258" s="2407"/>
      <c r="G258" s="2407"/>
      <c r="H258" s="2407"/>
      <c r="I258" s="2407"/>
      <c r="J258" s="2407"/>
      <c r="K258" s="2407"/>
      <c r="L258" s="2407"/>
      <c r="M258" s="2407"/>
      <c r="N258" s="2407"/>
      <c r="O258" s="2407"/>
      <c r="P258" s="2407"/>
    </row>
    <row r="259" spans="2:16" ht="18.75">
      <c r="B259" s="2620" t="s">
        <v>108</v>
      </c>
      <c r="C259" s="2619" t="s">
        <v>6044</v>
      </c>
      <c r="D259" s="2407"/>
      <c r="E259" s="2407"/>
      <c r="F259" s="2407"/>
      <c r="G259" s="2407"/>
      <c r="H259" s="2407"/>
      <c r="I259" s="2407"/>
      <c r="J259" s="2407"/>
      <c r="K259" s="2407" t="s">
        <v>6043</v>
      </c>
      <c r="L259" s="2407"/>
      <c r="M259" s="2407"/>
      <c r="N259" s="2407"/>
      <c r="O259" s="2407"/>
      <c r="P259" s="2407"/>
    </row>
    <row r="260" spans="2:16" ht="18">
      <c r="B260" s="2407"/>
      <c r="C260" s="2621"/>
      <c r="D260" s="2407"/>
      <c r="E260" s="2407"/>
      <c r="F260" s="2407"/>
      <c r="G260" s="2407"/>
      <c r="H260" s="2407"/>
      <c r="I260" s="2407"/>
      <c r="J260" s="2407"/>
      <c r="K260" s="2407"/>
      <c r="L260" s="2407"/>
      <c r="M260" s="2407"/>
      <c r="N260" s="2407"/>
      <c r="O260" s="2407"/>
      <c r="P260" s="2407"/>
    </row>
    <row r="261" spans="2:16" ht="18.75">
      <c r="B261" s="2620" t="s">
        <v>108</v>
      </c>
      <c r="C261" s="2619" t="s">
        <v>6042</v>
      </c>
      <c r="D261" s="2407"/>
      <c r="E261" s="2407"/>
      <c r="F261" s="2407"/>
      <c r="G261" s="2407"/>
      <c r="H261" s="2407"/>
      <c r="I261" s="2407"/>
      <c r="J261" s="2407"/>
      <c r="K261" s="2407" t="s">
        <v>6041</v>
      </c>
      <c r="L261" s="2407"/>
      <c r="M261" s="2407"/>
      <c r="N261" s="2407"/>
      <c r="O261" s="2407"/>
      <c r="P261" s="2407"/>
    </row>
    <row r="262" spans="2:16" ht="18">
      <c r="B262" s="2407"/>
      <c r="C262" s="2621"/>
      <c r="D262" s="2407"/>
      <c r="E262" s="2407"/>
      <c r="F262" s="2407"/>
      <c r="G262" s="2407"/>
      <c r="H262" s="2407"/>
      <c r="I262" s="2407"/>
      <c r="J262" s="2407"/>
      <c r="K262" s="2407"/>
      <c r="L262" s="2407"/>
      <c r="M262" s="2407"/>
      <c r="N262" s="2407"/>
      <c r="O262" s="2407"/>
      <c r="P262" s="2407"/>
    </row>
    <row r="263" spans="2:16" ht="18.75">
      <c r="B263" s="2620" t="s">
        <v>108</v>
      </c>
      <c r="C263" s="2619" t="s">
        <v>6040</v>
      </c>
      <c r="D263" s="2407"/>
      <c r="E263" s="2407"/>
      <c r="F263" s="2407"/>
      <c r="G263" s="2407"/>
      <c r="H263" s="2407"/>
      <c r="I263" s="2407"/>
      <c r="J263" s="2407"/>
      <c r="K263" s="2407" t="s">
        <v>6039</v>
      </c>
      <c r="L263" s="2407"/>
      <c r="M263" s="2407"/>
      <c r="N263" s="2407"/>
      <c r="O263" s="2407"/>
      <c r="P263" s="2407"/>
    </row>
    <row r="264" spans="2:16" ht="18">
      <c r="B264" s="2407"/>
      <c r="C264" s="2621"/>
      <c r="D264" s="2407"/>
      <c r="E264" s="2407"/>
      <c r="F264" s="2407"/>
      <c r="G264" s="2407"/>
      <c r="H264" s="2407"/>
      <c r="I264" s="2407"/>
      <c r="J264" s="2407"/>
      <c r="K264" s="2407"/>
      <c r="L264" s="2407"/>
      <c r="M264" s="2407"/>
      <c r="N264" s="2407"/>
      <c r="O264" s="2407"/>
      <c r="P264" s="2407"/>
    </row>
    <row r="265" spans="2:16" ht="18.75">
      <c r="B265" s="2620" t="s">
        <v>108</v>
      </c>
      <c r="C265" s="2619" t="s">
        <v>6038</v>
      </c>
      <c r="D265" s="2407"/>
      <c r="E265" s="2407"/>
      <c r="F265" s="2407"/>
      <c r="G265" s="2407"/>
      <c r="H265" s="2407"/>
      <c r="I265" s="2407"/>
      <c r="J265" s="2407"/>
      <c r="K265" s="2407" t="s">
        <v>6037</v>
      </c>
      <c r="L265" s="2407"/>
      <c r="M265" s="2407"/>
      <c r="N265" s="2407"/>
      <c r="O265" s="2407"/>
      <c r="P265" s="2407"/>
    </row>
    <row r="266" spans="2:16" ht="18">
      <c r="B266" s="2407"/>
      <c r="C266" s="2621"/>
      <c r="D266" s="2407"/>
      <c r="E266" s="2407"/>
      <c r="F266" s="2407"/>
      <c r="G266" s="2407"/>
      <c r="H266" s="2407"/>
      <c r="I266" s="2407"/>
      <c r="J266" s="2407"/>
      <c r="K266" s="2407"/>
      <c r="L266" s="2407"/>
      <c r="M266" s="2407"/>
      <c r="N266" s="2407"/>
      <c r="O266" s="2407"/>
      <c r="P266" s="2407"/>
    </row>
    <row r="267" spans="2:16" ht="18.75">
      <c r="B267" s="2620" t="s">
        <v>6036</v>
      </c>
      <c r="C267" s="2619" t="s">
        <v>6035</v>
      </c>
      <c r="D267" s="2407"/>
      <c r="E267" s="2407"/>
      <c r="F267" s="2407"/>
      <c r="G267" s="2407"/>
      <c r="H267" s="2407"/>
      <c r="I267" s="2407"/>
      <c r="J267" s="2407"/>
      <c r="K267" s="2407"/>
      <c r="L267" s="2407"/>
      <c r="M267" s="2407"/>
      <c r="N267" s="2407"/>
      <c r="O267" s="2407"/>
      <c r="P267" s="2407"/>
    </row>
    <row r="268" spans="2:16" ht="18">
      <c r="B268" s="2407"/>
      <c r="C268" s="2621"/>
      <c r="D268" s="2407"/>
      <c r="E268" s="2407"/>
      <c r="F268" s="2407"/>
      <c r="G268" s="2407"/>
      <c r="H268" s="2407"/>
      <c r="I268" s="2407"/>
      <c r="J268" s="2407"/>
      <c r="K268" s="2407"/>
      <c r="L268" s="2407"/>
      <c r="M268" s="2407"/>
      <c r="N268" s="2407"/>
      <c r="O268" s="2407"/>
      <c r="P268" s="2407"/>
    </row>
    <row r="269" spans="2:16" ht="18.75">
      <c r="B269" s="2620" t="s">
        <v>108</v>
      </c>
      <c r="C269" s="2619" t="s">
        <v>6034</v>
      </c>
      <c r="D269" s="2407"/>
      <c r="E269" s="2407"/>
      <c r="F269" s="2407"/>
      <c r="G269" s="2407"/>
      <c r="H269" s="2407"/>
      <c r="I269" s="2407"/>
      <c r="J269" s="2407"/>
      <c r="K269" s="2407"/>
      <c r="L269" s="2407"/>
      <c r="M269" s="2407"/>
      <c r="N269" s="2407"/>
      <c r="O269" s="2407"/>
      <c r="P269" s="2407"/>
    </row>
    <row r="270" spans="2:16" ht="18">
      <c r="B270" s="2407"/>
      <c r="C270" s="2621"/>
      <c r="D270" s="2407"/>
      <c r="E270" s="2407"/>
      <c r="F270" s="2407"/>
      <c r="G270" s="2407"/>
      <c r="H270" s="2407"/>
      <c r="I270" s="2407"/>
      <c r="J270" s="2407"/>
      <c r="K270" s="2407"/>
      <c r="L270" s="2407"/>
      <c r="M270" s="2407"/>
      <c r="N270" s="2407"/>
      <c r="O270" s="2407"/>
      <c r="P270" s="2407"/>
    </row>
    <row r="271" spans="2:16" ht="18.75">
      <c r="B271" s="2620" t="s">
        <v>108</v>
      </c>
      <c r="C271" s="2619" t="s">
        <v>6033</v>
      </c>
      <c r="D271" s="2407"/>
      <c r="E271" s="2407"/>
      <c r="F271" s="2407"/>
      <c r="G271" s="2407"/>
      <c r="H271" s="2407"/>
      <c r="I271" s="2407"/>
      <c r="J271" s="2407"/>
      <c r="K271" s="2407"/>
      <c r="L271" s="2407"/>
      <c r="M271" s="2407"/>
      <c r="N271" s="2407"/>
      <c r="O271" s="2407"/>
      <c r="P271" s="2407"/>
    </row>
    <row r="272" spans="2:16" ht="18">
      <c r="B272" s="2407"/>
      <c r="C272" s="2621"/>
      <c r="D272" s="2407"/>
      <c r="E272" s="2407"/>
      <c r="F272" s="2407"/>
      <c r="G272" s="2407"/>
      <c r="H272" s="2407"/>
      <c r="I272" s="2407"/>
      <c r="J272" s="2407"/>
      <c r="K272" s="2407"/>
      <c r="L272" s="2407"/>
      <c r="M272" s="2407"/>
      <c r="N272" s="2407"/>
      <c r="O272" s="2407"/>
      <c r="P272" s="2407"/>
    </row>
    <row r="273" spans="1:16" ht="18.75">
      <c r="B273" s="2620" t="s">
        <v>108</v>
      </c>
      <c r="C273" s="2619" t="s">
        <v>6032</v>
      </c>
      <c r="D273" s="2407"/>
      <c r="E273" s="2407"/>
      <c r="F273" s="2407"/>
      <c r="G273" s="2407"/>
      <c r="H273" s="2407"/>
      <c r="I273" s="2407"/>
      <c r="J273" s="2407"/>
      <c r="K273" s="2407"/>
      <c r="L273" s="2407"/>
      <c r="M273" s="2407"/>
      <c r="N273" s="2407"/>
      <c r="O273" s="2407"/>
      <c r="P273" s="2407"/>
    </row>
    <row r="274" spans="1:16" ht="18">
      <c r="B274" s="2407"/>
      <c r="C274" s="2621"/>
      <c r="D274" s="2407"/>
      <c r="E274" s="2407"/>
      <c r="F274" s="2407"/>
      <c r="G274" s="2407"/>
      <c r="H274" s="2407"/>
      <c r="I274" s="2407"/>
      <c r="J274" s="2407"/>
      <c r="K274" s="2407"/>
      <c r="L274" s="2407"/>
      <c r="M274" s="2407"/>
      <c r="N274" s="2407"/>
      <c r="O274" s="2407"/>
      <c r="P274" s="2407"/>
    </row>
    <row r="275" spans="1:16" ht="18.75">
      <c r="B275" s="2620" t="s">
        <v>108</v>
      </c>
      <c r="C275" s="2619" t="s">
        <v>6031</v>
      </c>
      <c r="D275" s="2407"/>
      <c r="E275" s="2407"/>
      <c r="F275" s="2407"/>
      <c r="G275" s="2407"/>
      <c r="H275" s="2407"/>
      <c r="I275" s="2407"/>
      <c r="J275" s="2407"/>
      <c r="K275" s="2407"/>
      <c r="L275" s="2407"/>
      <c r="M275" s="2407"/>
      <c r="N275" s="2407"/>
      <c r="O275" s="2407"/>
      <c r="P275" s="2407"/>
    </row>
    <row r="276" spans="1:16" ht="18">
      <c r="B276" s="2407"/>
      <c r="C276" s="2621"/>
      <c r="D276" s="2407"/>
      <c r="E276" s="2407"/>
      <c r="F276" s="2407"/>
      <c r="G276" s="2407"/>
      <c r="H276" s="2407"/>
      <c r="I276" s="2407"/>
      <c r="J276" s="2407"/>
      <c r="K276" s="2407"/>
      <c r="L276" s="2407"/>
      <c r="M276" s="2407"/>
      <c r="N276" s="2407"/>
      <c r="O276" s="2407"/>
      <c r="P276" s="2407"/>
    </row>
    <row r="277" spans="1:16" ht="18.75">
      <c r="B277" s="2620" t="s">
        <v>108</v>
      </c>
      <c r="C277" s="2619" t="s">
        <v>6030</v>
      </c>
      <c r="D277" s="2407"/>
      <c r="E277" s="2407"/>
      <c r="F277" s="2407"/>
      <c r="G277" s="2407"/>
      <c r="H277" s="2407"/>
      <c r="I277" s="2407"/>
      <c r="J277" s="2407"/>
      <c r="K277" s="2407"/>
      <c r="L277" s="2407"/>
      <c r="M277" s="2407"/>
      <c r="N277" s="2407" t="s">
        <v>1987</v>
      </c>
      <c r="O277" s="2407"/>
      <c r="P277" s="2407"/>
    </row>
    <row r="278" spans="1:16">
      <c r="B278" s="2407"/>
      <c r="C278" s="2407"/>
      <c r="D278" s="2407"/>
      <c r="E278" s="2407"/>
      <c r="F278" s="2407"/>
      <c r="G278" s="2407"/>
      <c r="H278" s="2407"/>
      <c r="I278" s="2407"/>
      <c r="J278" s="2407"/>
      <c r="K278" s="2407"/>
      <c r="L278" s="2407"/>
      <c r="M278" s="2407"/>
      <c r="N278" s="2407"/>
      <c r="O278" s="2407"/>
      <c r="P278" s="2407"/>
    </row>
    <row r="279" spans="1:16" ht="18">
      <c r="B279" s="2620" t="s">
        <v>108</v>
      </c>
      <c r="C279" s="2621" t="s">
        <v>6029</v>
      </c>
      <c r="D279" s="2407"/>
      <c r="E279" s="2407"/>
      <c r="F279" s="2407"/>
      <c r="G279" s="2407"/>
      <c r="H279" s="2407"/>
      <c r="I279" s="2407"/>
      <c r="J279" s="2407"/>
      <c r="K279" s="2407"/>
      <c r="L279" s="2407"/>
      <c r="M279" s="2407" t="s">
        <v>6028</v>
      </c>
      <c r="N279" s="2407"/>
      <c r="O279" s="2407"/>
      <c r="P279" s="2407"/>
    </row>
    <row r="280" spans="1:16" ht="18">
      <c r="B280" s="2407"/>
      <c r="C280" s="2621"/>
      <c r="D280" s="2407"/>
      <c r="E280" s="2407"/>
      <c r="F280" s="2407"/>
      <c r="G280" s="2407"/>
      <c r="H280" s="2407"/>
      <c r="I280" s="2407"/>
      <c r="J280" s="2407"/>
      <c r="K280" s="2407"/>
      <c r="L280" s="2407"/>
      <c r="M280" s="2407"/>
      <c r="N280" s="2407"/>
      <c r="O280" s="2407"/>
      <c r="P280" s="2407"/>
    </row>
    <row r="281" spans="1:16" ht="18.75">
      <c r="B281" s="2620" t="s">
        <v>334</v>
      </c>
      <c r="C281" s="2619" t="s">
        <v>6010</v>
      </c>
      <c r="D281" s="2407"/>
      <c r="E281" s="2407"/>
      <c r="F281" s="2407"/>
      <c r="G281" s="2407"/>
      <c r="H281" s="2407"/>
      <c r="I281" s="2407"/>
      <c r="J281" s="2407"/>
      <c r="K281" s="2407"/>
      <c r="L281" s="2407"/>
      <c r="M281" s="2407"/>
      <c r="N281" s="2407"/>
      <c r="O281" s="2407"/>
      <c r="P281" s="2407"/>
    </row>
    <row r="282" spans="1:16">
      <c r="B282" s="2407"/>
      <c r="C282" s="2407"/>
      <c r="D282" s="2407"/>
      <c r="E282" s="2407"/>
      <c r="F282" s="2407"/>
      <c r="G282" s="2407"/>
      <c r="H282" s="2407"/>
      <c r="I282" s="2407"/>
      <c r="J282" s="2407"/>
      <c r="K282" s="2407"/>
      <c r="L282" s="2407"/>
      <c r="M282" s="2407"/>
      <c r="N282" s="2407"/>
      <c r="O282" s="2407"/>
      <c r="P282" s="2407"/>
    </row>
    <row r="283" spans="1:16" s="989" customFormat="1" ht="39.950000000000003" customHeight="1">
      <c r="A283" s="992"/>
      <c r="B283" s="2618" t="s">
        <v>339</v>
      </c>
      <c r="C283" s="992"/>
      <c r="D283" s="992"/>
      <c r="E283" s="992"/>
      <c r="F283" s="992"/>
      <c r="G283" s="992"/>
      <c r="H283" s="992"/>
      <c r="I283" s="992"/>
      <c r="J283" s="992"/>
      <c r="K283" s="992"/>
      <c r="L283" s="992"/>
      <c r="M283" s="992"/>
      <c r="N283" s="992"/>
      <c r="O283" s="992"/>
      <c r="P283" s="992"/>
    </row>
    <row r="284" spans="1:16" s="989" customFormat="1" ht="24" customHeight="1">
      <c r="A284" s="992"/>
      <c r="B284" s="2617" t="s">
        <v>338</v>
      </c>
      <c r="C284" s="992"/>
      <c r="D284" s="992"/>
      <c r="E284" s="992"/>
      <c r="F284" s="992"/>
      <c r="G284" s="992"/>
      <c r="H284" s="992"/>
      <c r="I284" s="992"/>
      <c r="J284" s="992"/>
      <c r="K284" s="992"/>
      <c r="L284" s="992"/>
      <c r="M284" s="992"/>
      <c r="N284" s="992"/>
      <c r="O284" s="992"/>
      <c r="P284" s="992"/>
    </row>
    <row r="285" spans="1:16" s="987" customFormat="1" ht="39.950000000000003" customHeight="1">
      <c r="A285" s="992"/>
      <c r="B285" s="2616" t="s">
        <v>337</v>
      </c>
      <c r="C285" s="1189"/>
      <c r="D285" s="992"/>
      <c r="E285" s="992"/>
      <c r="F285" s="992"/>
      <c r="G285" s="992"/>
      <c r="H285" s="992"/>
      <c r="I285" s="2440"/>
      <c r="J285" s="992"/>
      <c r="K285" s="992"/>
      <c r="L285" s="2440"/>
      <c r="M285" s="2440"/>
      <c r="N285" s="2440"/>
      <c r="O285" s="2440"/>
      <c r="P285" s="2615" t="s">
        <v>6027</v>
      </c>
    </row>
  </sheetData>
  <mergeCells count="6">
    <mergeCell ref="B233:C233"/>
    <mergeCell ref="B2:P4"/>
    <mergeCell ref="B5:P7"/>
    <mergeCell ref="B189:C189"/>
    <mergeCell ref="B219:C219"/>
    <mergeCell ref="B223:C223"/>
  </mergeCells>
  <hyperlinks>
    <hyperlink ref="C16" r:id="rId1" xr:uid="{31A4DA79-0704-42F8-BB6E-6444A37A9F58}"/>
    <hyperlink ref="C36" r:id="rId2" xr:uid="{4B7DE7FB-49DF-435F-ADA9-699ED3545029}"/>
    <hyperlink ref="C39" r:id="rId3" xr:uid="{76C6348F-1640-4106-A9E7-7AE7B5E83B29}"/>
    <hyperlink ref="C45" r:id="rId4" xr:uid="{E6D910C7-3693-4288-8001-97F8559C982D}"/>
    <hyperlink ref="C18" r:id="rId5" xr:uid="{CC779296-4899-4885-938F-7D774118D86F}"/>
    <hyperlink ref="C188" r:id="rId6" xr:uid="{C3BAFB56-FCD4-49AE-AA7E-2F5973337A8B}"/>
    <hyperlink ref="D189" r:id="rId7" xr:uid="{A0B766AC-CD36-4966-BE80-67E2087DA0A3}"/>
    <hyperlink ref="C218" r:id="rId8" xr:uid="{07332DAE-6043-401C-96AA-DDB25DCFF8DD}"/>
    <hyperlink ref="D219" r:id="rId9" xr:uid="{FF2CB7BB-EE4F-4BBF-94D4-5DF79D5A5FC8}"/>
    <hyperlink ref="C222" r:id="rId10" xr:uid="{0F9A29B3-6ACA-4908-9BF2-6D74E37865B8}"/>
    <hyperlink ref="C232" r:id="rId11" xr:uid="{F35CE26F-675F-4EC6-BD9E-E23E66640FD3}"/>
    <hyperlink ref="C149" r:id="rId12" xr:uid="{420D3EEE-65BE-4083-BE76-212EDBC05DCA}"/>
    <hyperlink ref="C171" r:id="rId13" xr:uid="{5DCFCA32-F706-499C-B4D9-C82DB4AD0D58}"/>
    <hyperlink ref="C174" r:id="rId14" xr:uid="{EDB45BEF-FD27-4516-819A-FF793E412D08}"/>
    <hyperlink ref="C177" r:id="rId15" xr:uid="{5DBC5EE3-74DC-43C3-BBEF-C66290DFC858}"/>
    <hyperlink ref="C183" r:id="rId16" xr:uid="{43CE1B8D-3CC1-4752-A9B1-97B9AAAE4F81}"/>
    <hyperlink ref="C201" r:id="rId17" xr:uid="{669812CF-CA00-48E3-B98D-80DFF6C2D81F}"/>
    <hyperlink ref="C195" r:id="rId18" xr:uid="{A2895126-DA47-4311-9E71-FF48D4EED751}"/>
    <hyperlink ref="C198" r:id="rId19" xr:uid="{45338212-0811-47DE-BBBC-AB06DAD3DBCD}"/>
    <hyperlink ref="C13" r:id="rId20" xr:uid="{15983586-1F19-4A5D-A317-955AEBFB1501}"/>
    <hyperlink ref="C180" r:id="rId21" xr:uid="{E324F92A-6126-4FF5-A945-9F73A76CEB0F}"/>
    <hyperlink ref="C209" r:id="rId22" xr:uid="{912B9B6A-B0A7-4B12-968F-C3EE56CC0262}"/>
    <hyperlink ref="C212" r:id="rId23" xr:uid="{C98BE07A-AE32-43EE-BBC1-7DEF0B347744}"/>
    <hyperlink ref="C215" r:id="rId24" xr:uid="{301ED299-B4AE-47DA-BAA9-2DAA3E30CA5E}"/>
    <hyperlink ref="C134" r:id="rId25" xr:uid="{795B05B5-CB7B-4BBE-A040-1CB8DA040F18}"/>
    <hyperlink ref="C110" r:id="rId26" xr:uid="{D1053981-EC02-4F52-99F4-1CBCAB4AD1BD}"/>
    <hyperlink ref="C152" r:id="rId27" xr:uid="{B519DBD8-3E39-4B14-9CA8-617FF2BBF8FB}"/>
    <hyperlink ref="C226" r:id="rId28" xr:uid="{AB879152-247C-40B9-A309-571C0D8D0376}"/>
    <hyperlink ref="C146" r:id="rId29" xr:uid="{AF201D38-12FF-41A7-A143-C85BCC5A4FC4}"/>
    <hyperlink ref="C140" r:id="rId30" xr:uid="{2EA2FB49-D584-47C2-8766-B285E80B3DF1}"/>
    <hyperlink ref="C137" r:id="rId31" xr:uid="{6955CE87-4B93-4A90-AD17-D7FFC7D603C3}"/>
    <hyperlink ref="C92" r:id="rId32" xr:uid="{37EE5979-7218-43CD-BCF0-034436934D04}"/>
    <hyperlink ref="C115" r:id="rId33" xr:uid="{E23301AA-9CB0-421E-88BE-60417C5D1511}"/>
    <hyperlink ref="C95" r:id="rId34" xr:uid="{2226228E-94DB-4B55-A0C4-0F5F9405422E}"/>
    <hyperlink ref="C101" r:id="rId35" xr:uid="{0C5F0137-A5DA-4A86-8C7D-279460B68B20}"/>
    <hyperlink ref="C128" r:id="rId36" xr:uid="{62E3ACD3-C2AF-4E1B-87AE-D58EEAB41F39}"/>
    <hyperlink ref="C169" r:id="rId37" xr:uid="{75801E32-2B27-4C73-B281-C2C683E416B1}"/>
    <hyperlink ref="C192" r:id="rId38" xr:uid="{F5880E1B-549B-4543-8237-12A112417053}"/>
    <hyperlink ref="C143" r:id="rId39" xr:uid="{01A34CAE-1A1A-4755-A4B3-80FB90900C75}"/>
    <hyperlink ref="C87" r:id="rId40" xr:uid="{675B53F6-D858-4513-A9C1-2037AC22B320}"/>
    <hyperlink ref="C62" r:id="rId41" xr:uid="{FAD45974-1F0A-4901-864B-81DD318926F5}"/>
    <hyperlink ref="C166" r:id="rId42" xr:uid="{1DE2856A-F026-4B77-B516-1BB2D0E1CB66}"/>
    <hyperlink ref="D233" r:id="rId43" xr:uid="{B53C855C-D6B4-4C36-B4EC-443F46FA47CE}"/>
    <hyperlink ref="C131" r:id="rId44" xr:uid="{5E470951-552A-41EA-9CFC-6A7B6C57E549}"/>
    <hyperlink ref="D223" r:id="rId45" xr:uid="{CEAD75A1-C30E-447D-8D1B-B12F25871A7F}"/>
    <hyperlink ref="C42" r:id="rId46" xr:uid="{CB806725-157F-4B51-90DA-D05913236D44}"/>
    <hyperlink ref="C118" r:id="rId47" xr:uid="{FF99DC2F-7219-4D18-87F6-EBF6F0B6B8A0}"/>
    <hyperlink ref="C155" r:id="rId48" xr:uid="{B90472E7-C269-4497-9FB8-C890580395E2}"/>
    <hyperlink ref="C158" r:id="rId49" xr:uid="{4205E4BF-73F6-4053-919C-86786782FA63}"/>
    <hyperlink ref="C161" r:id="rId50" xr:uid="{C0704DC4-92CD-4B67-BA2B-ACCF5561567E}"/>
    <hyperlink ref="C105" r:id="rId51" display="Faire des SI imbriqués dans Excel" xr:uid="{7AD0E8A9-8CAF-4FAC-AAAB-13C3CE43BAF0}"/>
    <hyperlink ref="C251" r:id="rId52" xr:uid="{708ED5B1-418B-420B-AC58-A080CAB4A3E6}"/>
    <hyperlink ref="C275" r:id="rId53" xr:uid="{0EDC5B0D-49A2-4B29-98DD-35C152608B90}"/>
    <hyperlink ref="C103" r:id="rId54" xr:uid="{AE6D655D-41AA-49E6-BA26-9ABF1A5E6B01}"/>
    <hyperlink ref="C273" r:id="rId55" xr:uid="{502E0335-466C-42D1-8B4C-D45A72CF3C49}"/>
    <hyperlink ref="C271" r:id="rId56" xr:uid="{59A0C91A-70FC-412C-8E03-EA9E10E92577}"/>
    <hyperlink ref="C89" r:id="rId57" xr:uid="{E8AC675A-BFF3-4F8A-820E-D110509EA2FD}"/>
    <hyperlink ref="C269" r:id="rId58" xr:uid="{D91B2C89-1568-4B1C-B0DE-592BCF12831C}"/>
    <hyperlink ref="C267" r:id="rId59" xr:uid="{45CCC5B6-B2AF-4E97-8346-CFED13FED803}"/>
    <hyperlink ref="C281" r:id="rId60" xr:uid="{34FDF230-0DE6-4689-BDEC-E306475761D7}"/>
    <hyperlink ref="C107" r:id="rId61" xr:uid="{66BFCA7C-0702-4038-92F8-FCB0DC09F3A0}"/>
    <hyperlink ref="C277" r:id="rId62" xr:uid="{256F16CF-3C80-4424-9DBD-7C686BBCB547}"/>
    <hyperlink ref="C121" r:id="rId63" xr:uid="{FD6EC588-F0C4-4D47-9EBF-832F2CB8A75E}"/>
    <hyperlink ref="C279" r:id="rId64" xr:uid="{851CC93A-BA72-4007-A881-C382198B6566}"/>
    <hyperlink ref="C263" r:id="rId65" xr:uid="{BE9F46CC-DC81-445A-959E-B07DDA30FD56}"/>
    <hyperlink ref="C253" r:id="rId66" xr:uid="{1B3F8BFA-874C-483F-89FB-84622EBA36C3}"/>
    <hyperlink ref="C265" r:id="rId67" xr:uid="{EED35FAF-5B49-4BE6-B158-8746B3FB605E}"/>
    <hyperlink ref="C261" r:id="rId68" xr:uid="{04AAA54B-B4A4-4313-9866-A6135B2CF3FB}"/>
    <hyperlink ref="C259" r:id="rId69" xr:uid="{13F57BDC-DF92-4DEE-A2B1-CEF8DD628B9D}"/>
    <hyperlink ref="C257" r:id="rId70" xr:uid="{C56F854A-5520-4E9E-9CBF-56C98FF9999A}"/>
    <hyperlink ref="C255" r:id="rId71" xr:uid="{7A247A91-B5FB-41DB-8662-1D8EB5BA7897}"/>
    <hyperlink ref="C123" r:id="rId72" xr:uid="{3C6D9709-C052-4568-891A-97FB5DE88E33}"/>
    <hyperlink ref="C125" r:id="rId73" xr:uid="{0B631E91-FF43-4A51-8769-C75D64E3E69C}"/>
    <hyperlink ref="C246" r:id="rId74" xr:uid="{DE2BC3C3-1B11-4D45-B9DD-50B6ECC91903}"/>
    <hyperlink ref="C249" r:id="rId75" xr:uid="{8296E7DC-A322-49A6-835E-490571BE78F1}"/>
  </hyperlinks>
  <pageMargins left="0.7" right="0.7" top="0.75" bottom="0.75" header="0.3" footer="0.3"/>
  <pageSetup paperSize="9" orientation="portrait" r:id="rId76"/>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BD752-160D-42BC-A31B-E6E1D486DD45}">
  <dimension ref="A1:X98"/>
  <sheetViews>
    <sheetView workbookViewId="0">
      <selection activeCell="S29" sqref="S29"/>
    </sheetView>
  </sheetViews>
  <sheetFormatPr baseColWidth="10" defaultRowHeight="15"/>
  <cols>
    <col min="1" max="1" width="4.85546875" style="2635" customWidth="1"/>
    <col min="2" max="37" width="11.7109375" style="2635" customWidth="1"/>
    <col min="38" max="16384" width="11.42578125" style="2635"/>
  </cols>
  <sheetData>
    <row r="1" spans="1:24">
      <c r="A1" s="990"/>
      <c r="B1" s="990"/>
      <c r="C1" s="990"/>
      <c r="D1" s="990"/>
      <c r="E1" s="990"/>
      <c r="F1" s="990"/>
      <c r="G1" s="990"/>
      <c r="H1" s="990"/>
      <c r="I1" s="990"/>
      <c r="J1" s="990"/>
      <c r="K1" s="990"/>
      <c r="L1" s="990"/>
      <c r="M1" s="990"/>
      <c r="N1" s="990"/>
      <c r="O1" s="990"/>
      <c r="P1" s="990"/>
    </row>
    <row r="2" spans="1:24" ht="26.25">
      <c r="A2" s="2398"/>
      <c r="B2" s="2398"/>
      <c r="C2" s="2398"/>
      <c r="D2" s="2398"/>
      <c r="E2" s="2398"/>
      <c r="F2" s="2398"/>
      <c r="G2" s="2398"/>
      <c r="H2" s="2398"/>
      <c r="I2" s="2398"/>
      <c r="J2" s="2398"/>
      <c r="K2" s="2397" t="s">
        <v>1971</v>
      </c>
      <c r="L2" s="990"/>
      <c r="M2" s="990"/>
      <c r="N2" s="990"/>
      <c r="O2" s="990"/>
      <c r="P2" s="2192"/>
    </row>
    <row r="3" spans="1:24" ht="26.25">
      <c r="A3" s="990"/>
      <c r="B3" s="990"/>
      <c r="C3" s="990"/>
      <c r="D3" s="990"/>
      <c r="E3" s="990"/>
      <c r="F3" s="990"/>
      <c r="G3" s="990"/>
      <c r="H3" s="990"/>
      <c r="I3" s="990"/>
      <c r="J3" s="990"/>
      <c r="K3" s="2397" t="s">
        <v>569</v>
      </c>
      <c r="L3" s="990"/>
      <c r="M3" s="990"/>
      <c r="N3" s="990"/>
      <c r="O3" s="990"/>
      <c r="P3" s="2192"/>
    </row>
    <row r="4" spans="1:24">
      <c r="A4" s="990"/>
      <c r="B4" s="990"/>
      <c r="C4" s="990"/>
      <c r="D4" s="990"/>
      <c r="E4" s="990"/>
      <c r="F4" s="990"/>
      <c r="G4" s="990"/>
      <c r="H4" s="990"/>
      <c r="I4" s="990"/>
      <c r="J4" s="990"/>
      <c r="K4" s="990"/>
      <c r="L4" s="990"/>
      <c r="M4" s="990"/>
      <c r="N4" s="990"/>
      <c r="O4" s="990"/>
      <c r="P4" s="990"/>
    </row>
    <row r="6" spans="1:24" ht="18">
      <c r="B6" s="4999" t="s">
        <v>6379</v>
      </c>
      <c r="C6" s="4999"/>
      <c r="D6" s="4999"/>
      <c r="E6" s="4999"/>
      <c r="F6" s="4999"/>
      <c r="G6" s="4999"/>
      <c r="I6" s="4999" t="s">
        <v>6365</v>
      </c>
      <c r="J6" s="4999"/>
      <c r="K6" s="4999"/>
      <c r="L6" s="4999"/>
      <c r="M6" s="4999"/>
      <c r="N6" s="4999"/>
      <c r="O6" s="4999"/>
      <c r="P6" s="4999"/>
      <c r="R6" s="2706" t="s">
        <v>6378</v>
      </c>
      <c r="S6" s="2706"/>
      <c r="T6" s="2706"/>
      <c r="U6" s="2706"/>
      <c r="V6" s="2706"/>
    </row>
    <row r="7" spans="1:24" ht="18.75">
      <c r="I7" s="2880"/>
      <c r="J7" s="2880"/>
      <c r="K7" s="2880"/>
      <c r="L7" s="2880"/>
      <c r="M7" s="2880"/>
      <c r="N7" s="2880"/>
      <c r="O7" s="2879" t="str">
        <f ca="1">"Page "&amp;_xlfn.SHEET()&amp;" sur "&amp;_xlfn.SHEETS()</f>
        <v>Page 22 sur 22</v>
      </c>
      <c r="P7" s="2879"/>
      <c r="R7" s="2821" t="s">
        <v>108</v>
      </c>
      <c r="S7" s="2878" t="s">
        <v>6377</v>
      </c>
    </row>
    <row r="8" spans="1:24" ht="15.75">
      <c r="B8" s="5000" t="s">
        <v>6376</v>
      </c>
      <c r="C8" s="5000"/>
      <c r="E8" s="4984" t="s">
        <v>715</v>
      </c>
      <c r="F8" s="4984"/>
      <c r="G8" s="4984"/>
      <c r="I8" s="2877">
        <v>1</v>
      </c>
      <c r="J8" s="2876">
        <v>2</v>
      </c>
      <c r="K8" s="2875">
        <v>3</v>
      </c>
      <c r="L8" s="2874">
        <v>4</v>
      </c>
      <c r="M8" s="2873">
        <v>5</v>
      </c>
      <c r="N8" s="2872">
        <v>6</v>
      </c>
      <c r="O8" s="2871">
        <v>7</v>
      </c>
      <c r="P8" s="2870">
        <v>8</v>
      </c>
      <c r="R8" s="2706"/>
      <c r="S8" s="2706"/>
      <c r="T8" s="2706"/>
      <c r="U8" s="2706"/>
      <c r="V8" s="2706"/>
    </row>
    <row r="9" spans="1:24">
      <c r="I9" s="2869">
        <v>9</v>
      </c>
      <c r="J9" s="2868">
        <v>10</v>
      </c>
      <c r="K9" s="2867">
        <v>11</v>
      </c>
      <c r="L9" s="2866">
        <v>12</v>
      </c>
      <c r="M9" s="2865">
        <v>13</v>
      </c>
      <c r="N9" s="2864">
        <v>14</v>
      </c>
      <c r="O9" s="2863">
        <v>15</v>
      </c>
      <c r="P9" s="2862">
        <v>16</v>
      </c>
      <c r="R9" s="2706" t="s">
        <v>6375</v>
      </c>
      <c r="S9" s="2706"/>
      <c r="T9" s="2706"/>
      <c r="U9" s="2706"/>
      <c r="V9" s="2706"/>
      <c r="W9" s="2105"/>
      <c r="X9" s="2105"/>
    </row>
    <row r="10" spans="1:24" ht="15.75">
      <c r="B10" s="5001" t="s">
        <v>714</v>
      </c>
      <c r="C10" s="5001"/>
      <c r="E10" s="4978" t="s">
        <v>6374</v>
      </c>
      <c r="F10" s="4978"/>
      <c r="G10" s="4978"/>
      <c r="I10" s="2861">
        <v>17</v>
      </c>
      <c r="J10" s="2860">
        <v>18</v>
      </c>
      <c r="K10" s="2859">
        <v>19</v>
      </c>
      <c r="L10" s="2858">
        <v>20</v>
      </c>
      <c r="M10" s="2857">
        <v>21</v>
      </c>
      <c r="N10" s="2856">
        <v>22</v>
      </c>
      <c r="O10" s="2855">
        <v>23</v>
      </c>
      <c r="P10" s="2854">
        <v>24</v>
      </c>
      <c r="R10" s="2821" t="s">
        <v>108</v>
      </c>
      <c r="S10" s="2820" t="s">
        <v>6373</v>
      </c>
      <c r="T10" s="2706"/>
      <c r="U10" s="2706"/>
      <c r="V10" s="2706"/>
    </row>
    <row r="11" spans="1:24" ht="15.75">
      <c r="E11" s="4979" t="s">
        <v>741</v>
      </c>
      <c r="F11" s="4979"/>
      <c r="G11" s="4979"/>
      <c r="I11" s="2853">
        <v>25</v>
      </c>
      <c r="J11" s="2852">
        <v>26</v>
      </c>
      <c r="K11" s="2851">
        <v>27</v>
      </c>
      <c r="L11" s="2850">
        <v>28</v>
      </c>
      <c r="M11" s="2849">
        <v>29</v>
      </c>
      <c r="N11" s="2848">
        <v>30</v>
      </c>
      <c r="O11" s="2847">
        <v>31</v>
      </c>
      <c r="P11" s="2846">
        <v>32</v>
      </c>
      <c r="R11" s="2706"/>
      <c r="S11" s="2706"/>
      <c r="T11" s="2706"/>
      <c r="U11" s="2706"/>
      <c r="V11" s="2706"/>
    </row>
    <row r="12" spans="1:24" ht="15.75">
      <c r="B12" s="4995" t="s">
        <v>6372</v>
      </c>
      <c r="C12" s="4995"/>
      <c r="E12" s="4980" t="s">
        <v>727</v>
      </c>
      <c r="F12" s="4980"/>
      <c r="G12" s="4980"/>
      <c r="I12" s="2845">
        <v>33</v>
      </c>
      <c r="J12" s="2844">
        <v>34</v>
      </c>
      <c r="K12" s="2843">
        <v>35</v>
      </c>
      <c r="L12" s="2842">
        <v>36</v>
      </c>
      <c r="M12" s="2841">
        <v>37</v>
      </c>
      <c r="N12" s="2840">
        <v>38</v>
      </c>
      <c r="O12" s="2839">
        <v>39</v>
      </c>
      <c r="P12" s="2838">
        <v>40</v>
      </c>
      <c r="R12" s="2706" t="s">
        <v>6371</v>
      </c>
      <c r="S12" s="2706"/>
      <c r="T12" s="2706"/>
      <c r="U12" s="2706"/>
      <c r="V12" s="2706"/>
    </row>
    <row r="13" spans="1:24" ht="15.75">
      <c r="E13" s="4981" t="s">
        <v>724</v>
      </c>
      <c r="F13" s="4981"/>
      <c r="G13" s="4981"/>
      <c r="I13" s="2837">
        <v>41</v>
      </c>
      <c r="J13" s="2836">
        <v>42</v>
      </c>
      <c r="K13" s="2835">
        <v>43</v>
      </c>
      <c r="L13" s="2834">
        <v>44</v>
      </c>
      <c r="M13" s="2833">
        <v>45</v>
      </c>
      <c r="N13" s="2832">
        <v>46</v>
      </c>
      <c r="O13" s="2831">
        <v>47</v>
      </c>
      <c r="P13" s="2830">
        <v>48</v>
      </c>
      <c r="R13" s="2821" t="s">
        <v>108</v>
      </c>
      <c r="S13" s="2820" t="s">
        <v>6370</v>
      </c>
      <c r="T13" s="2706"/>
      <c r="U13" s="2706"/>
      <c r="V13" s="2706"/>
    </row>
    <row r="14" spans="1:24" ht="15.75">
      <c r="B14" s="4996" t="s">
        <v>6369</v>
      </c>
      <c r="C14" s="4996"/>
      <c r="E14" s="4982" t="s">
        <v>721</v>
      </c>
      <c r="F14" s="4982"/>
      <c r="G14" s="4982"/>
      <c r="I14" s="2829">
        <v>49</v>
      </c>
      <c r="J14" s="2828">
        <v>50</v>
      </c>
      <c r="K14" s="2827">
        <v>51</v>
      </c>
      <c r="L14" s="2826">
        <v>52</v>
      </c>
      <c r="M14" s="2825">
        <v>53</v>
      </c>
      <c r="N14" s="2824">
        <v>54</v>
      </c>
      <c r="O14" s="2823">
        <v>55</v>
      </c>
      <c r="P14" s="2822">
        <v>56</v>
      </c>
      <c r="R14" s="2706"/>
      <c r="S14" s="2706"/>
      <c r="T14" s="2706"/>
      <c r="U14" s="2706"/>
      <c r="V14" s="2706"/>
    </row>
    <row r="15" spans="1:24" ht="15.75">
      <c r="E15" s="4966" t="s">
        <v>718</v>
      </c>
      <c r="F15" s="4966"/>
      <c r="G15" s="4966"/>
      <c r="I15" s="4997" t="s">
        <v>6368</v>
      </c>
      <c r="J15" s="4997"/>
      <c r="K15" s="4997"/>
      <c r="L15" s="4997"/>
      <c r="M15" s="4997"/>
      <c r="N15" s="4997"/>
      <c r="O15" s="4997"/>
      <c r="P15" s="4997"/>
      <c r="Q15" s="2649"/>
      <c r="R15" s="2706" t="s">
        <v>6367</v>
      </c>
      <c r="S15" s="2706"/>
      <c r="T15" s="2706"/>
      <c r="U15" s="2706"/>
      <c r="V15" s="2706"/>
    </row>
    <row r="16" spans="1:24" ht="15.75">
      <c r="B16" s="4991" t="s">
        <v>740</v>
      </c>
      <c r="C16" s="4991"/>
      <c r="E16" s="4983" t="s">
        <v>716</v>
      </c>
      <c r="F16" s="4983"/>
      <c r="G16" s="4983"/>
      <c r="I16" s="4998"/>
      <c r="J16" s="4998"/>
      <c r="K16" s="4998"/>
      <c r="L16" s="4998"/>
      <c r="M16" s="4998"/>
      <c r="N16" s="4998"/>
      <c r="O16" s="4998"/>
      <c r="P16" s="4998"/>
      <c r="R16" s="2821" t="s">
        <v>108</v>
      </c>
      <c r="S16" s="2820" t="s">
        <v>6366</v>
      </c>
      <c r="T16" s="2706"/>
      <c r="U16" s="2706"/>
      <c r="V16" s="2706"/>
    </row>
    <row r="17" spans="2:22" ht="15.75">
      <c r="E17" s="4984" t="s">
        <v>715</v>
      </c>
      <c r="F17" s="4984"/>
      <c r="G17" s="4984"/>
      <c r="I17" s="4992" t="s">
        <v>6365</v>
      </c>
      <c r="J17" s="4993"/>
      <c r="K17" s="4993"/>
      <c r="L17" s="4993"/>
      <c r="M17" s="4993"/>
      <c r="N17" s="4993"/>
      <c r="O17" s="4993"/>
      <c r="P17" s="4994"/>
      <c r="R17" s="2706"/>
      <c r="S17" s="2706"/>
      <c r="T17" s="2706"/>
      <c r="U17" s="2706"/>
      <c r="V17" s="2706"/>
    </row>
    <row r="18" spans="2:22" ht="15.75">
      <c r="B18" s="4988" t="s">
        <v>6364</v>
      </c>
      <c r="C18" s="4988"/>
      <c r="E18" s="4985" t="s">
        <v>302</v>
      </c>
      <c r="F18" s="4985"/>
      <c r="G18" s="4985"/>
      <c r="I18" s="2719" t="s">
        <v>6363</v>
      </c>
      <c r="J18" s="2719" t="s">
        <v>6362</v>
      </c>
      <c r="K18" s="2819" t="s">
        <v>6298</v>
      </c>
      <c r="L18" s="2818" t="s">
        <v>6298</v>
      </c>
      <c r="M18" s="2727" t="s">
        <v>6272</v>
      </c>
      <c r="N18" s="2728" t="s">
        <v>6272</v>
      </c>
      <c r="O18" s="2817" t="s">
        <v>6242</v>
      </c>
      <c r="P18" s="2816" t="s">
        <v>6242</v>
      </c>
    </row>
    <row r="19" spans="2:22" ht="15.75">
      <c r="E19" s="4986" t="s">
        <v>714</v>
      </c>
      <c r="F19" s="4986"/>
      <c r="G19" s="4986"/>
      <c r="I19" s="2815" t="s">
        <v>6344</v>
      </c>
      <c r="J19" s="2719" t="s">
        <v>6344</v>
      </c>
      <c r="K19" s="2814" t="s">
        <v>6296</v>
      </c>
      <c r="L19" s="2813" t="s">
        <v>6296</v>
      </c>
      <c r="M19" s="2755" t="s">
        <v>6270</v>
      </c>
      <c r="N19" s="2754" t="s">
        <v>6270</v>
      </c>
      <c r="O19" s="2812" t="s">
        <v>6240</v>
      </c>
      <c r="P19" s="2811" t="s">
        <v>6240</v>
      </c>
    </row>
    <row r="20" spans="2:22" ht="15.75">
      <c r="B20" s="4989" t="s">
        <v>6361</v>
      </c>
      <c r="C20" s="4989"/>
      <c r="E20" s="4987" t="s">
        <v>740</v>
      </c>
      <c r="F20" s="4987"/>
      <c r="G20" s="4987"/>
      <c r="I20" s="2719" t="s">
        <v>6339</v>
      </c>
      <c r="J20" s="2742" t="s">
        <v>6339</v>
      </c>
      <c r="K20" s="2810" t="s">
        <v>6294</v>
      </c>
      <c r="L20" s="2809" t="s">
        <v>6294</v>
      </c>
      <c r="M20" s="2736" t="s">
        <v>6268</v>
      </c>
      <c r="N20" s="2737" t="s">
        <v>6268</v>
      </c>
      <c r="O20" s="2808" t="s">
        <v>6238</v>
      </c>
      <c r="P20" s="2807" t="s">
        <v>6238</v>
      </c>
    </row>
    <row r="21" spans="2:22" ht="15.75">
      <c r="E21" s="4977" t="s">
        <v>713</v>
      </c>
      <c r="F21" s="4977"/>
      <c r="G21" s="4977"/>
      <c r="I21" s="2740" t="s">
        <v>6334</v>
      </c>
      <c r="J21" s="2741" t="s">
        <v>6334</v>
      </c>
      <c r="K21" s="2770" t="s">
        <v>6293</v>
      </c>
      <c r="L21" s="2769" t="s">
        <v>6293</v>
      </c>
      <c r="M21" s="2806" t="s">
        <v>6266</v>
      </c>
      <c r="N21" s="2805" t="s">
        <v>6266</v>
      </c>
      <c r="O21" s="2804" t="s">
        <v>6236</v>
      </c>
      <c r="P21" s="2803" t="s">
        <v>6236</v>
      </c>
    </row>
    <row r="22" spans="2:22" ht="15.75">
      <c r="B22" s="4990" t="s">
        <v>695</v>
      </c>
      <c r="C22" s="4990"/>
      <c r="E22" s="4966" t="s">
        <v>712</v>
      </c>
      <c r="F22" s="4966"/>
      <c r="G22" s="4966"/>
      <c r="I22" s="2738" t="s">
        <v>6329</v>
      </c>
      <c r="J22" s="2739" t="s">
        <v>6329</v>
      </c>
      <c r="K22" s="2802" t="s">
        <v>6360</v>
      </c>
      <c r="L22" s="2801" t="s">
        <v>6360</v>
      </c>
      <c r="M22" s="2798" t="s">
        <v>6264</v>
      </c>
      <c r="N22" s="2797" t="s">
        <v>6264</v>
      </c>
      <c r="O22" s="2800" t="s">
        <v>6234</v>
      </c>
      <c r="P22" s="2799" t="s">
        <v>6234</v>
      </c>
    </row>
    <row r="23" spans="2:22" ht="15.75">
      <c r="E23" s="4967" t="s">
        <v>6359</v>
      </c>
      <c r="F23" s="4967"/>
      <c r="G23" s="4967"/>
      <c r="I23" s="2736" t="s">
        <v>6324</v>
      </c>
      <c r="J23" s="2737" t="s">
        <v>6324</v>
      </c>
      <c r="K23" s="2798" t="s">
        <v>6292</v>
      </c>
      <c r="L23" s="2797" t="s">
        <v>6292</v>
      </c>
      <c r="M23" s="2796" t="s">
        <v>6262</v>
      </c>
      <c r="N23" s="2795" t="s">
        <v>6262</v>
      </c>
      <c r="O23" s="2794" t="s">
        <v>6232</v>
      </c>
      <c r="P23" s="2793" t="s">
        <v>6232</v>
      </c>
    </row>
    <row r="24" spans="2:22" ht="15.75">
      <c r="E24" s="4968" t="s">
        <v>710</v>
      </c>
      <c r="F24" s="4968"/>
      <c r="G24" s="4968"/>
      <c r="I24" s="2734" t="s">
        <v>6320</v>
      </c>
      <c r="J24" s="2735" t="s">
        <v>6320</v>
      </c>
      <c r="K24" s="2792" t="s">
        <v>6290</v>
      </c>
      <c r="L24" s="2791" t="s">
        <v>6290</v>
      </c>
      <c r="M24" s="2790" t="s">
        <v>6260</v>
      </c>
      <c r="N24" s="2789" t="s">
        <v>6260</v>
      </c>
      <c r="O24" s="2788" t="s">
        <v>6230</v>
      </c>
      <c r="P24" s="2787" t="s">
        <v>6230</v>
      </c>
    </row>
    <row r="25" spans="2:22" ht="15.75">
      <c r="E25" s="4969" t="s">
        <v>709</v>
      </c>
      <c r="F25" s="4969"/>
      <c r="G25" s="4969"/>
      <c r="I25" s="2732" t="s">
        <v>6316</v>
      </c>
      <c r="J25" s="2733" t="s">
        <v>6316</v>
      </c>
      <c r="K25" s="2786" t="s">
        <v>6288</v>
      </c>
      <c r="L25" s="2785" t="s">
        <v>6288</v>
      </c>
      <c r="M25" s="2784" t="s">
        <v>6258</v>
      </c>
      <c r="N25" s="2783" t="s">
        <v>6258</v>
      </c>
      <c r="O25" s="2782" t="s">
        <v>6228</v>
      </c>
      <c r="P25" s="2781" t="s">
        <v>6228</v>
      </c>
    </row>
    <row r="26" spans="2:22" ht="15.75">
      <c r="E26" s="4970" t="s">
        <v>708</v>
      </c>
      <c r="F26" s="4970"/>
      <c r="G26" s="4970"/>
      <c r="I26" s="2730" t="s">
        <v>6312</v>
      </c>
      <c r="J26" s="2731" t="s">
        <v>6312</v>
      </c>
      <c r="K26" s="2780" t="s">
        <v>6286</v>
      </c>
      <c r="L26" s="2779" t="s">
        <v>6286</v>
      </c>
      <c r="M26" s="2778" t="s">
        <v>6256</v>
      </c>
      <c r="N26" s="2777" t="s">
        <v>6256</v>
      </c>
      <c r="O26" s="2776" t="s">
        <v>6226</v>
      </c>
      <c r="P26" s="2775" t="s">
        <v>6226</v>
      </c>
    </row>
    <row r="27" spans="2:22">
      <c r="I27" s="2727" t="s">
        <v>6309</v>
      </c>
      <c r="J27" s="2728" t="s">
        <v>6309</v>
      </c>
      <c r="K27" s="2774" t="s">
        <v>6284</v>
      </c>
      <c r="L27" s="2773" t="s">
        <v>6284</v>
      </c>
      <c r="M27" s="2772" t="s">
        <v>6254</v>
      </c>
      <c r="N27" s="2771" t="s">
        <v>6254</v>
      </c>
      <c r="O27" s="2770" t="s">
        <v>6224</v>
      </c>
      <c r="P27" s="2769" t="s">
        <v>6224</v>
      </c>
    </row>
    <row r="28" spans="2:22" ht="18.75">
      <c r="C28" s="2768"/>
      <c r="F28" s="2768"/>
      <c r="G28" s="2768" t="s">
        <v>6358</v>
      </c>
      <c r="I28" s="2725" t="s">
        <v>6306</v>
      </c>
      <c r="J28" s="2726" t="s">
        <v>6306</v>
      </c>
      <c r="K28" s="2723" t="s">
        <v>6282</v>
      </c>
      <c r="L28" s="2724" t="s">
        <v>6282</v>
      </c>
      <c r="M28" s="2767" t="s">
        <v>6252</v>
      </c>
      <c r="N28" s="2766" t="s">
        <v>6252</v>
      </c>
      <c r="O28" s="2765" t="s">
        <v>6222</v>
      </c>
      <c r="P28" s="2764" t="s">
        <v>6222</v>
      </c>
    </row>
    <row r="29" spans="2:22" ht="15.75">
      <c r="E29" s="4978" t="s">
        <v>6357</v>
      </c>
      <c r="F29" s="4978"/>
      <c r="G29" s="4978"/>
      <c r="I29" s="2723" t="s">
        <v>6304</v>
      </c>
      <c r="J29" s="2724" t="s">
        <v>6304</v>
      </c>
      <c r="K29" s="2732" t="s">
        <v>6280</v>
      </c>
      <c r="L29" s="2733" t="s">
        <v>6280</v>
      </c>
      <c r="M29" s="2763" t="s">
        <v>6250</v>
      </c>
      <c r="N29" s="2762" t="s">
        <v>6250</v>
      </c>
      <c r="O29" s="2761" t="s">
        <v>6220</v>
      </c>
      <c r="P29" s="2760" t="s">
        <v>6220</v>
      </c>
    </row>
    <row r="30" spans="2:22" ht="15.75">
      <c r="E30" s="4979" t="s">
        <v>6356</v>
      </c>
      <c r="F30" s="4979"/>
      <c r="G30" s="4979"/>
      <c r="I30" s="2721" t="s">
        <v>6302</v>
      </c>
      <c r="J30" s="2722" t="s">
        <v>6302</v>
      </c>
      <c r="K30" s="2734" t="s">
        <v>6278</v>
      </c>
      <c r="L30" s="2735" t="s">
        <v>6278</v>
      </c>
      <c r="M30" s="2759" t="s">
        <v>6248</v>
      </c>
      <c r="N30" s="2758" t="s">
        <v>6248</v>
      </c>
      <c r="O30" s="2719"/>
      <c r="P30" s="2719"/>
    </row>
    <row r="31" spans="2:22" ht="15.75">
      <c r="E31" s="4980" t="s">
        <v>6355</v>
      </c>
      <c r="F31" s="4980"/>
      <c r="G31" s="4980"/>
      <c r="I31" s="2753" t="s">
        <v>6301</v>
      </c>
      <c r="J31" s="2752" t="s">
        <v>6301</v>
      </c>
      <c r="K31" s="2730" t="s">
        <v>6276</v>
      </c>
      <c r="L31" s="2731" t="s">
        <v>6276</v>
      </c>
      <c r="M31" s="2757" t="s">
        <v>6246</v>
      </c>
      <c r="N31" s="2756" t="s">
        <v>6246</v>
      </c>
      <c r="O31" s="2719"/>
      <c r="P31" s="2719"/>
    </row>
    <row r="32" spans="2:22" ht="15.75">
      <c r="E32" s="4981" t="s">
        <v>6354</v>
      </c>
      <c r="F32" s="4981"/>
      <c r="G32" s="4981"/>
      <c r="I32" s="2755" t="s">
        <v>6300</v>
      </c>
      <c r="J32" s="2754" t="s">
        <v>6300</v>
      </c>
      <c r="K32" s="2753" t="s">
        <v>6274</v>
      </c>
      <c r="L32" s="2752" t="s">
        <v>6274</v>
      </c>
      <c r="M32" s="2751" t="s">
        <v>6244</v>
      </c>
      <c r="N32" s="2750" t="s">
        <v>6244</v>
      </c>
      <c r="O32" s="2719"/>
      <c r="P32" s="2749"/>
    </row>
    <row r="33" spans="1:16" ht="15.75">
      <c r="E33" s="4982" t="s">
        <v>6353</v>
      </c>
      <c r="F33" s="4982"/>
      <c r="G33" s="4982"/>
      <c r="I33" s="2748"/>
      <c r="J33" s="2748"/>
      <c r="K33" s="2748"/>
      <c r="L33" s="2748"/>
      <c r="M33" s="2748"/>
      <c r="N33" s="2748"/>
      <c r="O33" s="2748"/>
      <c r="P33" s="2748"/>
    </row>
    <row r="34" spans="1:16" ht="15.75">
      <c r="E34" s="4966" t="s">
        <v>6318</v>
      </c>
      <c r="F34" s="4966"/>
      <c r="G34" s="4966"/>
      <c r="I34" s="2719" t="s">
        <v>6352</v>
      </c>
      <c r="J34" s="2719" t="s">
        <v>6351</v>
      </c>
      <c r="K34" s="2719" t="s">
        <v>6350</v>
      </c>
      <c r="L34" s="2747" t="s">
        <v>6349</v>
      </c>
      <c r="M34" s="2746" t="s">
        <v>6348</v>
      </c>
      <c r="N34" s="2745" t="s">
        <v>6330</v>
      </c>
      <c r="O34" s="2744" t="s">
        <v>6325</v>
      </c>
      <c r="P34" s="2729" t="s">
        <v>6347</v>
      </c>
    </row>
    <row r="35" spans="1:16" ht="15.75">
      <c r="E35" s="4983" t="s">
        <v>6346</v>
      </c>
      <c r="F35" s="4983"/>
      <c r="G35" s="4983"/>
      <c r="I35" s="2743" t="s">
        <v>6345</v>
      </c>
      <c r="J35" s="2719" t="s">
        <v>6344</v>
      </c>
      <c r="K35" s="2719" t="s">
        <v>6343</v>
      </c>
      <c r="L35" s="2743" t="s">
        <v>6343</v>
      </c>
      <c r="M35" s="2720">
        <v>0</v>
      </c>
      <c r="N35" s="2720">
        <v>0</v>
      </c>
      <c r="O35" s="2720">
        <v>0</v>
      </c>
      <c r="P35" s="2729" t="s">
        <v>6342</v>
      </c>
    </row>
    <row r="36" spans="1:16" ht="15.75">
      <c r="E36" s="4984" t="s">
        <v>6341</v>
      </c>
      <c r="F36" s="4984"/>
      <c r="G36" s="4984"/>
      <c r="I36" s="2719" t="s">
        <v>6340</v>
      </c>
      <c r="J36" s="2742" t="s">
        <v>6339</v>
      </c>
      <c r="K36" s="2719" t="s">
        <v>6338</v>
      </c>
      <c r="L36" s="2719" t="s">
        <v>6338</v>
      </c>
      <c r="M36" s="2720">
        <v>255</v>
      </c>
      <c r="N36" s="2720">
        <v>255</v>
      </c>
      <c r="O36" s="2720">
        <v>255</v>
      </c>
      <c r="P36" s="2729" t="s">
        <v>6337</v>
      </c>
    </row>
    <row r="37" spans="1:16" ht="15.75">
      <c r="E37" s="4985" t="s">
        <v>6336</v>
      </c>
      <c r="F37" s="4985"/>
      <c r="G37" s="4985"/>
      <c r="I37" s="2740" t="s">
        <v>6335</v>
      </c>
      <c r="J37" s="2741" t="s">
        <v>6334</v>
      </c>
      <c r="K37" s="2719" t="s">
        <v>6333</v>
      </c>
      <c r="L37" s="2740" t="s">
        <v>6333</v>
      </c>
      <c r="M37" s="2720">
        <v>255</v>
      </c>
      <c r="N37" s="2720">
        <v>0</v>
      </c>
      <c r="O37" s="2720">
        <v>0</v>
      </c>
      <c r="P37" s="2729" t="s">
        <v>6332</v>
      </c>
    </row>
    <row r="38" spans="1:16" ht="15.75">
      <c r="E38" s="4986" t="s">
        <v>6331</v>
      </c>
      <c r="F38" s="4986"/>
      <c r="G38" s="4986"/>
      <c r="I38" s="2738" t="s">
        <v>6330</v>
      </c>
      <c r="J38" s="2739" t="s">
        <v>6329</v>
      </c>
      <c r="K38" s="2719" t="s">
        <v>6328</v>
      </c>
      <c r="L38" s="2738" t="s">
        <v>6328</v>
      </c>
      <c r="M38" s="2720">
        <v>0</v>
      </c>
      <c r="N38" s="2720">
        <v>255</v>
      </c>
      <c r="O38" s="2720">
        <v>0</v>
      </c>
      <c r="P38" s="2729" t="s">
        <v>6327</v>
      </c>
    </row>
    <row r="39" spans="1:16" ht="15.75">
      <c r="E39" s="4987" t="s">
        <v>6326</v>
      </c>
      <c r="F39" s="4987"/>
      <c r="G39" s="4987"/>
      <c r="I39" s="2736" t="s">
        <v>6325</v>
      </c>
      <c r="J39" s="2737" t="s">
        <v>6324</v>
      </c>
      <c r="K39" s="2719" t="s">
        <v>6269</v>
      </c>
      <c r="L39" s="2736" t="s">
        <v>6269</v>
      </c>
      <c r="M39" s="2720">
        <v>0</v>
      </c>
      <c r="N39" s="2720">
        <v>0</v>
      </c>
      <c r="O39" s="2720">
        <v>255</v>
      </c>
      <c r="P39" s="2729" t="s">
        <v>6323</v>
      </c>
    </row>
    <row r="40" spans="1:16" ht="15.75">
      <c r="E40" s="4977" t="s">
        <v>6322</v>
      </c>
      <c r="F40" s="4977"/>
      <c r="G40" s="4977"/>
      <c r="I40" s="2734" t="s">
        <v>6321</v>
      </c>
      <c r="J40" s="2735" t="s">
        <v>6320</v>
      </c>
      <c r="K40" s="2719" t="s">
        <v>6279</v>
      </c>
      <c r="L40" s="2734" t="s">
        <v>6279</v>
      </c>
      <c r="M40" s="2720">
        <v>255</v>
      </c>
      <c r="N40" s="2720">
        <v>255</v>
      </c>
      <c r="O40" s="2720">
        <v>0</v>
      </c>
      <c r="P40" s="2729" t="s">
        <v>6319</v>
      </c>
    </row>
    <row r="41" spans="1:16" ht="15.75">
      <c r="E41" s="4966" t="s">
        <v>6318</v>
      </c>
      <c r="F41" s="4966"/>
      <c r="G41" s="4966"/>
      <c r="I41" s="2732" t="s">
        <v>6317</v>
      </c>
      <c r="J41" s="2733" t="s">
        <v>6316</v>
      </c>
      <c r="K41" s="2719" t="s">
        <v>6281</v>
      </c>
      <c r="L41" s="2732" t="s">
        <v>6281</v>
      </c>
      <c r="M41" s="2720">
        <v>255</v>
      </c>
      <c r="N41" s="2720">
        <v>0</v>
      </c>
      <c r="O41" s="2720">
        <v>255</v>
      </c>
      <c r="P41" s="2729" t="s">
        <v>6315</v>
      </c>
    </row>
    <row r="42" spans="1:16" ht="15.75">
      <c r="E42" s="4967" t="s">
        <v>6314</v>
      </c>
      <c r="F42" s="4967"/>
      <c r="G42" s="4967"/>
      <c r="I42" s="2730" t="s">
        <v>6313</v>
      </c>
      <c r="J42" s="2731" t="s">
        <v>6312</v>
      </c>
      <c r="K42" s="2719" t="s">
        <v>6277</v>
      </c>
      <c r="L42" s="2730" t="s">
        <v>6277</v>
      </c>
      <c r="M42" s="2720">
        <v>0</v>
      </c>
      <c r="N42" s="2720">
        <v>255</v>
      </c>
      <c r="O42" s="2720">
        <v>255</v>
      </c>
      <c r="P42" s="2729" t="s">
        <v>6311</v>
      </c>
    </row>
    <row r="43" spans="1:16" ht="15.75">
      <c r="E43" s="4968" t="s">
        <v>6310</v>
      </c>
      <c r="F43" s="4968"/>
      <c r="G43" s="4968"/>
      <c r="I43" s="2727" t="s">
        <v>6309</v>
      </c>
      <c r="J43" s="2728" t="s">
        <v>6309</v>
      </c>
      <c r="K43" s="2719" t="s">
        <v>6273</v>
      </c>
      <c r="L43" s="2727" t="s">
        <v>6273</v>
      </c>
      <c r="M43" s="2720">
        <v>128</v>
      </c>
      <c r="N43" s="2720">
        <v>0</v>
      </c>
      <c r="O43" s="2720">
        <v>0</v>
      </c>
      <c r="P43" s="2719" t="s">
        <v>6309</v>
      </c>
    </row>
    <row r="44" spans="1:16" ht="15.75">
      <c r="E44" s="4969" t="s">
        <v>6308</v>
      </c>
      <c r="F44" s="4969"/>
      <c r="G44" s="4969"/>
      <c r="I44" s="2725" t="s">
        <v>6306</v>
      </c>
      <c r="J44" s="2726" t="s">
        <v>6306</v>
      </c>
      <c r="K44" s="2719" t="s">
        <v>6307</v>
      </c>
      <c r="L44" s="2725" t="s">
        <v>6307</v>
      </c>
      <c r="M44" s="2720">
        <v>0</v>
      </c>
      <c r="N44" s="2720">
        <v>128</v>
      </c>
      <c r="O44" s="2720">
        <v>0</v>
      </c>
      <c r="P44" s="2719" t="s">
        <v>6306</v>
      </c>
    </row>
    <row r="45" spans="1:16" ht="15.75">
      <c r="E45" s="4970" t="s">
        <v>6305</v>
      </c>
      <c r="F45" s="4970"/>
      <c r="G45" s="4970"/>
      <c r="I45" s="2723" t="s">
        <v>6304</v>
      </c>
      <c r="J45" s="2724" t="s">
        <v>6304</v>
      </c>
      <c r="K45" s="2719" t="s">
        <v>6283</v>
      </c>
      <c r="L45" s="2723" t="s">
        <v>6283</v>
      </c>
      <c r="M45" s="2720">
        <v>0</v>
      </c>
      <c r="N45" s="2720">
        <v>0</v>
      </c>
      <c r="O45" s="2720">
        <v>128</v>
      </c>
      <c r="P45" s="2719" t="s">
        <v>6304</v>
      </c>
    </row>
    <row r="46" spans="1:16">
      <c r="A46" s="2706"/>
      <c r="B46" s="2706"/>
      <c r="C46" s="2706"/>
      <c r="D46" s="2706"/>
      <c r="E46" s="2706"/>
      <c r="F46" s="2706"/>
      <c r="G46" s="2706"/>
      <c r="I46" s="2721" t="s">
        <v>6302</v>
      </c>
      <c r="J46" s="2722" t="s">
        <v>6302</v>
      </c>
      <c r="K46" s="2719" t="s">
        <v>6303</v>
      </c>
      <c r="L46" s="2721" t="s">
        <v>6303</v>
      </c>
      <c r="M46" s="2720">
        <v>128</v>
      </c>
      <c r="N46" s="2720">
        <v>128</v>
      </c>
      <c r="O46" s="2720">
        <v>0</v>
      </c>
      <c r="P46" s="2719" t="s">
        <v>6302</v>
      </c>
    </row>
    <row r="47" spans="1:16">
      <c r="A47" s="2706"/>
      <c r="I47" s="2694" t="s">
        <v>6301</v>
      </c>
      <c r="J47" s="2695" t="s">
        <v>6301</v>
      </c>
      <c r="K47" s="2637" t="s">
        <v>6275</v>
      </c>
      <c r="L47" s="2694" t="s">
        <v>6275</v>
      </c>
      <c r="M47" s="2638">
        <v>128</v>
      </c>
      <c r="N47" s="2638">
        <v>0</v>
      </c>
      <c r="O47" s="2638">
        <v>128</v>
      </c>
      <c r="P47" s="2637" t="s">
        <v>6301</v>
      </c>
    </row>
    <row r="48" spans="1:16">
      <c r="I48" s="2690" t="s">
        <v>6300</v>
      </c>
      <c r="J48" s="2691" t="s">
        <v>6300</v>
      </c>
      <c r="K48" s="2637" t="s">
        <v>6271</v>
      </c>
      <c r="L48" s="2690" t="s">
        <v>6271</v>
      </c>
      <c r="M48" s="2638">
        <v>0</v>
      </c>
      <c r="N48" s="2638">
        <v>128</v>
      </c>
      <c r="O48" s="2638">
        <v>128</v>
      </c>
      <c r="P48" s="2637" t="s">
        <v>6300</v>
      </c>
    </row>
    <row r="49" spans="1:16">
      <c r="A49" s="2706"/>
      <c r="I49" s="2717" t="s">
        <v>6298</v>
      </c>
      <c r="J49" s="2718" t="s">
        <v>6298</v>
      </c>
      <c r="K49" s="2637" t="s">
        <v>6299</v>
      </c>
      <c r="L49" s="2717" t="s">
        <v>6299</v>
      </c>
      <c r="M49" s="2638">
        <v>192</v>
      </c>
      <c r="N49" s="2638">
        <v>192</v>
      </c>
      <c r="O49" s="2638">
        <v>192</v>
      </c>
      <c r="P49" s="2637" t="s">
        <v>6298</v>
      </c>
    </row>
    <row r="50" spans="1:16">
      <c r="A50" s="2706"/>
      <c r="I50" s="2715" t="s">
        <v>6296</v>
      </c>
      <c r="J50" s="2716" t="s">
        <v>6296</v>
      </c>
      <c r="K50" s="2637" t="s">
        <v>6297</v>
      </c>
      <c r="L50" s="2715" t="s">
        <v>6297</v>
      </c>
      <c r="M50" s="2638">
        <v>128</v>
      </c>
      <c r="N50" s="2638">
        <v>128</v>
      </c>
      <c r="O50" s="2638">
        <v>128</v>
      </c>
      <c r="P50" s="2637" t="s">
        <v>6296</v>
      </c>
    </row>
    <row r="51" spans="1:16">
      <c r="A51" s="2706"/>
      <c r="I51" s="2713" t="s">
        <v>6294</v>
      </c>
      <c r="J51" s="2714" t="s">
        <v>6294</v>
      </c>
      <c r="K51" s="2637" t="s">
        <v>6295</v>
      </c>
      <c r="L51" s="2713" t="s">
        <v>6295</v>
      </c>
      <c r="M51" s="2638">
        <v>153</v>
      </c>
      <c r="N51" s="2638">
        <v>153</v>
      </c>
      <c r="O51" s="2638">
        <v>255</v>
      </c>
      <c r="P51" s="2637" t="s">
        <v>6294</v>
      </c>
    </row>
    <row r="52" spans="1:16">
      <c r="A52" s="2706"/>
      <c r="I52" s="2643" t="s">
        <v>6293</v>
      </c>
      <c r="J52" s="2644" t="s">
        <v>6293</v>
      </c>
      <c r="K52" s="2637" t="s">
        <v>6225</v>
      </c>
      <c r="L52" s="2643" t="s">
        <v>6225</v>
      </c>
      <c r="M52" s="2638">
        <v>153</v>
      </c>
      <c r="N52" s="2638">
        <v>51</v>
      </c>
      <c r="O52" s="2638">
        <v>102</v>
      </c>
      <c r="P52" s="2637" t="s">
        <v>6293</v>
      </c>
    </row>
    <row r="53" spans="1:16">
      <c r="A53" s="2706"/>
      <c r="I53" s="2105"/>
      <c r="J53" s="2105"/>
      <c r="K53" s="2105"/>
      <c r="L53" s="2105"/>
      <c r="M53" s="2105"/>
      <c r="N53" s="2105"/>
      <c r="O53" s="2105"/>
      <c r="P53" s="2105"/>
    </row>
    <row r="54" spans="1:16">
      <c r="A54" s="2706"/>
      <c r="I54" s="2684" t="s">
        <v>6292</v>
      </c>
      <c r="J54" s="2685" t="s">
        <v>6292</v>
      </c>
      <c r="K54" s="2637" t="s">
        <v>6265</v>
      </c>
      <c r="L54" s="2684" t="s">
        <v>6265</v>
      </c>
      <c r="M54" s="2638">
        <v>204</v>
      </c>
      <c r="N54" s="2638">
        <v>255</v>
      </c>
      <c r="O54" s="2638">
        <v>255</v>
      </c>
      <c r="P54" s="2637" t="s">
        <v>6292</v>
      </c>
    </row>
    <row r="55" spans="1:16">
      <c r="A55" s="2706"/>
      <c r="I55" s="2711" t="s">
        <v>6290</v>
      </c>
      <c r="J55" s="2712" t="s">
        <v>6290</v>
      </c>
      <c r="K55" s="2637" t="s">
        <v>6291</v>
      </c>
      <c r="L55" s="2711" t="s">
        <v>6291</v>
      </c>
      <c r="M55" s="2638">
        <v>102</v>
      </c>
      <c r="N55" s="2638">
        <v>0</v>
      </c>
      <c r="O55" s="2638">
        <v>102</v>
      </c>
      <c r="P55" s="2637" t="s">
        <v>6290</v>
      </c>
    </row>
    <row r="56" spans="1:16">
      <c r="A56" s="2706"/>
      <c r="I56" s="2709" t="s">
        <v>6288</v>
      </c>
      <c r="J56" s="2710" t="s">
        <v>6288</v>
      </c>
      <c r="K56" s="2637" t="s">
        <v>6289</v>
      </c>
      <c r="L56" s="2709" t="s">
        <v>6289</v>
      </c>
      <c r="M56" s="2638">
        <v>255</v>
      </c>
      <c r="N56" s="2638">
        <v>128</v>
      </c>
      <c r="O56" s="2638">
        <v>128</v>
      </c>
      <c r="P56" s="2637" t="s">
        <v>6288</v>
      </c>
    </row>
    <row r="57" spans="1:16">
      <c r="A57" s="2706"/>
      <c r="I57" s="2707" t="s">
        <v>6286</v>
      </c>
      <c r="J57" s="2708" t="s">
        <v>6286</v>
      </c>
      <c r="K57" s="2637" t="s">
        <v>6287</v>
      </c>
      <c r="L57" s="2707" t="s">
        <v>6287</v>
      </c>
      <c r="M57" s="2638">
        <v>0</v>
      </c>
      <c r="N57" s="2638">
        <v>102</v>
      </c>
      <c r="O57" s="2638">
        <v>204</v>
      </c>
      <c r="P57" s="2637" t="s">
        <v>6286</v>
      </c>
    </row>
    <row r="58" spans="1:16">
      <c r="A58" s="2706"/>
      <c r="I58" s="2704" t="s">
        <v>6284</v>
      </c>
      <c r="J58" s="2705" t="s">
        <v>6284</v>
      </c>
      <c r="K58" s="2637" t="s">
        <v>6285</v>
      </c>
      <c r="L58" s="2704" t="s">
        <v>6285</v>
      </c>
      <c r="M58" s="2638">
        <v>204</v>
      </c>
      <c r="N58" s="2638">
        <v>204</v>
      </c>
      <c r="O58" s="2638">
        <v>255</v>
      </c>
      <c r="P58" s="2637" t="s">
        <v>6284</v>
      </c>
    </row>
    <row r="59" spans="1:16">
      <c r="I59" s="2702" t="s">
        <v>6282</v>
      </c>
      <c r="J59" s="2703" t="s">
        <v>6282</v>
      </c>
      <c r="K59" s="2637" t="s">
        <v>6283</v>
      </c>
      <c r="L59" s="2702" t="s">
        <v>6283</v>
      </c>
      <c r="M59" s="2638">
        <v>0</v>
      </c>
      <c r="N59" s="2638">
        <v>0</v>
      </c>
      <c r="O59" s="2638">
        <v>128</v>
      </c>
      <c r="P59" s="2637" t="s">
        <v>6282</v>
      </c>
    </row>
    <row r="60" spans="1:16">
      <c r="I60" s="2700" t="s">
        <v>6280</v>
      </c>
      <c r="J60" s="2701" t="s">
        <v>6280</v>
      </c>
      <c r="K60" s="2637" t="s">
        <v>6281</v>
      </c>
      <c r="L60" s="2700" t="s">
        <v>6281</v>
      </c>
      <c r="M60" s="2638">
        <v>255</v>
      </c>
      <c r="N60" s="2638">
        <v>0</v>
      </c>
      <c r="O60" s="2638">
        <v>255</v>
      </c>
      <c r="P60" s="2637" t="s">
        <v>6280</v>
      </c>
    </row>
    <row r="61" spans="1:16">
      <c r="I61" s="2698" t="s">
        <v>6278</v>
      </c>
      <c r="J61" s="2699" t="s">
        <v>6278</v>
      </c>
      <c r="K61" s="2637" t="s">
        <v>6279</v>
      </c>
      <c r="L61" s="2698" t="s">
        <v>6279</v>
      </c>
      <c r="M61" s="2638">
        <v>255</v>
      </c>
      <c r="N61" s="2638">
        <v>255</v>
      </c>
      <c r="O61" s="2638">
        <v>0</v>
      </c>
      <c r="P61" s="2637" t="s">
        <v>6278</v>
      </c>
    </row>
    <row r="62" spans="1:16">
      <c r="I62" s="2696" t="s">
        <v>6276</v>
      </c>
      <c r="J62" s="2697" t="s">
        <v>6276</v>
      </c>
      <c r="K62" s="2637" t="s">
        <v>6277</v>
      </c>
      <c r="L62" s="2696" t="s">
        <v>6277</v>
      </c>
      <c r="M62" s="2638">
        <v>0</v>
      </c>
      <c r="N62" s="2638">
        <v>255</v>
      </c>
      <c r="O62" s="2638">
        <v>255</v>
      </c>
      <c r="P62" s="2637" t="s">
        <v>6276</v>
      </c>
    </row>
    <row r="63" spans="1:16">
      <c r="I63" s="2694" t="s">
        <v>6274</v>
      </c>
      <c r="J63" s="2695" t="s">
        <v>6274</v>
      </c>
      <c r="K63" s="2637" t="s">
        <v>6275</v>
      </c>
      <c r="L63" s="2694" t="s">
        <v>6275</v>
      </c>
      <c r="M63" s="2638">
        <v>128</v>
      </c>
      <c r="N63" s="2638">
        <v>0</v>
      </c>
      <c r="O63" s="2638">
        <v>128</v>
      </c>
      <c r="P63" s="2637" t="s">
        <v>6274</v>
      </c>
    </row>
    <row r="64" spans="1:16">
      <c r="I64" s="2692" t="s">
        <v>6272</v>
      </c>
      <c r="J64" s="2693" t="s">
        <v>6272</v>
      </c>
      <c r="K64" s="2637" t="s">
        <v>6273</v>
      </c>
      <c r="L64" s="2692" t="s">
        <v>6273</v>
      </c>
      <c r="M64" s="2638">
        <v>128</v>
      </c>
      <c r="N64" s="2638">
        <v>0</v>
      </c>
      <c r="O64" s="2638">
        <v>0</v>
      </c>
      <c r="P64" s="2637" t="s">
        <v>6272</v>
      </c>
    </row>
    <row r="65" spans="9:16">
      <c r="I65" s="2690" t="s">
        <v>6270</v>
      </c>
      <c r="J65" s="2691" t="s">
        <v>6270</v>
      </c>
      <c r="K65" s="2637" t="s">
        <v>6271</v>
      </c>
      <c r="L65" s="2690" t="s">
        <v>6271</v>
      </c>
      <c r="M65" s="2638">
        <v>0</v>
      </c>
      <c r="N65" s="2638">
        <v>128</v>
      </c>
      <c r="O65" s="2638">
        <v>128</v>
      </c>
      <c r="P65" s="2637" t="s">
        <v>6270</v>
      </c>
    </row>
    <row r="66" spans="9:16">
      <c r="I66" s="2688" t="s">
        <v>6268</v>
      </c>
      <c r="J66" s="2689" t="s">
        <v>6268</v>
      </c>
      <c r="K66" s="2637" t="s">
        <v>6269</v>
      </c>
      <c r="L66" s="2688" t="s">
        <v>6269</v>
      </c>
      <c r="M66" s="2638">
        <v>0</v>
      </c>
      <c r="N66" s="2638">
        <v>0</v>
      </c>
      <c r="O66" s="2638">
        <v>255</v>
      </c>
      <c r="P66" s="2637" t="s">
        <v>6268</v>
      </c>
    </row>
    <row r="67" spans="9:16">
      <c r="I67" s="2686" t="s">
        <v>6266</v>
      </c>
      <c r="J67" s="2687" t="s">
        <v>6266</v>
      </c>
      <c r="K67" s="2637" t="s">
        <v>6267</v>
      </c>
      <c r="L67" s="2686" t="s">
        <v>6267</v>
      </c>
      <c r="M67" s="2638">
        <v>0</v>
      </c>
      <c r="N67" s="2638">
        <v>204</v>
      </c>
      <c r="O67" s="2638">
        <v>255</v>
      </c>
      <c r="P67" s="2637" t="s">
        <v>6266</v>
      </c>
    </row>
    <row r="68" spans="9:16">
      <c r="I68" s="2684" t="s">
        <v>6264</v>
      </c>
      <c r="J68" s="2685" t="s">
        <v>6264</v>
      </c>
      <c r="K68" s="2637" t="s">
        <v>6265</v>
      </c>
      <c r="L68" s="2684" t="s">
        <v>6265</v>
      </c>
      <c r="M68" s="2638">
        <v>204</v>
      </c>
      <c r="N68" s="2638">
        <v>255</v>
      </c>
      <c r="O68" s="2638">
        <v>255</v>
      </c>
      <c r="P68" s="2637" t="s">
        <v>6264</v>
      </c>
    </row>
    <row r="69" spans="9:16">
      <c r="I69" s="2682" t="s">
        <v>6262</v>
      </c>
      <c r="J69" s="2683" t="s">
        <v>6262</v>
      </c>
      <c r="K69" s="2637" t="s">
        <v>6263</v>
      </c>
      <c r="L69" s="2682" t="s">
        <v>6263</v>
      </c>
      <c r="M69" s="2638">
        <v>204</v>
      </c>
      <c r="N69" s="2638">
        <v>255</v>
      </c>
      <c r="O69" s="2638">
        <v>204</v>
      </c>
      <c r="P69" s="2637" t="s">
        <v>6262</v>
      </c>
    </row>
    <row r="70" spans="9:16">
      <c r="I70" s="2680" t="s">
        <v>6260</v>
      </c>
      <c r="J70" s="2681" t="s">
        <v>6260</v>
      </c>
      <c r="K70" s="2637" t="s">
        <v>6261</v>
      </c>
      <c r="L70" s="2680" t="s">
        <v>6261</v>
      </c>
      <c r="M70" s="2638">
        <v>255</v>
      </c>
      <c r="N70" s="2638">
        <v>255</v>
      </c>
      <c r="O70" s="2638">
        <v>153</v>
      </c>
      <c r="P70" s="2637" t="s">
        <v>6260</v>
      </c>
    </row>
    <row r="71" spans="9:16">
      <c r="I71" s="2678" t="s">
        <v>6258</v>
      </c>
      <c r="J71" s="2679" t="s">
        <v>6258</v>
      </c>
      <c r="K71" s="2637" t="s">
        <v>6259</v>
      </c>
      <c r="L71" s="2678" t="s">
        <v>6259</v>
      </c>
      <c r="M71" s="2638">
        <v>153</v>
      </c>
      <c r="N71" s="2638">
        <v>204</v>
      </c>
      <c r="O71" s="2638">
        <v>255</v>
      </c>
      <c r="P71" s="2637" t="s">
        <v>6258</v>
      </c>
    </row>
    <row r="72" spans="9:16">
      <c r="I72" s="2676" t="s">
        <v>6256</v>
      </c>
      <c r="J72" s="2677" t="s">
        <v>6256</v>
      </c>
      <c r="K72" s="2637" t="s">
        <v>6257</v>
      </c>
      <c r="L72" s="2676" t="s">
        <v>6257</v>
      </c>
      <c r="M72" s="2638">
        <v>255</v>
      </c>
      <c r="N72" s="2638">
        <v>153</v>
      </c>
      <c r="O72" s="2638">
        <v>204</v>
      </c>
      <c r="P72" s="2637" t="s">
        <v>6256</v>
      </c>
    </row>
    <row r="73" spans="9:16">
      <c r="I73" s="2674" t="s">
        <v>6254</v>
      </c>
      <c r="J73" s="2675" t="s">
        <v>6254</v>
      </c>
      <c r="K73" s="2637" t="s">
        <v>6255</v>
      </c>
      <c r="L73" s="2674" t="s">
        <v>6255</v>
      </c>
      <c r="M73" s="2638">
        <v>204</v>
      </c>
      <c r="N73" s="2638">
        <v>153</v>
      </c>
      <c r="O73" s="2638">
        <v>255</v>
      </c>
      <c r="P73" s="2637" t="s">
        <v>6254</v>
      </c>
    </row>
    <row r="74" spans="9:16">
      <c r="I74" s="2672" t="s">
        <v>6252</v>
      </c>
      <c r="J74" s="2673" t="s">
        <v>6252</v>
      </c>
      <c r="K74" s="2637" t="s">
        <v>6253</v>
      </c>
      <c r="L74" s="2672" t="s">
        <v>6253</v>
      </c>
      <c r="M74" s="2638">
        <v>255</v>
      </c>
      <c r="N74" s="2638">
        <v>204</v>
      </c>
      <c r="O74" s="2638">
        <v>153</v>
      </c>
      <c r="P74" s="2637" t="s">
        <v>6252</v>
      </c>
    </row>
    <row r="75" spans="9:16">
      <c r="I75" s="2670" t="s">
        <v>6250</v>
      </c>
      <c r="J75" s="2671" t="s">
        <v>6250</v>
      </c>
      <c r="K75" s="2637" t="s">
        <v>6251</v>
      </c>
      <c r="L75" s="2670" t="s">
        <v>6251</v>
      </c>
      <c r="M75" s="2638">
        <v>51</v>
      </c>
      <c r="N75" s="2638">
        <v>102</v>
      </c>
      <c r="O75" s="2638">
        <v>255</v>
      </c>
      <c r="P75" s="2637" t="s">
        <v>6250</v>
      </c>
    </row>
    <row r="76" spans="9:16">
      <c r="I76" s="2668" t="s">
        <v>6248</v>
      </c>
      <c r="J76" s="2669" t="s">
        <v>6248</v>
      </c>
      <c r="K76" s="2637" t="s">
        <v>6249</v>
      </c>
      <c r="L76" s="2668" t="s">
        <v>6249</v>
      </c>
      <c r="M76" s="2638">
        <v>51</v>
      </c>
      <c r="N76" s="2638">
        <v>204</v>
      </c>
      <c r="O76" s="2638">
        <v>204</v>
      </c>
      <c r="P76" s="2637" t="s">
        <v>6248</v>
      </c>
    </row>
    <row r="77" spans="9:16">
      <c r="I77" s="2666" t="s">
        <v>6246</v>
      </c>
      <c r="J77" s="2667" t="s">
        <v>6246</v>
      </c>
      <c r="K77" s="2637" t="s">
        <v>6247</v>
      </c>
      <c r="L77" s="2666" t="s">
        <v>6247</v>
      </c>
      <c r="M77" s="2638">
        <v>153</v>
      </c>
      <c r="N77" s="2638">
        <v>204</v>
      </c>
      <c r="O77" s="2638">
        <v>0</v>
      </c>
      <c r="P77" s="2637" t="s">
        <v>6246</v>
      </c>
    </row>
    <row r="78" spans="9:16">
      <c r="I78" s="2664" t="s">
        <v>6244</v>
      </c>
      <c r="J78" s="2665" t="s">
        <v>6244</v>
      </c>
      <c r="K78" s="2637" t="s">
        <v>6245</v>
      </c>
      <c r="L78" s="2664" t="s">
        <v>6245</v>
      </c>
      <c r="M78" s="2638">
        <v>255</v>
      </c>
      <c r="N78" s="2638">
        <v>204</v>
      </c>
      <c r="O78" s="2638">
        <v>0</v>
      </c>
      <c r="P78" s="2637" t="s">
        <v>6244</v>
      </c>
    </row>
    <row r="79" spans="9:16">
      <c r="I79" s="2662" t="s">
        <v>6242</v>
      </c>
      <c r="J79" s="2663" t="s">
        <v>6242</v>
      </c>
      <c r="K79" s="2637" t="s">
        <v>6243</v>
      </c>
      <c r="L79" s="2662" t="s">
        <v>6243</v>
      </c>
      <c r="M79" s="2638">
        <v>255</v>
      </c>
      <c r="N79" s="2638">
        <v>153</v>
      </c>
      <c r="O79" s="2638">
        <v>0</v>
      </c>
      <c r="P79" s="2637" t="s">
        <v>6242</v>
      </c>
    </row>
    <row r="80" spans="9:16">
      <c r="I80" s="2660" t="s">
        <v>6240</v>
      </c>
      <c r="J80" s="2661" t="s">
        <v>6240</v>
      </c>
      <c r="K80" s="2637" t="s">
        <v>6241</v>
      </c>
      <c r="L80" s="2660" t="s">
        <v>6241</v>
      </c>
      <c r="M80" s="2638">
        <v>255</v>
      </c>
      <c r="N80" s="2638">
        <v>102</v>
      </c>
      <c r="O80" s="2638">
        <v>0</v>
      </c>
      <c r="P80" s="2637" t="s">
        <v>6240</v>
      </c>
    </row>
    <row r="81" spans="9:19">
      <c r="I81" s="2658" t="s">
        <v>6238</v>
      </c>
      <c r="J81" s="2659" t="s">
        <v>6238</v>
      </c>
      <c r="K81" s="2637" t="s">
        <v>6239</v>
      </c>
      <c r="L81" s="2658" t="s">
        <v>6239</v>
      </c>
      <c r="M81" s="2638">
        <v>102</v>
      </c>
      <c r="N81" s="2638">
        <v>102</v>
      </c>
      <c r="O81" s="2638">
        <v>153</v>
      </c>
      <c r="P81" s="2637" t="s">
        <v>6238</v>
      </c>
    </row>
    <row r="82" spans="9:19">
      <c r="I82" s="2656" t="s">
        <v>6236</v>
      </c>
      <c r="J82" s="2657" t="s">
        <v>6236</v>
      </c>
      <c r="K82" s="2637" t="s">
        <v>6237</v>
      </c>
      <c r="L82" s="2656" t="s">
        <v>6237</v>
      </c>
      <c r="M82" s="2638">
        <v>150</v>
      </c>
      <c r="N82" s="2638">
        <v>150</v>
      </c>
      <c r="O82" s="2638">
        <v>150</v>
      </c>
      <c r="P82" s="2637" t="s">
        <v>6236</v>
      </c>
    </row>
    <row r="83" spans="9:19">
      <c r="I83" s="2654" t="s">
        <v>6234</v>
      </c>
      <c r="J83" s="2655" t="s">
        <v>6234</v>
      </c>
      <c r="K83" s="2637" t="s">
        <v>6235</v>
      </c>
      <c r="L83" s="2654" t="s">
        <v>6235</v>
      </c>
      <c r="M83" s="2638">
        <v>0</v>
      </c>
      <c r="N83" s="2638">
        <v>51</v>
      </c>
      <c r="O83" s="2638">
        <v>102</v>
      </c>
      <c r="P83" s="2637" t="s">
        <v>6234</v>
      </c>
    </row>
    <row r="84" spans="9:19">
      <c r="I84" s="2652" t="s">
        <v>6232</v>
      </c>
      <c r="J84" s="2653" t="s">
        <v>6232</v>
      </c>
      <c r="K84" s="2637" t="s">
        <v>6233</v>
      </c>
      <c r="L84" s="2652" t="s">
        <v>6233</v>
      </c>
      <c r="M84" s="2638">
        <v>51</v>
      </c>
      <c r="N84" s="2638">
        <v>153</v>
      </c>
      <c r="O84" s="2638">
        <v>102</v>
      </c>
      <c r="P84" s="2637" t="s">
        <v>6232</v>
      </c>
    </row>
    <row r="85" spans="9:19">
      <c r="I85" s="2650" t="s">
        <v>6230</v>
      </c>
      <c r="J85" s="2651" t="s">
        <v>6230</v>
      </c>
      <c r="K85" s="2637" t="s">
        <v>6231</v>
      </c>
      <c r="L85" s="2650" t="s">
        <v>6231</v>
      </c>
      <c r="M85" s="2638">
        <v>0</v>
      </c>
      <c r="N85" s="2638">
        <v>51</v>
      </c>
      <c r="O85" s="2638">
        <v>0</v>
      </c>
      <c r="P85" s="2637" t="s">
        <v>6230</v>
      </c>
      <c r="S85" s="2649"/>
    </row>
    <row r="86" spans="9:19">
      <c r="I86" s="2647" t="s">
        <v>6228</v>
      </c>
      <c r="J86" s="2648" t="s">
        <v>6228</v>
      </c>
      <c r="K86" s="2637" t="s">
        <v>6229</v>
      </c>
      <c r="L86" s="2647" t="s">
        <v>6229</v>
      </c>
      <c r="M86" s="2638">
        <v>51</v>
      </c>
      <c r="N86" s="2638">
        <v>51</v>
      </c>
      <c r="O86" s="2638">
        <v>0</v>
      </c>
      <c r="P86" s="2637" t="s">
        <v>6228</v>
      </c>
    </row>
    <row r="87" spans="9:19">
      <c r="I87" s="2645" t="s">
        <v>6226</v>
      </c>
      <c r="J87" s="2646" t="s">
        <v>6226</v>
      </c>
      <c r="K87" s="2637" t="s">
        <v>6227</v>
      </c>
      <c r="L87" s="2645" t="s">
        <v>6227</v>
      </c>
      <c r="M87" s="2638">
        <v>153</v>
      </c>
      <c r="N87" s="2638">
        <v>51</v>
      </c>
      <c r="O87" s="2638">
        <v>0</v>
      </c>
      <c r="P87" s="2637" t="s">
        <v>6226</v>
      </c>
    </row>
    <row r="88" spans="9:19">
      <c r="I88" s="2643" t="s">
        <v>6224</v>
      </c>
      <c r="J88" s="2644" t="s">
        <v>6224</v>
      </c>
      <c r="K88" s="2637" t="s">
        <v>6225</v>
      </c>
      <c r="L88" s="2643" t="s">
        <v>6225</v>
      </c>
      <c r="M88" s="2638">
        <v>153</v>
      </c>
      <c r="N88" s="2638">
        <v>51</v>
      </c>
      <c r="O88" s="2638">
        <v>102</v>
      </c>
      <c r="P88" s="2637" t="s">
        <v>6224</v>
      </c>
    </row>
    <row r="89" spans="9:19">
      <c r="I89" s="2641" t="s">
        <v>6222</v>
      </c>
      <c r="J89" s="2642" t="s">
        <v>6222</v>
      </c>
      <c r="K89" s="2637" t="s">
        <v>6223</v>
      </c>
      <c r="L89" s="2641" t="s">
        <v>6223</v>
      </c>
      <c r="M89" s="2638">
        <v>51</v>
      </c>
      <c r="N89" s="2638">
        <v>51</v>
      </c>
      <c r="O89" s="2638">
        <v>153</v>
      </c>
      <c r="P89" s="2637" t="s">
        <v>6222</v>
      </c>
    </row>
    <row r="90" spans="9:19">
      <c r="I90" s="2639" t="s">
        <v>6220</v>
      </c>
      <c r="J90" s="2640" t="s">
        <v>6220</v>
      </c>
      <c r="K90" s="2637" t="s">
        <v>6221</v>
      </c>
      <c r="L90" s="2639" t="s">
        <v>6221</v>
      </c>
      <c r="M90" s="2638">
        <v>51</v>
      </c>
      <c r="N90" s="2638">
        <v>51</v>
      </c>
      <c r="O90" s="2638">
        <v>51</v>
      </c>
      <c r="P90" s="2637" t="s">
        <v>6220</v>
      </c>
    </row>
    <row r="91" spans="9:19" ht="15" customHeight="1">
      <c r="I91" s="4971" t="s">
        <v>6219</v>
      </c>
      <c r="J91" s="4972"/>
      <c r="K91" s="4972"/>
      <c r="L91" s="4972"/>
      <c r="M91" s="4972"/>
      <c r="N91" s="4972"/>
      <c r="O91" s="4972"/>
      <c r="P91" s="4973"/>
    </row>
    <row r="92" spans="9:19">
      <c r="I92" s="4974"/>
      <c r="J92" s="4975"/>
      <c r="K92" s="4975"/>
      <c r="L92" s="4975"/>
      <c r="M92" s="4975"/>
      <c r="N92" s="4975"/>
      <c r="O92" s="4975"/>
      <c r="P92" s="4976"/>
    </row>
    <row r="93" spans="9:19">
      <c r="I93" s="4960" t="s">
        <v>6218</v>
      </c>
      <c r="J93" s="4961"/>
      <c r="K93" s="4961"/>
      <c r="L93" s="4961"/>
      <c r="M93" s="4961"/>
      <c r="N93" s="4961"/>
      <c r="O93" s="4961"/>
      <c r="P93" s="4962"/>
    </row>
    <row r="94" spans="9:19">
      <c r="I94" s="4960"/>
      <c r="J94" s="4961"/>
      <c r="K94" s="4961"/>
      <c r="L94" s="4961"/>
      <c r="M94" s="4961"/>
      <c r="N94" s="4961"/>
      <c r="O94" s="4961"/>
      <c r="P94" s="4962"/>
    </row>
    <row r="95" spans="9:19">
      <c r="I95" s="4963"/>
      <c r="J95" s="4964"/>
      <c r="K95" s="4964"/>
      <c r="L95" s="4964"/>
      <c r="M95" s="4964"/>
      <c r="N95" s="4964"/>
      <c r="O95" s="4964"/>
      <c r="P95" s="4965"/>
    </row>
    <row r="97" spans="9:16" ht="18.75">
      <c r="I97" s="2636" t="s">
        <v>6217</v>
      </c>
      <c r="J97" s="2105"/>
      <c r="K97" s="2105"/>
      <c r="L97" s="2105"/>
      <c r="M97" s="2105"/>
      <c r="N97" s="2105"/>
      <c r="O97" s="2105"/>
      <c r="P97" s="2105"/>
    </row>
    <row r="98" spans="9:16" ht="18.75">
      <c r="I98" s="2636" t="s">
        <v>6216</v>
      </c>
      <c r="J98" s="2105"/>
      <c r="K98" s="2105"/>
      <c r="L98" s="2105"/>
      <c r="M98" s="2105"/>
      <c r="N98" s="2105"/>
      <c r="O98" s="2105"/>
      <c r="P98" s="2105"/>
    </row>
  </sheetData>
  <mergeCells count="49">
    <mergeCell ref="B6:G6"/>
    <mergeCell ref="I6:P6"/>
    <mergeCell ref="B8:C8"/>
    <mergeCell ref="E8:G8"/>
    <mergeCell ref="B10:C10"/>
    <mergeCell ref="E10:G10"/>
    <mergeCell ref="E11:G11"/>
    <mergeCell ref="B12:C12"/>
    <mergeCell ref="E12:G12"/>
    <mergeCell ref="E13:G13"/>
    <mergeCell ref="B14:C14"/>
    <mergeCell ref="E14:G14"/>
    <mergeCell ref="E15:G15"/>
    <mergeCell ref="B16:C16"/>
    <mergeCell ref="E16:G16"/>
    <mergeCell ref="E17:G17"/>
    <mergeCell ref="I17:P17"/>
    <mergeCell ref="I15:P16"/>
    <mergeCell ref="E26:G26"/>
    <mergeCell ref="B18:C18"/>
    <mergeCell ref="E18:G18"/>
    <mergeCell ref="E19:G19"/>
    <mergeCell ref="B20:C20"/>
    <mergeCell ref="E20:G20"/>
    <mergeCell ref="E21:G21"/>
    <mergeCell ref="B22:C22"/>
    <mergeCell ref="E22:G22"/>
    <mergeCell ref="E23:G23"/>
    <mergeCell ref="E24:G24"/>
    <mergeCell ref="E25:G25"/>
    <mergeCell ref="E40:G40"/>
    <mergeCell ref="E29:G29"/>
    <mergeCell ref="E30:G30"/>
    <mergeCell ref="E31:G31"/>
    <mergeCell ref="E32:G32"/>
    <mergeCell ref="E33:G33"/>
    <mergeCell ref="E34:G34"/>
    <mergeCell ref="E35:G35"/>
    <mergeCell ref="E36:G36"/>
    <mergeCell ref="E37:G37"/>
    <mergeCell ref="E38:G38"/>
    <mergeCell ref="E39:G39"/>
    <mergeCell ref="I93:P95"/>
    <mergeCell ref="E41:G41"/>
    <mergeCell ref="E42:G42"/>
    <mergeCell ref="E43:G43"/>
    <mergeCell ref="E44:G44"/>
    <mergeCell ref="E45:G45"/>
    <mergeCell ref="I91:P92"/>
  </mergeCells>
  <hyperlinks>
    <hyperlink ref="I15" r:id="rId1" xr:uid="{DBE12185-3403-411F-B5AD-02D7C87C93A0}"/>
    <hyperlink ref="I91" r:id="rId2" location="dpalette" display="http://dmcritchie.mvps.org/excel/colors.htm - dpalette" xr:uid="{3A836823-8238-451E-84A7-D8DDE91AEAC2}"/>
    <hyperlink ref="S7" r:id="rId3" xr:uid="{3BF9417F-E012-4421-B237-BC6D82D3DBDA}"/>
    <hyperlink ref="S10" r:id="rId4" xr:uid="{87B712EF-AD23-442B-AB5D-D5AB959D7C62}"/>
    <hyperlink ref="S13" r:id="rId5" xr:uid="{3F565592-62BF-4D68-88E9-9F49DDE46642}"/>
    <hyperlink ref="S16" r:id="rId6" xr:uid="{3188179C-3515-412C-90E2-8E88101DD524}"/>
  </hyperlinks>
  <pageMargins left="0.7" right="0.7" top="0.75" bottom="0.75" header="0.3" footer="0.3"/>
  <pageSetup paperSize="9" orientation="portrait"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50BDB-561D-4287-9037-E3FE6B3F4BEB}">
  <dimension ref="B1:K41"/>
  <sheetViews>
    <sheetView workbookViewId="0">
      <selection activeCell="N35" sqref="N35"/>
    </sheetView>
  </sheetViews>
  <sheetFormatPr baseColWidth="10" defaultRowHeight="15.75"/>
  <cols>
    <col min="1" max="1" width="3" style="384" customWidth="1"/>
    <col min="2" max="11" width="11.42578125" style="27"/>
    <col min="12" max="16384" width="11.42578125" style="384"/>
  </cols>
  <sheetData>
    <row r="1" spans="2:11" ht="18.75">
      <c r="B1" s="3540" t="s">
        <v>677</v>
      </c>
      <c r="C1" s="3541"/>
      <c r="D1" s="3541"/>
      <c r="E1" s="3541"/>
      <c r="F1" s="3541"/>
      <c r="G1" s="3541"/>
      <c r="H1" s="3541"/>
      <c r="I1" s="3541"/>
      <c r="J1" s="3541"/>
      <c r="K1" s="3542"/>
    </row>
    <row r="2" spans="2:11" ht="12.75">
      <c r="B2" s="3531" t="s">
        <v>188</v>
      </c>
      <c r="C2" s="3532"/>
      <c r="D2" s="3532"/>
      <c r="E2" s="3532"/>
      <c r="F2" s="3532"/>
      <c r="G2" s="3532"/>
      <c r="H2" s="3532"/>
      <c r="I2" s="3532"/>
      <c r="J2" s="3532"/>
      <c r="K2" s="3533"/>
    </row>
    <row r="3" spans="2:11" ht="12.75">
      <c r="B3" s="3531"/>
      <c r="C3" s="3532"/>
      <c r="D3" s="3532"/>
      <c r="E3" s="3532"/>
      <c r="F3" s="3532"/>
      <c r="G3" s="3532"/>
      <c r="H3" s="3532"/>
      <c r="I3" s="3532"/>
      <c r="J3" s="3532"/>
      <c r="K3" s="3533"/>
    </row>
    <row r="4" spans="2:11" ht="12.75">
      <c r="B4" s="3531" t="s">
        <v>686</v>
      </c>
      <c r="C4" s="3532"/>
      <c r="D4" s="3532"/>
      <c r="E4" s="3532"/>
      <c r="F4" s="3532"/>
      <c r="G4" s="3532"/>
      <c r="H4" s="3532"/>
      <c r="I4" s="3532"/>
      <c r="J4" s="3532"/>
      <c r="K4" s="3533"/>
    </row>
    <row r="5" spans="2:11" ht="12.75">
      <c r="B5" s="3531"/>
      <c r="C5" s="3532"/>
      <c r="D5" s="3532"/>
      <c r="E5" s="3532"/>
      <c r="F5" s="3532"/>
      <c r="G5" s="3532"/>
      <c r="H5" s="3532"/>
      <c r="I5" s="3532"/>
      <c r="J5" s="3532"/>
      <c r="K5" s="3533"/>
    </row>
    <row r="6" spans="2:11" ht="18.75">
      <c r="B6" s="1374" t="s">
        <v>7</v>
      </c>
      <c r="C6" s="1373" t="s">
        <v>685</v>
      </c>
      <c r="D6" s="1373"/>
      <c r="E6" s="1373"/>
      <c r="F6" s="1373"/>
      <c r="G6" s="1373"/>
      <c r="H6" s="1373"/>
      <c r="I6" s="1373"/>
      <c r="J6" s="1373"/>
      <c r="K6" s="1372"/>
    </row>
    <row r="7" spans="2:11">
      <c r="B7" s="1371" t="str">
        <f ca="1">MID(CELL("filename",B7),FIND("[",CELL("filename",B7)),300)</f>
        <v>[ff-2-A-collectivite.poids.portion.xlsx]O.R.T.</v>
      </c>
      <c r="C7" s="1370"/>
      <c r="D7" s="1369"/>
      <c r="E7" s="1369"/>
      <c r="F7" s="1369"/>
      <c r="G7" s="1369"/>
      <c r="H7" s="1369"/>
      <c r="I7" s="1369"/>
      <c r="J7" s="1369"/>
      <c r="K7" s="1368"/>
    </row>
    <row r="8" spans="2:11" ht="15">
      <c r="B8" s="3534" t="s">
        <v>684</v>
      </c>
      <c r="C8" s="3535"/>
      <c r="D8" s="3535"/>
      <c r="E8" s="3535"/>
      <c r="F8" s="3535"/>
      <c r="G8" s="3535"/>
      <c r="H8" s="3535"/>
      <c r="I8" s="3535"/>
      <c r="J8" s="3535"/>
      <c r="K8" s="3536"/>
    </row>
    <row r="9" spans="2:11">
      <c r="B9" s="1367">
        <v>1</v>
      </c>
      <c r="C9" s="187" t="s">
        <v>683</v>
      </c>
      <c r="D9" s="110"/>
      <c r="E9" s="110"/>
      <c r="F9" s="110"/>
      <c r="G9" s="110"/>
      <c r="H9" s="110"/>
      <c r="I9" s="110"/>
      <c r="J9" s="110"/>
      <c r="K9" s="1366"/>
    </row>
    <row r="10" spans="2:11">
      <c r="B10" s="1367" t="s">
        <v>405</v>
      </c>
      <c r="C10" s="187" t="s">
        <v>682</v>
      </c>
      <c r="D10" s="110"/>
      <c r="E10" s="110"/>
      <c r="F10" s="110"/>
      <c r="G10" s="110"/>
      <c r="H10" s="110"/>
      <c r="I10" s="110"/>
      <c r="J10" s="110"/>
      <c r="K10" s="1366"/>
    </row>
    <row r="11" spans="2:11">
      <c r="B11" s="1367" t="s">
        <v>404</v>
      </c>
      <c r="C11" s="187" t="s">
        <v>681</v>
      </c>
      <c r="D11" s="110"/>
      <c r="E11" s="110"/>
      <c r="F11" s="110"/>
      <c r="G11" s="110"/>
      <c r="H11" s="110"/>
      <c r="I11" s="110"/>
      <c r="J11" s="110"/>
      <c r="K11" s="1366"/>
    </row>
    <row r="12" spans="2:11">
      <c r="B12" s="1367" t="s">
        <v>403</v>
      </c>
      <c r="C12" s="187" t="s">
        <v>680</v>
      </c>
      <c r="D12" s="110"/>
      <c r="E12" s="110"/>
      <c r="F12" s="110"/>
      <c r="G12" s="110"/>
      <c r="H12" s="110"/>
      <c r="I12" s="110"/>
      <c r="J12" s="110"/>
      <c r="K12" s="1366"/>
    </row>
    <row r="13" spans="2:11">
      <c r="B13" s="1367" t="s">
        <v>402</v>
      </c>
      <c r="C13" s="187" t="s">
        <v>679</v>
      </c>
      <c r="D13" s="110"/>
      <c r="E13" s="110"/>
      <c r="F13" s="110"/>
      <c r="G13" s="110"/>
      <c r="H13" s="110"/>
      <c r="I13" s="110"/>
      <c r="J13" s="110"/>
      <c r="K13" s="1366"/>
    </row>
    <row r="14" spans="2:11">
      <c r="B14" s="1367" t="s">
        <v>401</v>
      </c>
      <c r="C14" s="187" t="s">
        <v>678</v>
      </c>
      <c r="D14" s="110"/>
      <c r="E14" s="110"/>
      <c r="F14" s="110"/>
      <c r="G14" s="110"/>
      <c r="H14" s="110"/>
      <c r="I14" s="110"/>
      <c r="J14" s="110"/>
      <c r="K14" s="1366"/>
    </row>
    <row r="15" spans="2:11">
      <c r="B15" s="1367"/>
      <c r="C15" s="3537" t="s">
        <v>677</v>
      </c>
      <c r="D15" s="3538"/>
      <c r="E15" s="3538"/>
      <c r="F15" s="3538"/>
      <c r="G15" s="3538"/>
      <c r="H15" s="3538"/>
      <c r="I15" s="3538"/>
      <c r="J15" s="3538"/>
      <c r="K15" s="3539"/>
    </row>
    <row r="16" spans="2:11">
      <c r="B16" s="1367" t="s">
        <v>676</v>
      </c>
      <c r="C16" s="187" t="s">
        <v>675</v>
      </c>
      <c r="D16" s="110"/>
      <c r="E16" s="110"/>
      <c r="F16" s="110"/>
      <c r="G16" s="110"/>
      <c r="H16" s="110"/>
      <c r="I16" s="110"/>
      <c r="J16" s="110"/>
      <c r="K16" s="1366"/>
    </row>
    <row r="17" spans="2:11">
      <c r="B17" s="1367" t="s">
        <v>405</v>
      </c>
      <c r="C17" s="187" t="s">
        <v>674</v>
      </c>
      <c r="D17" s="110"/>
      <c r="E17" s="110"/>
      <c r="F17" s="110"/>
      <c r="G17" s="110"/>
      <c r="H17" s="110"/>
      <c r="I17" s="110"/>
      <c r="J17" s="110"/>
      <c r="K17" s="1366"/>
    </row>
    <row r="18" spans="2:11">
      <c r="B18" s="1367" t="s">
        <v>404</v>
      </c>
      <c r="C18" s="187" t="s">
        <v>673</v>
      </c>
      <c r="D18" s="110"/>
      <c r="E18" s="110"/>
      <c r="F18" s="110"/>
      <c r="G18" s="110"/>
      <c r="H18" s="110"/>
      <c r="I18" s="110"/>
      <c r="J18" s="110"/>
      <c r="K18" s="1366"/>
    </row>
    <row r="19" spans="2:11">
      <c r="B19" s="1367" t="s">
        <v>403</v>
      </c>
      <c r="C19" s="187" t="s">
        <v>672</v>
      </c>
      <c r="D19" s="110"/>
      <c r="E19" s="110"/>
      <c r="F19" s="110"/>
      <c r="G19" s="110"/>
      <c r="H19" s="110"/>
      <c r="I19" s="110"/>
      <c r="J19" s="110"/>
      <c r="K19" s="1366"/>
    </row>
    <row r="20" spans="2:11">
      <c r="B20" s="1367" t="s">
        <v>402</v>
      </c>
      <c r="C20" s="187" t="s">
        <v>671</v>
      </c>
      <c r="D20" s="110"/>
      <c r="E20" s="110"/>
      <c r="F20" s="110"/>
      <c r="G20" s="110"/>
      <c r="H20" s="110"/>
      <c r="I20" s="110"/>
      <c r="J20" s="110"/>
      <c r="K20" s="1366"/>
    </row>
    <row r="21" spans="2:11">
      <c r="B21" s="1367" t="s">
        <v>401</v>
      </c>
      <c r="C21" s="187" t="s">
        <v>670</v>
      </c>
      <c r="D21" s="110"/>
      <c r="E21" s="110"/>
      <c r="F21" s="110"/>
      <c r="G21" s="110"/>
      <c r="H21" s="110"/>
      <c r="I21" s="110"/>
      <c r="J21" s="110"/>
      <c r="K21" s="1366"/>
    </row>
    <row r="22" spans="2:11">
      <c r="B22" s="1367" t="s">
        <v>400</v>
      </c>
      <c r="C22" s="187" t="s">
        <v>669</v>
      </c>
      <c r="D22" s="110"/>
      <c r="E22" s="110"/>
      <c r="F22" s="110"/>
      <c r="G22" s="110"/>
      <c r="H22" s="110"/>
      <c r="I22" s="110"/>
      <c r="J22" s="110"/>
      <c r="K22" s="1366"/>
    </row>
    <row r="23" spans="2:11">
      <c r="B23" s="1367" t="s">
        <v>399</v>
      </c>
      <c r="C23" s="187" t="s">
        <v>668</v>
      </c>
      <c r="D23" s="110"/>
      <c r="E23" s="110"/>
      <c r="F23" s="110"/>
      <c r="G23" s="110"/>
      <c r="H23" s="110"/>
      <c r="I23" s="110"/>
      <c r="J23" s="110"/>
      <c r="K23" s="1366"/>
    </row>
    <row r="24" spans="2:11">
      <c r="B24" s="1367" t="s">
        <v>398</v>
      </c>
      <c r="C24" s="187" t="s">
        <v>667</v>
      </c>
      <c r="D24" s="110"/>
      <c r="E24" s="110"/>
      <c r="F24" s="110"/>
      <c r="G24" s="110"/>
      <c r="H24" s="110"/>
      <c r="I24" s="110"/>
      <c r="J24" s="110"/>
      <c r="K24" s="1366"/>
    </row>
    <row r="25" spans="2:11">
      <c r="B25" s="1367" t="s">
        <v>397</v>
      </c>
      <c r="C25" s="187" t="s">
        <v>666</v>
      </c>
      <c r="D25" s="110"/>
      <c r="E25" s="110"/>
      <c r="F25" s="110"/>
      <c r="G25" s="110"/>
      <c r="H25" s="110"/>
      <c r="I25" s="110"/>
      <c r="J25" s="110"/>
      <c r="K25" s="1366"/>
    </row>
    <row r="26" spans="2:11">
      <c r="B26" s="1367" t="s">
        <v>396</v>
      </c>
      <c r="C26" s="187" t="s">
        <v>665</v>
      </c>
      <c r="D26" s="110"/>
      <c r="E26" s="110"/>
      <c r="F26" s="110"/>
      <c r="G26" s="110"/>
      <c r="H26" s="110"/>
      <c r="I26" s="110"/>
      <c r="J26" s="110"/>
      <c r="K26" s="1366"/>
    </row>
    <row r="27" spans="2:11">
      <c r="B27" s="1367" t="s">
        <v>395</v>
      </c>
      <c r="C27" s="187" t="s">
        <v>664</v>
      </c>
      <c r="D27" s="110"/>
      <c r="E27" s="110"/>
      <c r="F27" s="110"/>
      <c r="G27" s="110"/>
      <c r="H27" s="110"/>
      <c r="I27" s="110"/>
      <c r="J27" s="110"/>
      <c r="K27" s="1366"/>
    </row>
    <row r="28" spans="2:11">
      <c r="B28" s="1367" t="s">
        <v>394</v>
      </c>
      <c r="C28" s="187" t="s">
        <v>663</v>
      </c>
      <c r="D28" s="110"/>
      <c r="E28" s="110"/>
      <c r="F28" s="110"/>
      <c r="G28" s="110"/>
      <c r="H28" s="110"/>
      <c r="I28" s="110"/>
      <c r="J28" s="110"/>
      <c r="K28" s="1366"/>
    </row>
    <row r="29" spans="2:11">
      <c r="B29" s="1367" t="s">
        <v>393</v>
      </c>
      <c r="C29" s="187" t="s">
        <v>662</v>
      </c>
      <c r="D29" s="110"/>
      <c r="E29" s="110"/>
      <c r="F29" s="110"/>
      <c r="G29" s="110"/>
      <c r="H29" s="110"/>
      <c r="I29" s="110"/>
      <c r="J29" s="110"/>
      <c r="K29" s="1366"/>
    </row>
    <row r="30" spans="2:11">
      <c r="B30" s="1367" t="s">
        <v>392</v>
      </c>
      <c r="C30" s="187" t="s">
        <v>661</v>
      </c>
      <c r="D30" s="110"/>
      <c r="E30" s="110"/>
      <c r="F30" s="110"/>
      <c r="G30" s="110"/>
      <c r="H30" s="110"/>
      <c r="I30" s="110"/>
      <c r="J30" s="110"/>
      <c r="K30" s="1366"/>
    </row>
    <row r="31" spans="2:11">
      <c r="B31" s="1367"/>
      <c r="C31" s="187"/>
      <c r="D31" s="110"/>
      <c r="E31" s="110"/>
      <c r="F31" s="110"/>
      <c r="G31" s="110"/>
      <c r="H31" s="110"/>
      <c r="I31" s="110"/>
      <c r="J31" s="110"/>
      <c r="K31" s="1366"/>
    </row>
    <row r="32" spans="2:11">
      <c r="B32" s="1367"/>
      <c r="C32" s="187" t="s">
        <v>100</v>
      </c>
      <c r="D32" s="110"/>
      <c r="E32" s="110"/>
      <c r="F32" s="110"/>
      <c r="G32" s="110"/>
      <c r="H32" s="110"/>
      <c r="I32" s="110"/>
      <c r="J32" s="110"/>
      <c r="K32" s="1366"/>
    </row>
    <row r="33" spans="2:11">
      <c r="B33" s="1367"/>
      <c r="C33" s="187" t="s">
        <v>101</v>
      </c>
      <c r="D33" s="110"/>
      <c r="E33" s="110"/>
      <c r="F33" s="110"/>
      <c r="G33" s="110"/>
      <c r="H33" s="110"/>
      <c r="I33" s="110"/>
      <c r="J33" s="110"/>
      <c r="K33" s="1366"/>
    </row>
    <row r="34" spans="2:11">
      <c r="B34" s="1367"/>
      <c r="C34" s="187" t="s">
        <v>103</v>
      </c>
      <c r="D34" s="110"/>
      <c r="E34" s="110"/>
      <c r="F34" s="110"/>
      <c r="G34" s="110"/>
      <c r="H34" s="110"/>
      <c r="I34" s="110"/>
      <c r="J34" s="110"/>
      <c r="K34" s="1366"/>
    </row>
    <row r="35" spans="2:11">
      <c r="B35" s="1367"/>
      <c r="C35" s="187"/>
      <c r="D35" s="110"/>
      <c r="E35" s="110"/>
      <c r="F35" s="110"/>
      <c r="G35" s="110"/>
      <c r="H35" s="110"/>
      <c r="I35" s="110"/>
      <c r="J35" s="110"/>
      <c r="K35" s="1366"/>
    </row>
    <row r="36" spans="2:11">
      <c r="B36" s="1367"/>
      <c r="C36" s="187"/>
      <c r="D36" s="110"/>
      <c r="E36" s="110"/>
      <c r="F36" s="110"/>
      <c r="G36" s="110"/>
      <c r="H36" s="110"/>
      <c r="I36" s="110"/>
      <c r="J36" s="110"/>
      <c r="K36" s="1366"/>
    </row>
    <row r="37" spans="2:11">
      <c r="B37" s="1367"/>
      <c r="C37" s="187"/>
      <c r="D37" s="110"/>
      <c r="E37" s="110"/>
      <c r="F37" s="110"/>
      <c r="G37" s="110"/>
      <c r="H37" s="110"/>
      <c r="I37" s="110"/>
      <c r="J37" s="110"/>
      <c r="K37" s="1366"/>
    </row>
    <row r="38" spans="2:11">
      <c r="B38" s="1367"/>
      <c r="C38" s="187"/>
      <c r="D38" s="110"/>
      <c r="E38" s="110"/>
      <c r="F38" s="110"/>
      <c r="G38" s="110"/>
      <c r="H38" s="110"/>
      <c r="I38" s="110"/>
      <c r="J38" s="110"/>
      <c r="K38" s="1366"/>
    </row>
    <row r="39" spans="2:11">
      <c r="B39" s="1367"/>
      <c r="C39" s="187"/>
      <c r="D39" s="110"/>
      <c r="E39" s="110"/>
      <c r="F39" s="110"/>
      <c r="G39" s="110"/>
      <c r="H39" s="110"/>
      <c r="I39" s="110"/>
      <c r="J39" s="110"/>
      <c r="K39" s="1366"/>
    </row>
    <row r="40" spans="2:11">
      <c r="B40" s="1367"/>
      <c r="C40" s="187"/>
      <c r="D40" s="110"/>
      <c r="E40" s="110"/>
      <c r="F40" s="110"/>
      <c r="G40" s="110"/>
      <c r="H40" s="110"/>
      <c r="I40" s="110"/>
      <c r="J40" s="110"/>
      <c r="K40" s="1366"/>
    </row>
    <row r="41" spans="2:11" ht="16.5" thickBot="1">
      <c r="B41" s="1365"/>
      <c r="C41" s="1364"/>
      <c r="D41" s="1363"/>
      <c r="E41" s="1363"/>
      <c r="F41" s="1363"/>
      <c r="G41" s="1363"/>
      <c r="H41" s="1363"/>
      <c r="I41" s="1363"/>
      <c r="J41" s="1363"/>
      <c r="K41" s="1362"/>
    </row>
  </sheetData>
  <mergeCells count="5">
    <mergeCell ref="B2:K3"/>
    <mergeCell ref="B4:K5"/>
    <mergeCell ref="B8:K8"/>
    <mergeCell ref="C15:K15"/>
    <mergeCell ref="B1:K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B2FAD-EF79-4586-98A5-DA4AB71E6540}">
  <dimension ref="A1:AH154"/>
  <sheetViews>
    <sheetView showZeros="0" workbookViewId="0">
      <selection activeCell="X51" sqref="X51"/>
    </sheetView>
  </sheetViews>
  <sheetFormatPr baseColWidth="10" defaultRowHeight="15"/>
  <cols>
    <col min="1" max="1" width="3.5703125" style="831" customWidth="1"/>
    <col min="2" max="2" width="3.28515625" style="831" customWidth="1"/>
    <col min="3" max="7" width="11.7109375" style="831" customWidth="1"/>
    <col min="8" max="9" width="15.7109375" style="831" customWidth="1"/>
    <col min="10" max="17" width="11.7109375" style="831" customWidth="1"/>
    <col min="18" max="18" width="3.5703125" style="831" customWidth="1"/>
    <col min="19" max="19" width="3.85546875" style="831" customWidth="1"/>
    <col min="20" max="29" width="11.42578125" style="831" customWidth="1"/>
    <col min="30" max="32" width="13.7109375" style="831" customWidth="1"/>
    <col min="33" max="16384" width="11.42578125" style="831"/>
  </cols>
  <sheetData>
    <row r="1" spans="1:34" ht="19.5" thickBot="1">
      <c r="A1" s="1" t="s">
        <v>0</v>
      </c>
      <c r="B1" s="827">
        <f ca="1">CELL("largeur",B1)</f>
        <v>3</v>
      </c>
      <c r="C1" s="3" t="s">
        <v>1</v>
      </c>
      <c r="D1" s="4"/>
      <c r="E1" s="4"/>
      <c r="F1" s="4"/>
      <c r="G1" s="4"/>
      <c r="H1" s="4"/>
      <c r="I1" s="4"/>
      <c r="J1" s="4"/>
      <c r="K1" s="4"/>
      <c r="L1" s="5"/>
      <c r="M1" s="5"/>
      <c r="N1" s="5"/>
      <c r="O1" s="5"/>
      <c r="P1" s="5"/>
      <c r="Q1" s="827">
        <f ca="1">CELL("largeur",Q1)</f>
        <v>11</v>
      </c>
      <c r="R1" s="826"/>
      <c r="S1" s="949"/>
      <c r="T1" s="949"/>
      <c r="U1" s="949"/>
      <c r="V1" s="949"/>
      <c r="W1" s="949"/>
      <c r="X1" s="949"/>
      <c r="Y1" s="949"/>
      <c r="Z1" s="949"/>
      <c r="AA1" s="949"/>
      <c r="AB1" s="949"/>
      <c r="AC1" s="949"/>
      <c r="AD1" s="949"/>
      <c r="AE1" s="949"/>
      <c r="AF1" s="949"/>
      <c r="AG1" s="949"/>
      <c r="AH1" s="5"/>
    </row>
    <row r="2" spans="1:34" ht="24" thickBot="1">
      <c r="A2" s="834"/>
      <c r="B2" s="834"/>
      <c r="C2" s="834"/>
      <c r="D2" s="834"/>
      <c r="E2" s="834"/>
      <c r="F2" s="834"/>
      <c r="G2" s="834"/>
      <c r="H2" s="834"/>
      <c r="I2" s="834"/>
      <c r="J2" s="834"/>
      <c r="K2" s="834"/>
      <c r="L2" s="834"/>
      <c r="M2" s="834"/>
      <c r="N2" s="834"/>
      <c r="O2" s="834"/>
      <c r="P2" s="834"/>
      <c r="Q2" s="986" t="s">
        <v>330</v>
      </c>
      <c r="R2" s="820"/>
      <c r="S2" s="949"/>
      <c r="T2" s="3633" t="s">
        <v>259</v>
      </c>
      <c r="U2" s="3634"/>
      <c r="V2" s="3634"/>
      <c r="W2" s="3634"/>
      <c r="X2" s="3634"/>
      <c r="Y2" s="3634"/>
      <c r="Z2" s="3634"/>
      <c r="AA2" s="3634"/>
      <c r="AB2" s="3635"/>
      <c r="AC2" s="949"/>
      <c r="AD2" s="3636" t="s">
        <v>6</v>
      </c>
      <c r="AE2" s="3637"/>
      <c r="AF2" s="3638"/>
      <c r="AG2" s="949"/>
      <c r="AH2" s="381">
        <v>33</v>
      </c>
    </row>
    <row r="3" spans="1:34" ht="28.5" customHeight="1">
      <c r="A3" s="985" t="s">
        <v>307</v>
      </c>
      <c r="B3" s="672"/>
      <c r="C3" s="812" t="s">
        <v>329</v>
      </c>
      <c r="D3" s="811"/>
      <c r="E3" s="811"/>
      <c r="F3" s="811"/>
      <c r="G3" s="811"/>
      <c r="H3" s="811"/>
      <c r="I3" s="811"/>
      <c r="J3" s="811"/>
      <c r="K3" s="811"/>
      <c r="L3" s="811"/>
      <c r="M3" s="811"/>
      <c r="N3" s="3629" t="s">
        <v>305</v>
      </c>
      <c r="O3" s="3629"/>
      <c r="P3" s="810" t="s">
        <v>88</v>
      </c>
      <c r="Q3" s="809"/>
      <c r="R3" s="672"/>
      <c r="S3" s="949"/>
      <c r="T3" s="648"/>
      <c r="U3" s="356"/>
      <c r="V3" s="356"/>
      <c r="W3" s="900"/>
      <c r="X3" s="900"/>
      <c r="Y3" s="647" t="s">
        <v>256</v>
      </c>
      <c r="Z3" s="3642" t="s">
        <v>255</v>
      </c>
      <c r="AA3" s="3642"/>
      <c r="AB3" s="646"/>
      <c r="AC3" s="949"/>
      <c r="AD3" s="3639"/>
      <c r="AE3" s="3640"/>
      <c r="AF3" s="3641"/>
      <c r="AG3" s="949"/>
      <c r="AH3" s="381">
        <v>28.5</v>
      </c>
    </row>
    <row r="4" spans="1:34" ht="28.5" customHeight="1">
      <c r="A4" s="3683" t="str">
        <f>C3</f>
        <v>SAISISSEZ LE NOM DE VOTRE PLAT cellule C3</v>
      </c>
      <c r="B4" s="672"/>
      <c r="C4" s="984" t="s">
        <v>14</v>
      </c>
      <c r="D4" s="983" t="s">
        <v>8</v>
      </c>
      <c r="E4" s="982"/>
      <c r="F4" s="982"/>
      <c r="G4" s="982"/>
      <c r="H4" s="982"/>
      <c r="I4" s="982"/>
      <c r="J4" s="981"/>
      <c r="K4" s="981"/>
      <c r="L4" s="981"/>
      <c r="M4" s="980"/>
      <c r="N4" s="980"/>
      <c r="O4" s="980"/>
      <c r="P4" s="979"/>
      <c r="Q4" s="3684" t="s">
        <v>302</v>
      </c>
      <c r="R4" s="672"/>
      <c r="S4" s="949"/>
      <c r="T4" s="639" t="s">
        <v>250</v>
      </c>
      <c r="U4" s="378"/>
      <c r="V4" s="378"/>
      <c r="W4" s="638" t="s">
        <v>249</v>
      </c>
      <c r="X4" s="378"/>
      <c r="Y4" s="638" t="s">
        <v>242</v>
      </c>
      <c r="Z4" s="641"/>
      <c r="AA4" s="641"/>
      <c r="AB4" s="640"/>
      <c r="AC4" s="949"/>
      <c r="AD4" s="3720" t="s">
        <v>11</v>
      </c>
      <c r="AE4" s="3721"/>
      <c r="AF4" s="3722"/>
      <c r="AG4" s="949"/>
      <c r="AH4" s="381">
        <v>28.5</v>
      </c>
    </row>
    <row r="5" spans="1:34" ht="28.5" customHeight="1">
      <c r="A5" s="3683"/>
      <c r="B5" s="672"/>
      <c r="C5" s="780"/>
      <c r="D5" s="978"/>
      <c r="E5" s="978"/>
      <c r="F5" s="978"/>
      <c r="G5" s="978"/>
      <c r="H5" s="978"/>
      <c r="I5" s="978"/>
      <c r="J5" s="3723" t="s">
        <v>21</v>
      </c>
      <c r="K5" s="3724"/>
      <c r="L5" s="3725"/>
      <c r="M5" s="3726" t="s">
        <v>299</v>
      </c>
      <c r="N5" s="3727"/>
      <c r="O5" s="3727"/>
      <c r="P5" s="3728"/>
      <c r="Q5" s="3685"/>
      <c r="R5" s="672"/>
      <c r="S5" s="949"/>
      <c r="T5" s="977"/>
      <c r="U5" s="378"/>
      <c r="V5" s="378"/>
      <c r="W5" s="638"/>
      <c r="X5" s="378"/>
      <c r="Y5" s="637" t="s">
        <v>247</v>
      </c>
      <c r="Z5" s="637"/>
      <c r="AA5" s="637"/>
      <c r="AB5" s="636"/>
      <c r="AC5" s="949"/>
      <c r="AD5" s="3732" t="s">
        <v>13</v>
      </c>
      <c r="AE5" s="3733"/>
      <c r="AF5" s="3734"/>
      <c r="AG5" s="949"/>
      <c r="AH5" s="381">
        <v>28.5</v>
      </c>
    </row>
    <row r="6" spans="1:34" ht="28.5" customHeight="1">
      <c r="A6" s="3683"/>
      <c r="B6" s="672"/>
      <c r="C6" s="780" t="s">
        <v>295</v>
      </c>
      <c r="D6" s="779"/>
      <c r="E6" s="778"/>
      <c r="F6" s="758"/>
      <c r="G6" s="758"/>
      <c r="H6" s="758"/>
      <c r="I6" s="758"/>
      <c r="J6" s="777" t="s">
        <v>293</v>
      </c>
      <c r="K6" s="776" t="s">
        <v>193</v>
      </c>
      <c r="L6" s="775" t="s">
        <v>197</v>
      </c>
      <c r="M6" s="3729"/>
      <c r="N6" s="3730"/>
      <c r="O6" s="3730"/>
      <c r="P6" s="3731"/>
      <c r="Q6" s="3685"/>
      <c r="R6" s="672"/>
      <c r="S6" s="949"/>
      <c r="T6" s="609"/>
      <c r="U6" s="3737" t="s">
        <v>246</v>
      </c>
      <c r="V6" s="3738" t="s">
        <v>245</v>
      </c>
      <c r="W6" s="3697" t="s">
        <v>46</v>
      </c>
      <c r="X6" s="3698" t="s">
        <v>244</v>
      </c>
      <c r="Y6" s="3735" t="s">
        <v>243</v>
      </c>
      <c r="Z6" s="3736" t="s">
        <v>225</v>
      </c>
      <c r="AA6" s="976"/>
      <c r="AB6" s="608"/>
      <c r="AC6" s="949"/>
      <c r="AD6" s="975" t="s">
        <v>14</v>
      </c>
      <c r="AE6" s="3643" t="s">
        <v>15</v>
      </c>
      <c r="AF6" s="3644"/>
      <c r="AG6" s="949"/>
      <c r="AH6" s="381">
        <v>28.5</v>
      </c>
    </row>
    <row r="7" spans="1:34" ht="28.5" customHeight="1">
      <c r="A7" s="3683"/>
      <c r="B7" s="672"/>
      <c r="C7" s="745"/>
      <c r="D7" s="744"/>
      <c r="E7" s="758"/>
      <c r="F7" s="744"/>
      <c r="G7" s="744"/>
      <c r="H7" s="744"/>
      <c r="I7" s="744"/>
      <c r="J7" s="974">
        <v>600</v>
      </c>
      <c r="K7" s="669">
        <v>120</v>
      </c>
      <c r="L7" s="756">
        <f>(K7*J7)/1000</f>
        <v>72</v>
      </c>
      <c r="M7" s="3645" t="s">
        <v>289</v>
      </c>
      <c r="N7" s="3646"/>
      <c r="O7" s="3646"/>
      <c r="P7" s="3647"/>
      <c r="Q7" s="3685"/>
      <c r="R7" s="672"/>
      <c r="S7" s="949"/>
      <c r="T7" s="609"/>
      <c r="U7" s="3737"/>
      <c r="V7" s="3738"/>
      <c r="W7" s="3697"/>
      <c r="X7" s="3698"/>
      <c r="Y7" s="3735"/>
      <c r="Z7" s="3736"/>
      <c r="AA7" s="632" t="str">
        <f>ADDRESS(ROW(Z8),COLUMN(Z8),4)</f>
        <v>Z8</v>
      </c>
      <c r="AB7" s="608"/>
      <c r="AC7" s="949"/>
      <c r="AD7" s="3648" t="s">
        <v>17</v>
      </c>
      <c r="AE7" s="3649"/>
      <c r="AF7" s="3739" t="str">
        <f>LEFT(ADDRESS(1,COLUMN(H12),4),LEN(ADDRESS(1,COLUMN(H12),4))-1)</f>
        <v>H</v>
      </c>
      <c r="AG7" s="949"/>
      <c r="AH7" s="381">
        <v>28.5</v>
      </c>
    </row>
    <row r="8" spans="1:34" ht="28.5" customHeight="1">
      <c r="A8" s="3683"/>
      <c r="B8" s="672"/>
      <c r="C8" s="745"/>
      <c r="D8" s="744"/>
      <c r="E8" s="744"/>
      <c r="F8" s="744"/>
      <c r="G8" s="744"/>
      <c r="H8" s="744"/>
      <c r="I8" s="973" t="s">
        <v>297</v>
      </c>
      <c r="J8" s="743" t="s">
        <v>231</v>
      </c>
      <c r="K8" s="742" t="s">
        <v>230</v>
      </c>
      <c r="L8" s="741" t="s">
        <v>286</v>
      </c>
      <c r="M8" s="972"/>
      <c r="N8" s="972" t="s">
        <v>285</v>
      </c>
      <c r="O8" s="3694">
        <f ca="1">TODAY()</f>
        <v>44608</v>
      </c>
      <c r="P8" s="3694"/>
      <c r="Q8" s="3685"/>
      <c r="R8" s="672"/>
      <c r="S8" s="949"/>
      <c r="T8" s="609"/>
      <c r="U8" s="971">
        <f>D10</f>
        <v>100</v>
      </c>
      <c r="V8" s="630">
        <v>14</v>
      </c>
      <c r="W8" s="308">
        <v>35</v>
      </c>
      <c r="X8" s="485">
        <f>IF(V8=0,0,((V8-(V8*W8%))))</f>
        <v>9.1000000000000014</v>
      </c>
      <c r="Y8" s="286">
        <f>IF(ISBLANK(U8),0,(V8/U8)*1000)</f>
        <v>140</v>
      </c>
      <c r="Z8" s="286">
        <f>IF(ISBLANK(U8),0,(X8/U8)*1000)</f>
        <v>91.000000000000014</v>
      </c>
      <c r="AA8" s="3695" t="s">
        <v>242</v>
      </c>
      <c r="AB8" s="3696"/>
      <c r="AC8" s="949"/>
      <c r="AD8" s="3648"/>
      <c r="AE8" s="3649"/>
      <c r="AF8" s="3739"/>
      <c r="AG8" s="949"/>
      <c r="AH8" s="381">
        <v>28.5</v>
      </c>
    </row>
    <row r="9" spans="1:34" ht="28.5" customHeight="1">
      <c r="A9" s="3683"/>
      <c r="B9" s="672"/>
      <c r="C9" s="970" t="s">
        <v>279</v>
      </c>
      <c r="D9" s="969" t="s">
        <v>246</v>
      </c>
      <c r="E9" s="968" t="s">
        <v>193</v>
      </c>
      <c r="F9" s="968" t="s">
        <v>135</v>
      </c>
      <c r="G9" s="967" t="s">
        <v>46</v>
      </c>
      <c r="H9" s="966" t="s">
        <v>278</v>
      </c>
      <c r="I9" s="965" t="s">
        <v>193</v>
      </c>
      <c r="J9" s="732"/>
      <c r="K9" s="731"/>
      <c r="L9" s="730"/>
      <c r="M9" s="729" t="s">
        <v>277</v>
      </c>
      <c r="N9" s="729"/>
      <c r="O9" s="356"/>
      <c r="P9" s="356"/>
      <c r="Q9" s="3685"/>
      <c r="R9" s="672"/>
      <c r="S9" s="949"/>
      <c r="T9" s="609"/>
      <c r="U9" s="629"/>
      <c r="V9" s="376"/>
      <c r="W9" s="628"/>
      <c r="X9" s="628"/>
      <c r="Y9" s="376"/>
      <c r="Z9" s="378"/>
      <c r="AA9" s="3695"/>
      <c r="AB9" s="3696"/>
      <c r="AC9" s="949"/>
      <c r="AD9" s="964"/>
      <c r="AE9" s="963" t="s">
        <v>26</v>
      </c>
      <c r="AF9" s="915" t="str">
        <f>LEFT(ADDRESS(1,COLUMN(C12),4),LEN(ADDRESS(1,COLUMN(C12),4))-1)</f>
        <v>C</v>
      </c>
      <c r="AG9" s="949"/>
      <c r="AH9" s="381">
        <v>28.5</v>
      </c>
    </row>
    <row r="10" spans="1:34" ht="23.25" customHeight="1">
      <c r="A10" s="3683"/>
      <c r="B10" s="672"/>
      <c r="C10" s="724">
        <f>IF(ISBLANK(C13),E13,C13*E13)+IF(ISBLANK(C14),E14,C14*E14)+IF(ISBLANK(C15),E15,C15*E15)+IF(ISBLANK(C16),E16,C16*E16)+IF(ISBLANK(C17),E17,C17*E17)+IF(ISBLANK(C18),E18,C18*E18)+IF(ISBLANK(C19),E19,C19*E19)+IF(ISBLANK(C20),E20,C20*E20)+IF(ISBLANK(C21),E21,C21*E21)+IF(ISBLANK(C22),E22,C22*E22)+IF(ISBLANK(C23),E23,C23*E23)+IF(ISBLANK(C24),E24,C24*E24)+IF(ISBLANK(C25),E25,C25*E25)+IF(ISBLANK(C26),E26,C26*E26)+IF(ISBLANK(C27),E27,C27*E27)+IF(ISBLANK(C28),E28,C28*E28)+IF(ISBLANK(C29),E29,C29*E29)+IF(ISBLANK(C30),E30,C30*E30)+IF(ISBLANK(C31),E31,C31*E31)+IF(ISBLANK(C32),E32,C32*E32)+IF(ISBLANK(C33),E33,C33*E33)+IF(ISBLANK(C34),E34,C34*E34)+IF(ISBLANK(C35),E35,C35*E35)+IF(ISBLANK(C36),E36,C36*E36)+IF(ISBLANK(C37),E37,C37*E37)+IF(ISBLANK(C38),E38,C38*E38)+IF(ISBLANK(C39),E39,C39*E39)+ IF(ISBLANK(C40),E40,C40*E40)+ IF(ISBLANK(C41),E41,C41*E41)+ IF(ISBLANK(C42),E42,C42*E42)+ IF(ISBLANK(C43),E43,C43*E43)+ IF(ISBLANK(C44),E44,C44*E44)+ IF(ISBLANK(C45),E45,C45*E45)+ IF(ISBLANK(C46),E46,C46*E46)+ IF(ISBLANK(C47),E47,C47*E47)+ IF(ISBLANK(C48),E48,C48*E48)+IF(ISBLANK(C49),E49,C49*E49)+IF(ISBLANK(C50),E50,C50*E50)+ IF(ISBLANK(C51),E51,C51*E51) +IF(ISBLANK(C52),E52,C52*E52) +IF(ISBLANK(C53),E53,C53*E53) +IF(ISBLANK(C54),E54,C54*E54) +IF(ISBLANK(C55),E55,C55*E55) +IF(ISBLANK(C56),E56,C56*E56) +IF(ISBLANK(C57),E57,C57*E57) +IF(ISBLANK(C58),E58,C58*E58) +IF(ISBLANK(C59),E59,C59*E59) +IF(ISBLANK(C60),E60,C60*E60) +IF(ISBLANK(C61),E61,C61*E61) +IF(ISBLANK(C62),E62,C62*E62)</f>
        <v>0.41000000000000003</v>
      </c>
      <c r="D10" s="962">
        <v>100</v>
      </c>
      <c r="E10" s="722">
        <f>(F10/D10)*1000</f>
        <v>4.1000000000000005</v>
      </c>
      <c r="F10" s="721">
        <f>SUM(F13:F62)</f>
        <v>0.41000000000000003</v>
      </c>
      <c r="G10" s="720">
        <v>10</v>
      </c>
      <c r="H10" s="719">
        <f>IF(ISBLANK(G10),"",IF(F10=0,0,((F10-(F10*G10%)))))</f>
        <v>0.36899999999999999</v>
      </c>
      <c r="I10" s="961">
        <f>IF(ISBLANK(G10),"",(H10/D10)*1000)</f>
        <v>3.69</v>
      </c>
      <c r="J10" s="717" t="s">
        <v>190</v>
      </c>
      <c r="K10" s="711"/>
      <c r="L10" s="716" t="s">
        <v>37</v>
      </c>
      <c r="M10" s="960">
        <f>IF(ISBLANK(K9),J7,"")</f>
        <v>600</v>
      </c>
      <c r="N10" s="959" t="str">
        <f>IF(ISBLANK(K9),"Portions","")</f>
        <v>Portions</v>
      </c>
      <c r="O10" s="713">
        <f>IF(ISBLANK(K9),L7,K9)</f>
        <v>72</v>
      </c>
      <c r="P10" s="958" t="str">
        <f>IF(ISBLANK(K9),"Kg",L9)</f>
        <v>Kg</v>
      </c>
      <c r="Q10" s="3685"/>
      <c r="R10" s="672"/>
      <c r="S10" s="949"/>
      <c r="T10" s="609"/>
      <c r="U10" s="624" t="s">
        <v>240</v>
      </c>
      <c r="V10" s="623">
        <f>(V8/Z8)*Z10</f>
        <v>18.46153846153846</v>
      </c>
      <c r="W10" s="622"/>
      <c r="X10" s="376"/>
      <c r="Y10" s="286">
        <f>(Y8/Z8)*Z10</f>
        <v>184.61538461538458</v>
      </c>
      <c r="Z10" s="621">
        <v>120</v>
      </c>
      <c r="AA10" s="957" t="s">
        <v>223</v>
      </c>
      <c r="AB10" s="619"/>
      <c r="AC10" s="949"/>
      <c r="AD10" s="954"/>
      <c r="AE10" s="953" t="s">
        <v>38</v>
      </c>
      <c r="AF10" s="915" t="str">
        <f>LEFT(ADDRESS(1,COLUMN(D12),4),LEN(ADDRESS(1,COLUMN(D12),4))-1)</f>
        <v>D</v>
      </c>
      <c r="AG10" s="949"/>
      <c r="AH10" s="381">
        <v>23.25</v>
      </c>
    </row>
    <row r="11" spans="1:34" ht="23.25" customHeight="1">
      <c r="A11" s="3683"/>
      <c r="B11" s="672"/>
      <c r="C11" s="956" t="s">
        <v>59</v>
      </c>
      <c r="D11" s="702" t="s">
        <v>60</v>
      </c>
      <c r="E11" s="701" t="s">
        <v>61</v>
      </c>
      <c r="F11" s="700"/>
      <c r="G11" s="3717" t="s">
        <v>44</v>
      </c>
      <c r="H11" s="3717"/>
      <c r="I11" s="3717"/>
      <c r="J11" s="699">
        <f>D10</f>
        <v>100</v>
      </c>
      <c r="K11" s="833"/>
      <c r="L11" s="698">
        <f>L64</f>
        <v>72</v>
      </c>
      <c r="M11" s="697">
        <f>N65</f>
        <v>6.1463414634146432</v>
      </c>
      <c r="N11" s="696">
        <f>N64</f>
        <v>65.853658536585357</v>
      </c>
      <c r="O11" s="695"/>
      <c r="P11" s="955" t="s">
        <v>37</v>
      </c>
      <c r="Q11" s="3685"/>
      <c r="R11" s="672"/>
      <c r="S11" s="949"/>
      <c r="T11" s="618" t="s">
        <v>238</v>
      </c>
      <c r="U11" s="617"/>
      <c r="V11" s="617"/>
      <c r="W11" s="617"/>
      <c r="X11" s="617"/>
      <c r="Y11" s="617"/>
      <c r="Z11" s="617"/>
      <c r="AA11" s="617"/>
      <c r="AB11" s="616"/>
      <c r="AC11" s="949"/>
      <c r="AD11" s="954"/>
      <c r="AE11" s="953" t="s">
        <v>51</v>
      </c>
      <c r="AF11" s="915" t="str">
        <f>LEFT(ADDRESS(1,COLUMN(E12),4),LEN(ADDRESS(1,COLUMN(E12),4))-1)</f>
        <v>E</v>
      </c>
      <c r="AG11" s="949"/>
      <c r="AH11" s="381">
        <v>23.25</v>
      </c>
    </row>
    <row r="12" spans="1:34" ht="23.25" customHeight="1">
      <c r="A12" s="3683"/>
      <c r="B12" s="672"/>
      <c r="C12" s="683" t="s">
        <v>270</v>
      </c>
      <c r="D12" s="952" t="s">
        <v>41</v>
      </c>
      <c r="E12" s="682" t="s">
        <v>65</v>
      </c>
      <c r="F12" s="681" t="s">
        <v>269</v>
      </c>
      <c r="G12" s="680" t="s">
        <v>268</v>
      </c>
      <c r="H12" s="679" t="s">
        <v>267</v>
      </c>
      <c r="I12" s="951"/>
      <c r="J12" s="677" t="s">
        <v>40</v>
      </c>
      <c r="K12" s="676" t="s">
        <v>41</v>
      </c>
      <c r="L12" s="676" t="s">
        <v>20</v>
      </c>
      <c r="M12" s="430" t="s">
        <v>46</v>
      </c>
      <c r="N12" s="675" t="s">
        <v>47</v>
      </c>
      <c r="O12" s="674" t="s">
        <v>266</v>
      </c>
      <c r="P12" s="673">
        <f>SUM(P13:P62)</f>
        <v>783.21951219512187</v>
      </c>
      <c r="Q12" s="3685"/>
      <c r="R12" s="672"/>
      <c r="S12" s="949"/>
      <c r="T12" s="615">
        <v>14</v>
      </c>
      <c r="U12" s="378" t="s">
        <v>237</v>
      </c>
      <c r="V12" s="378"/>
      <c r="W12" s="378"/>
      <c r="X12" s="378"/>
      <c r="Y12" s="378"/>
      <c r="Z12" s="378"/>
      <c r="AA12" s="378"/>
      <c r="AB12" s="608"/>
      <c r="AC12" s="949"/>
      <c r="AD12" s="74" t="s">
        <v>59</v>
      </c>
      <c r="AE12" s="75" t="s">
        <v>60</v>
      </c>
      <c r="AF12" s="663" t="s">
        <v>61</v>
      </c>
      <c r="AG12" s="949"/>
      <c r="AH12" s="381">
        <v>23.25</v>
      </c>
    </row>
    <row r="13" spans="1:34" ht="15" customHeight="1">
      <c r="A13" s="3683"/>
      <c r="B13" s="515"/>
      <c r="C13" s="545">
        <v>2</v>
      </c>
      <c r="D13" s="544" t="s">
        <v>71</v>
      </c>
      <c r="E13" s="543">
        <v>0.05</v>
      </c>
      <c r="F13" s="662">
        <f t="shared" ref="F13:F44" si="0">IF(ISBLANK(C13),E13,C13*E13)</f>
        <v>0.1</v>
      </c>
      <c r="G13" s="541">
        <v>263551</v>
      </c>
      <c r="H13" s="661" t="s">
        <v>328</v>
      </c>
      <c r="I13" s="660"/>
      <c r="J13" s="540">
        <f>IF(ISBLANK(J9),(C13/F10)*L7,(C13/J9)*K9)</f>
        <v>351.21951219512192</v>
      </c>
      <c r="K13" s="539" t="str">
        <f t="shared" ref="K13:K44" si="1">D13</f>
        <v>pommes</v>
      </c>
      <c r="L13" s="538">
        <f>IF(ISBLANK(J9),(F13/F10)*L7,(F13/J9)*K9)</f>
        <v>17.560975609756099</v>
      </c>
      <c r="M13" s="518">
        <v>35</v>
      </c>
      <c r="N13" s="927">
        <f t="shared" ref="N13:N44" si="2">IF(F13=0,0,((L13-(L13*M13%))))</f>
        <v>11.414634146341465</v>
      </c>
      <c r="O13" s="516">
        <v>1.5</v>
      </c>
      <c r="P13" s="925">
        <f t="shared" ref="P13:P44" si="3">IF(ISBLANK(E13),J13*O13,L13*O13)</f>
        <v>26.341463414634148</v>
      </c>
      <c r="Q13" s="3685"/>
      <c r="R13" s="515"/>
      <c r="S13" s="900"/>
      <c r="T13" s="609"/>
      <c r="U13" s="378" t="s">
        <v>234</v>
      </c>
      <c r="V13" s="378"/>
      <c r="W13" s="378"/>
      <c r="X13" s="378"/>
      <c r="Y13" s="378"/>
      <c r="Z13" s="378"/>
      <c r="AA13" s="378"/>
      <c r="AB13" s="608"/>
      <c r="AC13" s="949"/>
      <c r="AD13" s="3718" t="s">
        <v>64</v>
      </c>
      <c r="AE13" s="3650" t="s">
        <v>41</v>
      </c>
      <c r="AF13" s="3652" t="s">
        <v>65</v>
      </c>
      <c r="AG13" s="949"/>
      <c r="AH13" s="381">
        <v>15</v>
      </c>
    </row>
    <row r="14" spans="1:34" ht="15" customHeight="1">
      <c r="A14" s="3683"/>
      <c r="B14" s="515"/>
      <c r="C14" s="528">
        <v>3</v>
      </c>
      <c r="D14" s="527" t="s">
        <v>79</v>
      </c>
      <c r="E14" s="526">
        <v>0.02</v>
      </c>
      <c r="F14" s="525">
        <f t="shared" si="0"/>
        <v>0.06</v>
      </c>
      <c r="G14" s="524"/>
      <c r="H14" s="523" t="s">
        <v>77</v>
      </c>
      <c r="I14" s="522"/>
      <c r="J14" s="950">
        <f>IF(ISBLANK(J9),(C14/F10)*L7,(C14/J9)*K9)</f>
        <v>526.82926829268285</v>
      </c>
      <c r="K14" s="520" t="str">
        <f t="shared" si="1"/>
        <v>jaunes</v>
      </c>
      <c r="L14" s="519">
        <f>IF(ISBLANK(J9),(F14/F10)*L7,(F14/J9)*K9)</f>
        <v>10.536585365853657</v>
      </c>
      <c r="M14" s="518"/>
      <c r="N14" s="926">
        <f t="shared" si="2"/>
        <v>10.536585365853657</v>
      </c>
      <c r="O14" s="516">
        <v>1</v>
      </c>
      <c r="P14" s="925">
        <f t="shared" si="3"/>
        <v>10.536585365853657</v>
      </c>
      <c r="Q14" s="3685"/>
      <c r="R14" s="515"/>
      <c r="S14" s="900"/>
      <c r="T14" s="609"/>
      <c r="U14" s="378" t="s">
        <v>233</v>
      </c>
      <c r="V14" s="378"/>
      <c r="W14" s="378"/>
      <c r="X14" s="378"/>
      <c r="Y14" s="378"/>
      <c r="Z14" s="378"/>
      <c r="AA14" s="378"/>
      <c r="AB14" s="608"/>
      <c r="AC14" s="949"/>
      <c r="AD14" s="3719"/>
      <c r="AE14" s="3651"/>
      <c r="AF14" s="3653"/>
      <c r="AG14" s="949"/>
      <c r="AH14" s="381">
        <v>15</v>
      </c>
    </row>
    <row r="15" spans="1:34" ht="15" customHeight="1">
      <c r="A15" s="3683"/>
      <c r="B15" s="515"/>
      <c r="C15" s="545">
        <v>5</v>
      </c>
      <c r="D15" s="544" t="s">
        <v>83</v>
      </c>
      <c r="E15" s="543">
        <v>0.05</v>
      </c>
      <c r="F15" s="542">
        <f t="shared" si="0"/>
        <v>0.25</v>
      </c>
      <c r="G15" s="541">
        <v>2124568</v>
      </c>
      <c r="H15" s="523" t="s">
        <v>83</v>
      </c>
      <c r="I15" s="522"/>
      <c r="J15" s="540">
        <f>IF(ISBLANK(J9),(C15/F10)*L7,(C15/J9)*K9)</f>
        <v>878.04878048780472</v>
      </c>
      <c r="K15" s="539" t="str">
        <f t="shared" si="1"/>
        <v>œufs</v>
      </c>
      <c r="L15" s="538">
        <f>IF(ISBLANK(J9),(F15/F10)*L7,(F15/J9)*K9)</f>
        <v>43.90243902439024</v>
      </c>
      <c r="M15" s="518"/>
      <c r="N15" s="927">
        <f t="shared" si="2"/>
        <v>43.90243902439024</v>
      </c>
      <c r="O15" s="516">
        <v>1</v>
      </c>
      <c r="P15" s="925">
        <f t="shared" si="3"/>
        <v>43.90243902439024</v>
      </c>
      <c r="Q15" s="3685"/>
      <c r="R15" s="515"/>
      <c r="S15" s="900"/>
      <c r="T15" s="614" t="s">
        <v>232</v>
      </c>
      <c r="U15" s="3687" t="s">
        <v>231</v>
      </c>
      <c r="V15" s="3689" t="s">
        <v>230</v>
      </c>
      <c r="W15" s="613"/>
      <c r="X15" s="613"/>
      <c r="Y15" s="613"/>
      <c r="Z15" s="613"/>
      <c r="AA15" s="613"/>
      <c r="AB15" s="612"/>
      <c r="AC15" s="949"/>
      <c r="AD15" s="126">
        <v>2</v>
      </c>
      <c r="AE15" s="127" t="s">
        <v>71</v>
      </c>
      <c r="AF15" s="633">
        <v>0.05</v>
      </c>
      <c r="AG15" s="949"/>
      <c r="AH15" s="381">
        <v>15</v>
      </c>
    </row>
    <row r="16" spans="1:34" ht="15" customHeight="1">
      <c r="A16" s="3683"/>
      <c r="B16" s="515"/>
      <c r="C16" s="528">
        <v>4</v>
      </c>
      <c r="D16" s="527" t="s">
        <v>83</v>
      </c>
      <c r="E16" s="526"/>
      <c r="F16" s="525">
        <f t="shared" si="0"/>
        <v>0</v>
      </c>
      <c r="G16" s="524"/>
      <c r="H16" s="523" t="s">
        <v>83</v>
      </c>
      <c r="I16" s="522"/>
      <c r="J16" s="950">
        <f>IF(ISBLANK(J9),(C16/F10)*L7,(C16/J9)*K9)</f>
        <v>702.43902439024384</v>
      </c>
      <c r="K16" s="520" t="str">
        <f t="shared" si="1"/>
        <v>œufs</v>
      </c>
      <c r="L16" s="519">
        <f>IF(ISBLANK(J9),(F16/F10)*L7,(F16/J9)*K9)</f>
        <v>0</v>
      </c>
      <c r="M16" s="518"/>
      <c r="N16" s="926">
        <f t="shared" si="2"/>
        <v>0</v>
      </c>
      <c r="O16" s="516">
        <v>1</v>
      </c>
      <c r="P16" s="925">
        <f t="shared" si="3"/>
        <v>702.43902439024384</v>
      </c>
      <c r="Q16" s="3685"/>
      <c r="R16" s="515"/>
      <c r="S16" s="900"/>
      <c r="T16" s="609"/>
      <c r="U16" s="3688"/>
      <c r="V16" s="3690"/>
      <c r="W16" s="378"/>
      <c r="X16" s="378"/>
      <c r="Y16" s="378"/>
      <c r="Z16" s="378"/>
      <c r="AA16" s="378"/>
      <c r="AB16" s="608"/>
      <c r="AC16" s="949"/>
      <c r="AD16" s="948"/>
      <c r="AE16" s="947" t="s">
        <v>73</v>
      </c>
      <c r="AF16" s="946"/>
      <c r="AG16" s="949"/>
      <c r="AH16" s="381">
        <v>15</v>
      </c>
    </row>
    <row r="17" spans="1:34" ht="15" customHeight="1" thickBot="1">
      <c r="A17" s="3683"/>
      <c r="B17" s="515"/>
      <c r="C17" s="545">
        <v>12</v>
      </c>
      <c r="D17" s="544" t="s">
        <v>252</v>
      </c>
      <c r="E17" s="543"/>
      <c r="F17" s="542">
        <f t="shared" si="0"/>
        <v>0</v>
      </c>
      <c r="G17" s="541"/>
      <c r="H17" s="523" t="s">
        <v>251</v>
      </c>
      <c r="I17" s="522"/>
      <c r="J17" s="540">
        <f>IF(ISBLANK(J9),(C17/F10)*L7,(C17/J9)*K9)</f>
        <v>2107.3170731707314</v>
      </c>
      <c r="K17" s="539" t="str">
        <f t="shared" si="1"/>
        <v>clous</v>
      </c>
      <c r="L17" s="538">
        <f>IF(ISBLANK(J9),(F17/F10)*L7,(F17/J9)*K9)</f>
        <v>0</v>
      </c>
      <c r="M17" s="518"/>
      <c r="N17" s="927">
        <f t="shared" si="2"/>
        <v>0</v>
      </c>
      <c r="O17" s="516"/>
      <c r="P17" s="925">
        <f t="shared" si="3"/>
        <v>0</v>
      </c>
      <c r="Q17" s="3685"/>
      <c r="R17" s="515"/>
      <c r="S17" s="900"/>
      <c r="T17" s="571"/>
      <c r="U17" s="607">
        <v>14</v>
      </c>
      <c r="V17" s="606">
        <v>18.46</v>
      </c>
      <c r="W17" s="605" t="s">
        <v>228</v>
      </c>
      <c r="X17" s="570"/>
      <c r="Y17" s="570"/>
      <c r="Z17" s="570"/>
      <c r="AA17" s="570"/>
      <c r="AB17" s="604"/>
      <c r="AC17" s="900"/>
      <c r="AD17" s="126"/>
      <c r="AE17" s="127"/>
      <c r="AF17" s="633">
        <v>0.15</v>
      </c>
      <c r="AG17" s="900"/>
      <c r="AH17" s="381">
        <v>15</v>
      </c>
    </row>
    <row r="18" spans="1:34" ht="15" customHeight="1" thickBot="1">
      <c r="A18" s="3683"/>
      <c r="B18" s="515"/>
      <c r="C18" s="528"/>
      <c r="D18" s="527" t="s">
        <v>327</v>
      </c>
      <c r="E18" s="526"/>
      <c r="F18" s="525">
        <f t="shared" si="0"/>
        <v>0</v>
      </c>
      <c r="G18" s="524"/>
      <c r="H18" s="523" t="s">
        <v>326</v>
      </c>
      <c r="I18" s="522"/>
      <c r="J18" s="521">
        <f>IF(ISBLANK(J9),(C18/F10)*L7,(C18/J9)*K9)</f>
        <v>0</v>
      </c>
      <c r="K18" s="520" t="str">
        <f t="shared" si="1"/>
        <v>PM</v>
      </c>
      <c r="L18" s="519">
        <f>IF(ISBLANK(J9),(F18/F10)*L7,(F18/J9)*K9)</f>
        <v>0</v>
      </c>
      <c r="M18" s="518"/>
      <c r="N18" s="926">
        <f t="shared" si="2"/>
        <v>0</v>
      </c>
      <c r="O18" s="516"/>
      <c r="P18" s="925">
        <f t="shared" si="3"/>
        <v>0</v>
      </c>
      <c r="Q18" s="3685"/>
      <c r="R18" s="515"/>
      <c r="S18" s="900"/>
      <c r="T18" s="376"/>
      <c r="U18" s="376"/>
      <c r="V18" s="376"/>
      <c r="W18" s="376"/>
      <c r="X18" s="376"/>
      <c r="Y18" s="376"/>
      <c r="Z18" s="376"/>
      <c r="AA18" s="376"/>
      <c r="AB18" s="376"/>
      <c r="AC18" s="900"/>
      <c r="AD18" s="948"/>
      <c r="AE18" s="947" t="s">
        <v>77</v>
      </c>
      <c r="AF18" s="946"/>
      <c r="AG18" s="900"/>
      <c r="AH18" s="381">
        <v>15</v>
      </c>
    </row>
    <row r="19" spans="1:34" ht="15" customHeight="1">
      <c r="A19" s="3683"/>
      <c r="B19" s="515"/>
      <c r="C19" s="545"/>
      <c r="D19" s="544" t="s">
        <v>325</v>
      </c>
      <c r="E19" s="543"/>
      <c r="F19" s="542">
        <f t="shared" si="0"/>
        <v>0</v>
      </c>
      <c r="G19" s="541"/>
      <c r="H19" s="523" t="s">
        <v>324</v>
      </c>
      <c r="I19" s="522"/>
      <c r="J19" s="540">
        <f>IF(ISBLANK(J9),(C19/F10)*L7,(C19/J9)*K9)</f>
        <v>0</v>
      </c>
      <c r="K19" s="539" t="str">
        <f t="shared" si="1"/>
        <v>QS</v>
      </c>
      <c r="L19" s="538">
        <f>IF(ISBLANK(J9),(F19/F10)*L7,(F19/J9)*K9)</f>
        <v>0</v>
      </c>
      <c r="M19" s="518"/>
      <c r="N19" s="927">
        <f t="shared" si="2"/>
        <v>0</v>
      </c>
      <c r="O19" s="516"/>
      <c r="P19" s="925">
        <f t="shared" si="3"/>
        <v>0</v>
      </c>
      <c r="Q19" s="3685"/>
      <c r="R19" s="515"/>
      <c r="S19" s="900"/>
      <c r="T19" s="3691" t="s">
        <v>227</v>
      </c>
      <c r="U19" s="3692"/>
      <c r="V19" s="3692"/>
      <c r="W19" s="3692"/>
      <c r="X19" s="3692"/>
      <c r="Y19" s="3692"/>
      <c r="Z19" s="3692"/>
      <c r="AA19" s="3692"/>
      <c r="AB19" s="3693"/>
      <c r="AC19" s="900"/>
      <c r="AD19" s="126">
        <v>3</v>
      </c>
      <c r="AE19" s="127" t="s">
        <v>79</v>
      </c>
      <c r="AF19" s="633">
        <v>0.02</v>
      </c>
      <c r="AG19" s="900"/>
      <c r="AH19" s="381">
        <v>15</v>
      </c>
    </row>
    <row r="20" spans="1:34" ht="15" customHeight="1">
      <c r="A20" s="3683"/>
      <c r="B20" s="515"/>
      <c r="C20" s="528"/>
      <c r="D20" s="527"/>
      <c r="E20" s="526"/>
      <c r="F20" s="525">
        <f t="shared" si="0"/>
        <v>0</v>
      </c>
      <c r="G20" s="524"/>
      <c r="H20" s="523"/>
      <c r="I20" s="522"/>
      <c r="J20" s="521">
        <f>IF(ISBLANK(J9),(C20/F10)*L7,(C20/J9)*K9)</f>
        <v>0</v>
      </c>
      <c r="K20" s="520">
        <f t="shared" si="1"/>
        <v>0</v>
      </c>
      <c r="L20" s="519">
        <f>IF(ISBLANK(J9),(F20/F10)*L7,(F20/J9)*K9)</f>
        <v>0</v>
      </c>
      <c r="M20" s="518"/>
      <c r="N20" s="926">
        <f t="shared" si="2"/>
        <v>0</v>
      </c>
      <c r="O20" s="516"/>
      <c r="P20" s="925">
        <f t="shared" si="3"/>
        <v>0</v>
      </c>
      <c r="Q20" s="3685"/>
      <c r="R20" s="515"/>
      <c r="S20" s="900"/>
      <c r="T20" s="600"/>
      <c r="U20" s="579"/>
      <c r="V20" s="579"/>
      <c r="W20" s="579"/>
      <c r="X20" s="579"/>
      <c r="Y20" s="579"/>
      <c r="Z20" s="579"/>
      <c r="AA20" s="579"/>
      <c r="AB20" s="584"/>
      <c r="AC20" s="900"/>
      <c r="AD20" s="948"/>
      <c r="AE20" s="947" t="s">
        <v>81</v>
      </c>
      <c r="AF20" s="946"/>
      <c r="AG20" s="900"/>
      <c r="AH20" s="381">
        <v>15</v>
      </c>
    </row>
    <row r="21" spans="1:34" ht="15" customHeight="1">
      <c r="A21" s="3683"/>
      <c r="B21" s="515"/>
      <c r="C21" s="545"/>
      <c r="D21" s="544"/>
      <c r="E21" s="543"/>
      <c r="F21" s="542">
        <f t="shared" si="0"/>
        <v>0</v>
      </c>
      <c r="G21" s="541"/>
      <c r="H21" s="523"/>
      <c r="I21" s="522"/>
      <c r="J21" s="540">
        <f>IF(ISBLANK(J9),(C21/F10)*L7,(C21/J9)*K9)</f>
        <v>0</v>
      </c>
      <c r="K21" s="539">
        <f t="shared" si="1"/>
        <v>0</v>
      </c>
      <c r="L21" s="538">
        <f>IF(ISBLANK(J9),(F21/F10)*L7,(F21/J9)*K9)</f>
        <v>0</v>
      </c>
      <c r="M21" s="518"/>
      <c r="N21" s="927">
        <f t="shared" si="2"/>
        <v>0</v>
      </c>
      <c r="O21" s="516"/>
      <c r="P21" s="925">
        <f t="shared" si="3"/>
        <v>0</v>
      </c>
      <c r="Q21" s="3685"/>
      <c r="R21" s="515"/>
      <c r="S21" s="900"/>
      <c r="T21" s="599"/>
      <c r="U21" s="579"/>
      <c r="V21" s="579"/>
      <c r="W21" s="579"/>
      <c r="X21" s="598" t="s">
        <v>226</v>
      </c>
      <c r="Y21" s="940" t="str">
        <f>ADDRESS(ROW(Z8),COLUMN(Z8),4)</f>
        <v>Z8</v>
      </c>
      <c r="Z21" s="597">
        <f>Z8</f>
        <v>91.000000000000014</v>
      </c>
      <c r="AA21" s="579" t="s">
        <v>225</v>
      </c>
      <c r="AB21" s="584"/>
      <c r="AC21" s="900"/>
      <c r="AD21" s="126">
        <v>5</v>
      </c>
      <c r="AE21" s="127" t="s">
        <v>83</v>
      </c>
      <c r="AF21" s="633">
        <v>0.05</v>
      </c>
      <c r="AG21" s="900"/>
      <c r="AH21" s="381">
        <v>15</v>
      </c>
    </row>
    <row r="22" spans="1:34" ht="15" customHeight="1">
      <c r="A22" s="3683"/>
      <c r="B22" s="515"/>
      <c r="C22" s="528"/>
      <c r="D22" s="527"/>
      <c r="E22" s="526"/>
      <c r="F22" s="525">
        <f t="shared" si="0"/>
        <v>0</v>
      </c>
      <c r="G22" s="524"/>
      <c r="H22" s="523"/>
      <c r="I22" s="522"/>
      <c r="J22" s="521">
        <f>IF(ISBLANK(J9),(C22/F10)*L7,(C22/J9)*K9)</f>
        <v>0</v>
      </c>
      <c r="K22" s="520">
        <f t="shared" si="1"/>
        <v>0</v>
      </c>
      <c r="L22" s="519">
        <f>IF(ISBLANK(J9),(F22/F10)*L7,(F22/J9)*K9)</f>
        <v>0</v>
      </c>
      <c r="M22" s="518"/>
      <c r="N22" s="926">
        <f t="shared" si="2"/>
        <v>0</v>
      </c>
      <c r="O22" s="516"/>
      <c r="P22" s="925">
        <f t="shared" si="3"/>
        <v>0</v>
      </c>
      <c r="Q22" s="3685"/>
      <c r="R22" s="515"/>
      <c r="S22" s="900"/>
      <c r="T22" s="580"/>
      <c r="U22" s="579"/>
      <c r="V22" s="579"/>
      <c r="W22" s="579"/>
      <c r="X22" s="596" t="s">
        <v>224</v>
      </c>
      <c r="Y22" s="945" t="str">
        <f>ADDRESS(ROW(Z10),COLUMN(Z10),4)</f>
        <v>Z10</v>
      </c>
      <c r="Z22" s="594">
        <f>Z10</f>
        <v>120</v>
      </c>
      <c r="AA22" s="593" t="s">
        <v>223</v>
      </c>
      <c r="AB22" s="584"/>
      <c r="AC22" s="900"/>
      <c r="AD22" s="944"/>
      <c r="AE22" s="943"/>
      <c r="AF22" s="914"/>
      <c r="AG22" s="900"/>
      <c r="AH22" s="381">
        <v>15</v>
      </c>
    </row>
    <row r="23" spans="1:34" ht="15" customHeight="1">
      <c r="A23" s="3683"/>
      <c r="B23" s="515"/>
      <c r="C23" s="545"/>
      <c r="D23" s="544"/>
      <c r="E23" s="543"/>
      <c r="F23" s="542">
        <f t="shared" si="0"/>
        <v>0</v>
      </c>
      <c r="G23" s="541"/>
      <c r="H23" s="523"/>
      <c r="I23" s="522"/>
      <c r="J23" s="540">
        <f>IF(ISBLANK(J9),(C23/F10)*L7,(C23/J9)*K9)</f>
        <v>0</v>
      </c>
      <c r="K23" s="539">
        <f t="shared" si="1"/>
        <v>0</v>
      </c>
      <c r="L23" s="538">
        <f>IF(ISBLANK(J9),(F23/F10)*L7,(F23/J9)*K9)</f>
        <v>0</v>
      </c>
      <c r="M23" s="518"/>
      <c r="N23" s="927">
        <f t="shared" si="2"/>
        <v>0</v>
      </c>
      <c r="O23" s="516"/>
      <c r="P23" s="925">
        <f t="shared" si="3"/>
        <v>0</v>
      </c>
      <c r="Q23" s="3685"/>
      <c r="R23" s="515"/>
      <c r="S23" s="900"/>
      <c r="T23" s="592" t="s">
        <v>222</v>
      </c>
      <c r="U23" s="579"/>
      <c r="V23" s="579"/>
      <c r="W23" s="579"/>
      <c r="X23" s="585"/>
      <c r="Y23" s="579"/>
      <c r="Z23" s="579"/>
      <c r="AA23" s="579"/>
      <c r="AB23" s="584"/>
      <c r="AC23" s="900"/>
      <c r="AD23" s="942"/>
      <c r="AE23" s="941" t="s">
        <v>241</v>
      </c>
      <c r="AF23" s="929" t="str">
        <f>ADDRESS(ROW(D10),COLUMN(D10),4)</f>
        <v>D10</v>
      </c>
      <c r="AG23" s="900"/>
      <c r="AH23" s="381">
        <v>15</v>
      </c>
    </row>
    <row r="24" spans="1:34" ht="15" customHeight="1">
      <c r="A24" s="3683"/>
      <c r="B24" s="515"/>
      <c r="C24" s="528"/>
      <c r="D24" s="527"/>
      <c r="E24" s="526"/>
      <c r="F24" s="525">
        <f t="shared" si="0"/>
        <v>0</v>
      </c>
      <c r="G24" s="524"/>
      <c r="H24" s="523"/>
      <c r="I24" s="522"/>
      <c r="J24" s="521">
        <f>IF(ISBLANK(J9),(C24/F10)*L7,(C24/J9)*K9)</f>
        <v>0</v>
      </c>
      <c r="K24" s="520">
        <f t="shared" si="1"/>
        <v>0</v>
      </c>
      <c r="L24" s="519">
        <f>IF(ISBLANK(J9),(F24/F10)*L7,(F24/J9)*K9)</f>
        <v>0</v>
      </c>
      <c r="M24" s="518"/>
      <c r="N24" s="926">
        <f t="shared" si="2"/>
        <v>0</v>
      </c>
      <c r="O24" s="516"/>
      <c r="P24" s="925">
        <f t="shared" si="3"/>
        <v>0</v>
      </c>
      <c r="Q24" s="3685"/>
      <c r="R24" s="515"/>
      <c r="S24" s="900"/>
      <c r="T24" s="591"/>
      <c r="U24" s="590"/>
      <c r="V24" s="589"/>
      <c r="W24" s="589"/>
      <c r="X24" s="588" t="s">
        <v>220</v>
      </c>
      <c r="Y24" s="940" t="str">
        <f>LEFT(ADDRESS(1,COLUMN(F12),4),LEN(ADDRESS(1,COLUMN(F12),4))-1)</f>
        <v>F</v>
      </c>
      <c r="Z24" s="378"/>
      <c r="AA24" s="378"/>
      <c r="AB24" s="584"/>
      <c r="AC24" s="900"/>
      <c r="AD24" s="939"/>
      <c r="AE24" s="938"/>
      <c r="AF24" s="937"/>
      <c r="AG24" s="900"/>
      <c r="AH24" s="381">
        <v>15</v>
      </c>
    </row>
    <row r="25" spans="1:34" ht="15" customHeight="1">
      <c r="A25" s="3683"/>
      <c r="B25" s="515"/>
      <c r="C25" s="545"/>
      <c r="D25" s="544"/>
      <c r="E25" s="543"/>
      <c r="F25" s="542">
        <f t="shared" si="0"/>
        <v>0</v>
      </c>
      <c r="G25" s="541"/>
      <c r="H25" s="523"/>
      <c r="I25" s="522"/>
      <c r="J25" s="540">
        <f>IF(ISBLANK(J9),(C25/F10)*L7,(C25/J9)*K9)</f>
        <v>0</v>
      </c>
      <c r="K25" s="539">
        <f t="shared" si="1"/>
        <v>0</v>
      </c>
      <c r="L25" s="538">
        <f>IF(ISBLANK(J9),(F25/F10)*L7,(F25/J9)*K9)</f>
        <v>0</v>
      </c>
      <c r="M25" s="518"/>
      <c r="N25" s="927">
        <f t="shared" si="2"/>
        <v>0</v>
      </c>
      <c r="O25" s="516"/>
      <c r="P25" s="925">
        <f t="shared" si="3"/>
        <v>0</v>
      </c>
      <c r="Q25" s="3685"/>
      <c r="R25" s="515"/>
      <c r="S25" s="900"/>
      <c r="T25" s="586" t="s">
        <v>219</v>
      </c>
      <c r="U25" s="579"/>
      <c r="V25" s="579"/>
      <c r="W25" s="579"/>
      <c r="X25" s="585"/>
      <c r="Y25" s="579"/>
      <c r="Z25" s="579"/>
      <c r="AA25" s="579"/>
      <c r="AB25" s="584"/>
      <c r="AC25" s="900"/>
      <c r="AD25" s="3619" t="s">
        <v>239</v>
      </c>
      <c r="AE25" s="3620"/>
      <c r="AF25" s="3621"/>
      <c r="AG25" s="900"/>
      <c r="AH25" s="381">
        <v>15</v>
      </c>
    </row>
    <row r="26" spans="1:34" ht="15" customHeight="1">
      <c r="A26" s="3683"/>
      <c r="B26" s="515"/>
      <c r="C26" s="528"/>
      <c r="D26" s="527"/>
      <c r="E26" s="526"/>
      <c r="F26" s="525">
        <f t="shared" si="0"/>
        <v>0</v>
      </c>
      <c r="G26" s="524"/>
      <c r="H26" s="523"/>
      <c r="I26" s="522"/>
      <c r="J26" s="521">
        <f>IF(ISBLANK(J9),(C26/F10)*L7,(C26/J9)*K9)</f>
        <v>0</v>
      </c>
      <c r="K26" s="520">
        <f t="shared" si="1"/>
        <v>0</v>
      </c>
      <c r="L26" s="519">
        <f>IF(ISBLANK(J9),(F26/F10)*L7,(F26/J9)*K9)</f>
        <v>0</v>
      </c>
      <c r="M26" s="518"/>
      <c r="N26" s="926">
        <f t="shared" si="2"/>
        <v>0</v>
      </c>
      <c r="O26" s="516"/>
      <c r="P26" s="925">
        <f t="shared" si="3"/>
        <v>0</v>
      </c>
      <c r="Q26" s="3685"/>
      <c r="R26" s="515"/>
      <c r="S26" s="900"/>
      <c r="T26" s="580"/>
      <c r="U26" s="579"/>
      <c r="V26" s="579"/>
      <c r="W26" s="578" t="s">
        <v>217</v>
      </c>
      <c r="X26" s="936" t="s">
        <v>323</v>
      </c>
      <c r="Y26" s="935" t="str">
        <f>ADDRESS(ROW(K9),COLUMN(K9),4)</f>
        <v>K9</v>
      </c>
      <c r="Z26" s="378"/>
      <c r="AA26" s="378"/>
      <c r="AB26" s="608"/>
      <c r="AC26" s="900"/>
      <c r="AD26" s="3622"/>
      <c r="AE26" s="3623"/>
      <c r="AF26" s="3624"/>
      <c r="AG26" s="900"/>
      <c r="AH26" s="381">
        <v>15</v>
      </c>
    </row>
    <row r="27" spans="1:34" ht="15" customHeight="1" thickBot="1">
      <c r="A27" s="3683"/>
      <c r="B27" s="515"/>
      <c r="C27" s="545"/>
      <c r="D27" s="544"/>
      <c r="E27" s="543"/>
      <c r="F27" s="542">
        <f t="shared" si="0"/>
        <v>0</v>
      </c>
      <c r="G27" s="541"/>
      <c r="H27" s="523"/>
      <c r="I27" s="522"/>
      <c r="J27" s="540">
        <f>IF(ISBLANK(J9),(C27/F10)*L7,(C27/J9)*K9)</f>
        <v>0</v>
      </c>
      <c r="K27" s="539">
        <f t="shared" si="1"/>
        <v>0</v>
      </c>
      <c r="L27" s="538">
        <f>IF(ISBLANK(J9),(F27/F10)*L7,(F27/J9)*K9)</f>
        <v>0</v>
      </c>
      <c r="M27" s="518"/>
      <c r="N27" s="927">
        <f t="shared" si="2"/>
        <v>0</v>
      </c>
      <c r="O27" s="516"/>
      <c r="P27" s="925">
        <f t="shared" si="3"/>
        <v>0</v>
      </c>
      <c r="Q27" s="3685"/>
      <c r="R27" s="515"/>
      <c r="S27" s="900"/>
      <c r="T27" s="571"/>
      <c r="U27" s="570"/>
      <c r="V27" s="570"/>
      <c r="W27" s="570"/>
      <c r="X27" s="570"/>
      <c r="Y27" s="570"/>
      <c r="Z27" s="570"/>
      <c r="AA27" s="570"/>
      <c r="AB27" s="569"/>
      <c r="AC27" s="900"/>
      <c r="AD27" s="3625" t="s">
        <v>236</v>
      </c>
      <c r="AE27" s="3626"/>
      <c r="AF27" s="3627"/>
      <c r="AG27" s="900"/>
      <c r="AH27" s="381">
        <v>15</v>
      </c>
    </row>
    <row r="28" spans="1:34" ht="15" customHeight="1">
      <c r="A28" s="3683"/>
      <c r="B28" s="515"/>
      <c r="C28" s="528"/>
      <c r="D28" s="527"/>
      <c r="E28" s="526"/>
      <c r="F28" s="525">
        <f t="shared" si="0"/>
        <v>0</v>
      </c>
      <c r="G28" s="524"/>
      <c r="H28" s="523"/>
      <c r="I28" s="522"/>
      <c r="J28" s="521">
        <f>IF(ISBLANK(J9),(C28/F10)*L7,(C28/J9)*K9)</f>
        <v>0</v>
      </c>
      <c r="K28" s="520">
        <f t="shared" si="1"/>
        <v>0</v>
      </c>
      <c r="L28" s="519">
        <f>IF(ISBLANK(J9),(F28/F10)*L7,(F28/J9)*K9)</f>
        <v>0</v>
      </c>
      <c r="M28" s="518"/>
      <c r="N28" s="926">
        <f t="shared" si="2"/>
        <v>0</v>
      </c>
      <c r="O28" s="516"/>
      <c r="P28" s="925">
        <f t="shared" si="3"/>
        <v>0</v>
      </c>
      <c r="Q28" s="3685"/>
      <c r="R28" s="515"/>
      <c r="S28" s="900"/>
      <c r="T28" s="376"/>
      <c r="U28" s="376"/>
      <c r="V28" s="376"/>
      <c r="W28" s="376"/>
      <c r="X28" s="376"/>
      <c r="Y28" s="376"/>
      <c r="Z28" s="376"/>
      <c r="AA28" s="376"/>
      <c r="AB28" s="900"/>
      <c r="AC28" s="900"/>
      <c r="AD28" s="3625"/>
      <c r="AE28" s="3626"/>
      <c r="AF28" s="3627"/>
      <c r="AG28" s="900"/>
      <c r="AH28" s="381">
        <v>15</v>
      </c>
    </row>
    <row r="29" spans="1:34" ht="15" customHeight="1">
      <c r="A29" s="3683"/>
      <c r="B29" s="515"/>
      <c r="C29" s="545"/>
      <c r="D29" s="544"/>
      <c r="E29" s="543"/>
      <c r="F29" s="542">
        <f t="shared" si="0"/>
        <v>0</v>
      </c>
      <c r="G29" s="541"/>
      <c r="H29" s="523"/>
      <c r="I29" s="522"/>
      <c r="J29" s="540">
        <f>IF(ISBLANK(J9),(C29/F10)*L7,(C29/J9)*K9)</f>
        <v>0</v>
      </c>
      <c r="K29" s="539">
        <f t="shared" si="1"/>
        <v>0</v>
      </c>
      <c r="L29" s="538">
        <f>IF(ISBLANK(J9),(F29/F10)*L7,(F29/J9)*K9)</f>
        <v>0</v>
      </c>
      <c r="M29" s="518"/>
      <c r="N29" s="927">
        <f t="shared" si="2"/>
        <v>0</v>
      </c>
      <c r="O29" s="516"/>
      <c r="P29" s="925">
        <f t="shared" si="3"/>
        <v>0</v>
      </c>
      <c r="Q29" s="3685"/>
      <c r="R29" s="515"/>
      <c r="S29" s="900"/>
      <c r="T29" s="395" t="s">
        <v>100</v>
      </c>
      <c r="U29" s="395"/>
      <c r="V29" s="395"/>
      <c r="W29" s="395"/>
      <c r="X29" s="395"/>
      <c r="Y29" s="395"/>
      <c r="Z29" s="395"/>
      <c r="AA29" s="395"/>
      <c r="AB29" s="900"/>
      <c r="AC29" s="933"/>
      <c r="AD29" s="3625"/>
      <c r="AE29" s="3626"/>
      <c r="AF29" s="3627"/>
      <c r="AG29" s="900"/>
      <c r="AH29" s="381">
        <v>15</v>
      </c>
    </row>
    <row r="30" spans="1:34" ht="15" customHeight="1" thickBot="1">
      <c r="A30" s="3683"/>
      <c r="B30" s="515"/>
      <c r="C30" s="528"/>
      <c r="D30" s="527"/>
      <c r="E30" s="526"/>
      <c r="F30" s="525">
        <f t="shared" si="0"/>
        <v>0</v>
      </c>
      <c r="G30" s="524"/>
      <c r="H30" s="523"/>
      <c r="I30" s="522"/>
      <c r="J30" s="521">
        <f>IF(ISBLANK(J9),(C30/F10)*L7,(C30/J9)*K9)</f>
        <v>0</v>
      </c>
      <c r="K30" s="520">
        <f t="shared" si="1"/>
        <v>0</v>
      </c>
      <c r="L30" s="519">
        <f>IF(ISBLANK(J9),(F30/F10)*L7,(F30/J9)*K9)</f>
        <v>0</v>
      </c>
      <c r="M30" s="518"/>
      <c r="N30" s="926">
        <f t="shared" si="2"/>
        <v>0</v>
      </c>
      <c r="O30" s="516"/>
      <c r="P30" s="925">
        <f t="shared" si="3"/>
        <v>0</v>
      </c>
      <c r="Q30" s="3685"/>
      <c r="R30" s="515"/>
      <c r="S30" s="900"/>
      <c r="T30" s="395" t="s">
        <v>101</v>
      </c>
      <c r="U30" s="395"/>
      <c r="V30" s="395"/>
      <c r="W30" s="395"/>
      <c r="X30" s="395"/>
      <c r="Y30" s="395"/>
      <c r="Z30" s="395"/>
      <c r="AA30" s="395"/>
      <c r="AB30" s="900"/>
      <c r="AC30" s="933"/>
      <c r="AD30" s="583" t="s">
        <v>229</v>
      </c>
      <c r="AE30" s="611"/>
      <c r="AF30" s="610"/>
      <c r="AG30" s="900"/>
      <c r="AH30" s="381">
        <v>15</v>
      </c>
    </row>
    <row r="31" spans="1:34" ht="15" customHeight="1">
      <c r="A31" s="3683"/>
      <c r="B31" s="515"/>
      <c r="C31" s="545"/>
      <c r="D31" s="544"/>
      <c r="E31" s="543"/>
      <c r="F31" s="542">
        <f t="shared" si="0"/>
        <v>0</v>
      </c>
      <c r="G31" s="541"/>
      <c r="H31" s="523"/>
      <c r="I31" s="522"/>
      <c r="J31" s="540">
        <f>IF(ISBLANK(J9),(C31/F10)*L7,(C31/J9)*K9)</f>
        <v>0</v>
      </c>
      <c r="K31" s="539">
        <f t="shared" si="1"/>
        <v>0</v>
      </c>
      <c r="L31" s="538">
        <f>IF(ISBLANK(J9),(F31/F10)*L7,(F31/J9)*K9)</f>
        <v>0</v>
      </c>
      <c r="M31" s="518"/>
      <c r="N31" s="927">
        <f t="shared" si="2"/>
        <v>0</v>
      </c>
      <c r="O31" s="516"/>
      <c r="P31" s="925">
        <f t="shared" si="3"/>
        <v>0</v>
      </c>
      <c r="Q31" s="3685"/>
      <c r="R31" s="515"/>
      <c r="S31" s="900"/>
      <c r="T31" s="395" t="s">
        <v>209</v>
      </c>
      <c r="U31" s="395"/>
      <c r="V31" s="395"/>
      <c r="W31" s="395"/>
      <c r="X31" s="395"/>
      <c r="Y31" s="395"/>
      <c r="Z31" s="395"/>
      <c r="AA31" s="395"/>
      <c r="AB31" s="900"/>
      <c r="AC31" s="933"/>
      <c r="AD31" s="3628" t="s">
        <v>87</v>
      </c>
      <c r="AE31" s="3629"/>
      <c r="AF31" s="178" t="s">
        <v>88</v>
      </c>
      <c r="AG31" s="900"/>
      <c r="AH31" s="381">
        <v>15</v>
      </c>
    </row>
    <row r="32" spans="1:34" ht="15" customHeight="1">
      <c r="A32" s="3683"/>
      <c r="B32" s="515"/>
      <c r="C32" s="528"/>
      <c r="D32" s="527"/>
      <c r="E32" s="526"/>
      <c r="F32" s="525">
        <f t="shared" si="0"/>
        <v>0</v>
      </c>
      <c r="G32" s="524"/>
      <c r="H32" s="523"/>
      <c r="I32" s="522"/>
      <c r="J32" s="521">
        <f>IF(ISBLANK(J9),(C32/F10)*L7,(C32/J9)*K9)</f>
        <v>0</v>
      </c>
      <c r="K32" s="520">
        <f t="shared" si="1"/>
        <v>0</v>
      </c>
      <c r="L32" s="519">
        <f>IF(ISBLANK(J9),(F32/F10)*L7,(F32/J9)*K9)</f>
        <v>0</v>
      </c>
      <c r="M32" s="518"/>
      <c r="N32" s="926">
        <f t="shared" si="2"/>
        <v>0</v>
      </c>
      <c r="O32" s="516"/>
      <c r="P32" s="925">
        <f t="shared" si="3"/>
        <v>0</v>
      </c>
      <c r="Q32" s="3685"/>
      <c r="R32" s="515"/>
      <c r="S32" s="900"/>
      <c r="T32" s="395"/>
      <c r="U32" s="395"/>
      <c r="V32" s="395"/>
      <c r="W32" s="395"/>
      <c r="X32" s="395"/>
      <c r="Y32" s="395"/>
      <c r="Z32" s="395"/>
      <c r="AA32" s="395"/>
      <c r="AB32" s="900"/>
      <c r="AC32" s="933"/>
      <c r="AD32" s="603"/>
      <c r="AE32" s="934"/>
      <c r="AF32" s="601" t="s">
        <v>89</v>
      </c>
      <c r="AG32" s="900"/>
      <c r="AH32" s="381">
        <v>15</v>
      </c>
    </row>
    <row r="33" spans="1:34" ht="15" customHeight="1">
      <c r="A33" s="3683"/>
      <c r="B33" s="515"/>
      <c r="C33" s="545"/>
      <c r="D33" s="544"/>
      <c r="E33" s="543"/>
      <c r="F33" s="542">
        <f t="shared" si="0"/>
        <v>0</v>
      </c>
      <c r="G33" s="541"/>
      <c r="H33" s="523"/>
      <c r="I33" s="522"/>
      <c r="J33" s="540">
        <f>IF(ISBLANK(J9),(C33/F10)*L7,(C33/J9)*K9)</f>
        <v>0</v>
      </c>
      <c r="K33" s="539">
        <f t="shared" si="1"/>
        <v>0</v>
      </c>
      <c r="L33" s="538">
        <f>IF(ISBLANK(J9),(F33/F10)*L7,(F33/J9)*K9)</f>
        <v>0</v>
      </c>
      <c r="M33" s="518"/>
      <c r="N33" s="927">
        <f t="shared" si="2"/>
        <v>0</v>
      </c>
      <c r="O33" s="516"/>
      <c r="P33" s="925">
        <f t="shared" si="3"/>
        <v>0</v>
      </c>
      <c r="Q33" s="3685"/>
      <c r="R33" s="515"/>
      <c r="S33" s="900"/>
      <c r="T33" s="559" t="s">
        <v>106</v>
      </c>
      <c r="U33" s="558"/>
      <c r="V33" s="558"/>
      <c r="W33" s="558"/>
      <c r="X33" s="558"/>
      <c r="Y33" s="558"/>
      <c r="Z33" s="558"/>
      <c r="AA33" s="558"/>
      <c r="AB33" s="900"/>
      <c r="AC33" s="933"/>
      <c r="AD33" s="3622" t="s">
        <v>90</v>
      </c>
      <c r="AE33" s="3623"/>
      <c r="AF33" s="3624"/>
      <c r="AG33" s="900"/>
      <c r="AH33" s="381">
        <v>15</v>
      </c>
    </row>
    <row r="34" spans="1:34" ht="15" customHeight="1">
      <c r="A34" s="3683"/>
      <c r="B34" s="515"/>
      <c r="C34" s="528"/>
      <c r="D34" s="527"/>
      <c r="E34" s="526"/>
      <c r="F34" s="525">
        <f t="shared" si="0"/>
        <v>0</v>
      </c>
      <c r="G34" s="524"/>
      <c r="H34" s="523"/>
      <c r="I34" s="522"/>
      <c r="J34" s="521">
        <f>IF(ISBLANK(J9),(C34/F10)*L7,(C34/J9)*K9)</f>
        <v>0</v>
      </c>
      <c r="K34" s="520">
        <f t="shared" si="1"/>
        <v>0</v>
      </c>
      <c r="L34" s="519">
        <f>IF(ISBLANK(J9),(F34/F10)*L7,(F34/J9)*K9)</f>
        <v>0</v>
      </c>
      <c r="M34" s="518"/>
      <c r="N34" s="926">
        <f t="shared" si="2"/>
        <v>0</v>
      </c>
      <c r="O34" s="516"/>
      <c r="P34" s="925">
        <f t="shared" si="3"/>
        <v>0</v>
      </c>
      <c r="Q34" s="3685"/>
      <c r="R34" s="515"/>
      <c r="S34" s="900"/>
      <c r="T34" s="559" t="s">
        <v>206</v>
      </c>
      <c r="U34" s="558"/>
      <c r="V34" s="558"/>
      <c r="W34" s="558"/>
      <c r="X34" s="558"/>
      <c r="Y34" s="558"/>
      <c r="Z34" s="558"/>
      <c r="AA34" s="557"/>
      <c r="AB34" s="900"/>
      <c r="AC34" s="933"/>
      <c r="AD34" s="3622"/>
      <c r="AE34" s="3623"/>
      <c r="AF34" s="3624"/>
      <c r="AG34" s="900"/>
      <c r="AH34" s="381">
        <v>15</v>
      </c>
    </row>
    <row r="35" spans="1:34" ht="15" customHeight="1">
      <c r="A35" s="3683"/>
      <c r="B35" s="515"/>
      <c r="C35" s="545"/>
      <c r="D35" s="544"/>
      <c r="E35" s="543"/>
      <c r="F35" s="542">
        <f t="shared" si="0"/>
        <v>0</v>
      </c>
      <c r="G35" s="541"/>
      <c r="H35" s="523"/>
      <c r="I35" s="522"/>
      <c r="J35" s="540">
        <f>IF(ISBLANK(J9),(C35/F10)*L7,(C35/J9)*K9)</f>
        <v>0</v>
      </c>
      <c r="K35" s="539">
        <f t="shared" si="1"/>
        <v>0</v>
      </c>
      <c r="L35" s="538">
        <f>IF(ISBLANK(J9),(F35/F10)*L7,(F35/J9)*K9)</f>
        <v>0</v>
      </c>
      <c r="M35" s="518"/>
      <c r="N35" s="927">
        <f t="shared" si="2"/>
        <v>0</v>
      </c>
      <c r="O35" s="516"/>
      <c r="P35" s="925">
        <f t="shared" si="3"/>
        <v>0</v>
      </c>
      <c r="Q35" s="3685"/>
      <c r="R35" s="515"/>
      <c r="S35" s="900"/>
      <c r="T35" s="212" t="s">
        <v>108</v>
      </c>
      <c r="U35" s="3663" t="s">
        <v>109</v>
      </c>
      <c r="V35" s="3663"/>
      <c r="W35" s="3663"/>
      <c r="X35" s="3663"/>
      <c r="Y35" s="3663"/>
      <c r="Z35" s="3663"/>
      <c r="AA35" s="3663"/>
      <c r="AB35" s="900"/>
      <c r="AC35" s="933"/>
      <c r="AD35" s="3664" t="s">
        <v>91</v>
      </c>
      <c r="AE35" s="3665"/>
      <c r="AF35" s="3666"/>
      <c r="AG35" s="900"/>
      <c r="AH35" s="381">
        <v>15</v>
      </c>
    </row>
    <row r="36" spans="1:34" ht="15" customHeight="1">
      <c r="A36" s="3683"/>
      <c r="B36" s="515"/>
      <c r="C36" s="528"/>
      <c r="D36" s="527"/>
      <c r="E36" s="526"/>
      <c r="F36" s="525">
        <f t="shared" si="0"/>
        <v>0</v>
      </c>
      <c r="G36" s="524"/>
      <c r="H36" s="523"/>
      <c r="I36" s="522"/>
      <c r="J36" s="521">
        <f>IF(ISBLANK(J9),(C36/F10)*L7,(C36/J9)*K9)</f>
        <v>0</v>
      </c>
      <c r="K36" s="520">
        <f t="shared" si="1"/>
        <v>0</v>
      </c>
      <c r="L36" s="519">
        <f>IF(ISBLANK(J9),(F36/F10)*L7,(F36/J9)*K9)</f>
        <v>0</v>
      </c>
      <c r="M36" s="518"/>
      <c r="N36" s="926">
        <f t="shared" si="2"/>
        <v>0</v>
      </c>
      <c r="O36" s="516"/>
      <c r="P36" s="925">
        <f t="shared" si="3"/>
        <v>0</v>
      </c>
      <c r="Q36" s="3685"/>
      <c r="R36" s="515"/>
      <c r="S36" s="900"/>
      <c r="T36" s="212" t="s">
        <v>108</v>
      </c>
      <c r="U36" s="3667" t="s">
        <v>111</v>
      </c>
      <c r="V36" s="3667"/>
      <c r="W36" s="3667"/>
      <c r="X36" s="3667"/>
      <c r="Y36" s="3667"/>
      <c r="Z36" s="3667"/>
      <c r="AA36" s="3667"/>
      <c r="AB36" s="900"/>
      <c r="AC36" s="933"/>
      <c r="AD36" s="3664"/>
      <c r="AE36" s="3665"/>
      <c r="AF36" s="3666"/>
      <c r="AG36" s="900"/>
      <c r="AH36" s="381">
        <v>15</v>
      </c>
    </row>
    <row r="37" spans="1:34" ht="15" customHeight="1">
      <c r="A37" s="3683"/>
      <c r="B37" s="515"/>
      <c r="C37" s="545"/>
      <c r="D37" s="544"/>
      <c r="E37" s="543"/>
      <c r="F37" s="542">
        <f t="shared" si="0"/>
        <v>0</v>
      </c>
      <c r="G37" s="541"/>
      <c r="H37" s="523"/>
      <c r="I37" s="522"/>
      <c r="J37" s="540">
        <f>IF(ISBLANK(J9),(C37/F10)*L7,(C37/J9)*K9)</f>
        <v>0</v>
      </c>
      <c r="K37" s="539">
        <f t="shared" si="1"/>
        <v>0</v>
      </c>
      <c r="L37" s="538">
        <f>IF(ISBLANK(J9),(F37/F10)*L7,(F37/J9)*K9)</f>
        <v>0</v>
      </c>
      <c r="M37" s="518"/>
      <c r="N37" s="927">
        <f t="shared" si="2"/>
        <v>0</v>
      </c>
      <c r="O37" s="516"/>
      <c r="P37" s="925">
        <f t="shared" si="3"/>
        <v>0</v>
      </c>
      <c r="Q37" s="3685"/>
      <c r="R37" s="515"/>
      <c r="S37" s="900"/>
      <c r="T37" s="212" t="s">
        <v>108</v>
      </c>
      <c r="U37" s="3667" t="s">
        <v>113</v>
      </c>
      <c r="V37" s="3667"/>
      <c r="W37" s="3667"/>
      <c r="X37" s="3667"/>
      <c r="Y37" s="3667"/>
      <c r="Z37" s="3667"/>
      <c r="AA37" s="3667"/>
      <c r="AB37" s="900"/>
      <c r="AC37" s="933"/>
      <c r="AD37" s="413"/>
      <c r="AE37" s="412"/>
      <c r="AF37" s="411"/>
      <c r="AG37" s="900"/>
      <c r="AH37" s="381">
        <v>15</v>
      </c>
    </row>
    <row r="38" spans="1:34" ht="15" customHeight="1">
      <c r="A38" s="3683"/>
      <c r="B38" s="515"/>
      <c r="C38" s="528"/>
      <c r="D38" s="527"/>
      <c r="E38" s="526"/>
      <c r="F38" s="525">
        <f t="shared" si="0"/>
        <v>0</v>
      </c>
      <c r="G38" s="524"/>
      <c r="H38" s="523"/>
      <c r="I38" s="522"/>
      <c r="J38" s="521">
        <f>IF(ISBLANK(J9),(C38/F10)*L7,(C38/J9)*K9)</f>
        <v>0</v>
      </c>
      <c r="K38" s="520">
        <f t="shared" si="1"/>
        <v>0</v>
      </c>
      <c r="L38" s="519">
        <f>IF(ISBLANK(J9),(F38/F10)*L7,(F38/J9)*K9)</f>
        <v>0</v>
      </c>
      <c r="M38" s="518"/>
      <c r="N38" s="926">
        <f t="shared" si="2"/>
        <v>0</v>
      </c>
      <c r="O38" s="516"/>
      <c r="P38" s="925">
        <f t="shared" si="3"/>
        <v>0</v>
      </c>
      <c r="Q38" s="3685"/>
      <c r="R38" s="515"/>
      <c r="S38" s="900"/>
      <c r="T38" s="900"/>
      <c r="U38" s="900"/>
      <c r="V38" s="900"/>
      <c r="W38" s="900"/>
      <c r="X38" s="900"/>
      <c r="Y38" s="900"/>
      <c r="Z38" s="900"/>
      <c r="AA38" s="900"/>
      <c r="AB38" s="900"/>
      <c r="AC38" s="900"/>
      <c r="AD38" s="3668" t="s">
        <v>221</v>
      </c>
      <c r="AE38" s="3669"/>
      <c r="AF38" s="3670"/>
      <c r="AG38" s="900"/>
      <c r="AH38" s="381">
        <v>15</v>
      </c>
    </row>
    <row r="39" spans="1:34" ht="15" customHeight="1">
      <c r="A39" s="3683"/>
      <c r="B39" s="515"/>
      <c r="C39" s="545"/>
      <c r="D39" s="544"/>
      <c r="E39" s="543"/>
      <c r="F39" s="542">
        <f t="shared" si="0"/>
        <v>0</v>
      </c>
      <c r="G39" s="541"/>
      <c r="H39" s="523"/>
      <c r="I39" s="522"/>
      <c r="J39" s="540">
        <f>IF(ISBLANK(J9),(C39/F10)*L7,(C39/J9)*K9)</f>
        <v>0</v>
      </c>
      <c r="K39" s="539">
        <f t="shared" si="1"/>
        <v>0</v>
      </c>
      <c r="L39" s="538">
        <f>IF(ISBLANK(J9),(F39/F10)*L7,(F39/J9)*K9)</f>
        <v>0</v>
      </c>
      <c r="M39" s="518"/>
      <c r="N39" s="927">
        <f t="shared" si="2"/>
        <v>0</v>
      </c>
      <c r="O39" s="516"/>
      <c r="P39" s="925">
        <f t="shared" si="3"/>
        <v>0</v>
      </c>
      <c r="Q39" s="3685"/>
      <c r="R39" s="515"/>
      <c r="S39" s="900"/>
      <c r="T39" s="3705" t="s">
        <v>130</v>
      </c>
      <c r="U39" s="3706"/>
      <c r="V39" s="3707"/>
      <c r="W39" s="900"/>
      <c r="X39" s="3708" t="s">
        <v>131</v>
      </c>
      <c r="Y39" s="932" t="s">
        <v>37</v>
      </c>
      <c r="Z39" s="931" t="s">
        <v>47</v>
      </c>
      <c r="AA39" s="900"/>
      <c r="AB39" s="900"/>
      <c r="AC39" s="900"/>
      <c r="AD39" s="3668"/>
      <c r="AE39" s="3669"/>
      <c r="AF39" s="3670"/>
      <c r="AG39" s="900"/>
      <c r="AH39" s="381">
        <v>15</v>
      </c>
    </row>
    <row r="40" spans="1:34" ht="15" customHeight="1">
      <c r="A40" s="3683"/>
      <c r="B40" s="515"/>
      <c r="C40" s="528"/>
      <c r="D40" s="527"/>
      <c r="E40" s="526"/>
      <c r="F40" s="525">
        <f t="shared" si="0"/>
        <v>0</v>
      </c>
      <c r="G40" s="524"/>
      <c r="H40" s="523"/>
      <c r="I40" s="522"/>
      <c r="J40" s="521">
        <f>IF(ISBLANK(J9),(C40/F10)*L7,(C40/J9)*K9)</f>
        <v>0</v>
      </c>
      <c r="K40" s="520">
        <f t="shared" si="1"/>
        <v>0</v>
      </c>
      <c r="L40" s="519">
        <f>IF(ISBLANK(J9),(F40/F10)*L7,(F40/J9)*K9)</f>
        <v>0</v>
      </c>
      <c r="M40" s="518"/>
      <c r="N40" s="926">
        <f t="shared" si="2"/>
        <v>0</v>
      </c>
      <c r="O40" s="516"/>
      <c r="P40" s="925">
        <f t="shared" si="3"/>
        <v>0</v>
      </c>
      <c r="Q40" s="3685"/>
      <c r="R40" s="515"/>
      <c r="S40" s="900"/>
      <c r="T40" s="3711" t="s">
        <v>133</v>
      </c>
      <c r="U40" s="3712" t="s">
        <v>134</v>
      </c>
      <c r="V40" s="3713" t="s">
        <v>135</v>
      </c>
      <c r="W40" s="900"/>
      <c r="X40" s="3709"/>
      <c r="Y40" s="550">
        <v>200</v>
      </c>
      <c r="Z40" s="549">
        <v>140</v>
      </c>
      <c r="AA40" s="900"/>
      <c r="AB40" s="900"/>
      <c r="AC40" s="900"/>
      <c r="AD40" s="583" t="s">
        <v>218</v>
      </c>
      <c r="AE40" s="930" t="str">
        <f>LEFT(ADDRESS(1,COLUMN(J6),4),LEN(ADDRESS(1,COLUMN(J6),4))-1)</f>
        <v>J</v>
      </c>
      <c r="AF40" s="929" t="str">
        <f>LEFT(ADDRESS(1,COLUMN(L6),4),LEN(ADDRESS(1,COLUMN(L6),4))-1)</f>
        <v>L</v>
      </c>
      <c r="AG40" s="900"/>
      <c r="AH40" s="381">
        <v>15</v>
      </c>
    </row>
    <row r="41" spans="1:34" ht="15" customHeight="1">
      <c r="A41" s="3683"/>
      <c r="B41" s="515"/>
      <c r="C41" s="545"/>
      <c r="D41" s="544"/>
      <c r="E41" s="543"/>
      <c r="F41" s="542">
        <f t="shared" si="0"/>
        <v>0</v>
      </c>
      <c r="G41" s="541"/>
      <c r="H41" s="523"/>
      <c r="I41" s="522"/>
      <c r="J41" s="540">
        <f>IF(ISBLANK(J9),(C41/F10)*L7,(C41/J9)*K9)</f>
        <v>0</v>
      </c>
      <c r="K41" s="539">
        <f t="shared" si="1"/>
        <v>0</v>
      </c>
      <c r="L41" s="538">
        <f>IF(ISBLANK(J9),(F41/F10)*L7,(F41/J9)*K9)</f>
        <v>0</v>
      </c>
      <c r="M41" s="518"/>
      <c r="N41" s="927">
        <f t="shared" si="2"/>
        <v>0</v>
      </c>
      <c r="O41" s="516"/>
      <c r="P41" s="925">
        <f t="shared" si="3"/>
        <v>0</v>
      </c>
      <c r="Q41" s="3685"/>
      <c r="R41" s="515"/>
      <c r="S41" s="900"/>
      <c r="T41" s="3711"/>
      <c r="U41" s="3712"/>
      <c r="V41" s="3713"/>
      <c r="W41" s="900"/>
      <c r="X41" s="3709"/>
      <c r="Y41" s="308">
        <v>30</v>
      </c>
      <c r="Z41" s="309">
        <v>30</v>
      </c>
      <c r="AA41" s="900"/>
      <c r="AB41" s="900"/>
      <c r="AC41" s="900"/>
      <c r="AD41" s="413"/>
      <c r="AE41" s="573" t="s">
        <v>94</v>
      </c>
      <c r="AF41" s="928" t="str">
        <f>ADDRESS(ROW(J7),COLUMN(J7),4)</f>
        <v>J7</v>
      </c>
      <c r="AG41" s="900"/>
      <c r="AH41" s="381">
        <v>15</v>
      </c>
    </row>
    <row r="42" spans="1:34" ht="15" customHeight="1">
      <c r="A42" s="3683"/>
      <c r="B42" s="515"/>
      <c r="C42" s="528"/>
      <c r="D42" s="527"/>
      <c r="E42" s="526"/>
      <c r="F42" s="525">
        <f t="shared" si="0"/>
        <v>0</v>
      </c>
      <c r="G42" s="524"/>
      <c r="H42" s="523"/>
      <c r="I42" s="522"/>
      <c r="J42" s="521">
        <f>IF(ISBLANK(J9),(C42/F10)*L7,(C42/J9)*K9)</f>
        <v>0</v>
      </c>
      <c r="K42" s="520">
        <f t="shared" si="1"/>
        <v>0</v>
      </c>
      <c r="L42" s="519">
        <f>IF(ISBLANK(J9),(F42/F10)*L7,(F42/J9)*K9)</f>
        <v>0</v>
      </c>
      <c r="M42" s="518"/>
      <c r="N42" s="926">
        <f t="shared" si="2"/>
        <v>0</v>
      </c>
      <c r="O42" s="516"/>
      <c r="P42" s="925">
        <f t="shared" si="3"/>
        <v>0</v>
      </c>
      <c r="Q42" s="3685"/>
      <c r="R42" s="515"/>
      <c r="S42" s="900"/>
      <c r="T42" s="305">
        <v>150</v>
      </c>
      <c r="U42" s="555">
        <v>250</v>
      </c>
      <c r="V42" s="554">
        <f>(U42*T42)/1000</f>
        <v>37.5</v>
      </c>
      <c r="W42" s="900"/>
      <c r="X42" s="3710"/>
      <c r="Y42" s="310">
        <f>IF(Y40=0,0,((Y40-(Y40*Y41%))))/1000</f>
        <v>0.14000000000000001</v>
      </c>
      <c r="Z42" s="311">
        <f>(Z40/(100-Z41)*100)/1000</f>
        <v>0.2</v>
      </c>
      <c r="AA42" s="900"/>
      <c r="AB42" s="900"/>
      <c r="AC42" s="900"/>
      <c r="AD42" s="413"/>
      <c r="AE42" s="567" t="s">
        <v>213</v>
      </c>
      <c r="AF42" s="924" t="str">
        <f>ADDRESS(ROW(K7),COLUMN(K7),4)</f>
        <v>K7</v>
      </c>
      <c r="AG42" s="900"/>
      <c r="AH42" s="381">
        <v>15</v>
      </c>
    </row>
    <row r="43" spans="1:34" ht="15" customHeight="1">
      <c r="A43" s="3683"/>
      <c r="B43" s="515"/>
      <c r="C43" s="545"/>
      <c r="D43" s="544"/>
      <c r="E43" s="543"/>
      <c r="F43" s="542">
        <f t="shared" si="0"/>
        <v>0</v>
      </c>
      <c r="G43" s="541"/>
      <c r="H43" s="523"/>
      <c r="I43" s="522"/>
      <c r="J43" s="540">
        <f>IF(ISBLANK(J9),(C43/F10)*L7,(C43/J9)*K9)</f>
        <v>0</v>
      </c>
      <c r="K43" s="539">
        <f t="shared" si="1"/>
        <v>0</v>
      </c>
      <c r="L43" s="538">
        <f>IF(ISBLANK(J9),(F43/F10)*L7,(F43/J9)*K9)</f>
        <v>0</v>
      </c>
      <c r="M43" s="518"/>
      <c r="N43" s="927">
        <f t="shared" si="2"/>
        <v>0</v>
      </c>
      <c r="O43" s="516"/>
      <c r="P43" s="925">
        <f t="shared" si="3"/>
        <v>0</v>
      </c>
      <c r="Q43" s="3685"/>
      <c r="R43" s="515"/>
      <c r="S43" s="900"/>
      <c r="T43" s="553" t="s">
        <v>203</v>
      </c>
      <c r="U43" s="552"/>
      <c r="V43" s="552"/>
      <c r="W43" s="900"/>
      <c r="X43" s="900"/>
      <c r="Y43" s="900"/>
      <c r="Z43" s="900"/>
      <c r="AA43" s="900"/>
      <c r="AB43" s="900"/>
      <c r="AC43" s="900"/>
      <c r="AD43" s="566"/>
      <c r="AE43" s="565" t="s">
        <v>212</v>
      </c>
      <c r="AF43" s="924" t="str">
        <f>ADDRESS(ROW(J9),COLUMN(J9),4)</f>
        <v>J9</v>
      </c>
      <c r="AG43" s="900"/>
      <c r="AH43" s="381">
        <v>15</v>
      </c>
    </row>
    <row r="44" spans="1:34" ht="15" customHeight="1">
      <c r="A44" s="3683"/>
      <c r="B44" s="515"/>
      <c r="C44" s="528"/>
      <c r="D44" s="527"/>
      <c r="E44" s="526"/>
      <c r="F44" s="525">
        <f t="shared" si="0"/>
        <v>0</v>
      </c>
      <c r="G44" s="524"/>
      <c r="H44" s="523"/>
      <c r="I44" s="522"/>
      <c r="J44" s="521">
        <f>IF(ISBLANK(J9),(C44/F10)*L7,(C44/J9)*K9)</f>
        <v>0</v>
      </c>
      <c r="K44" s="520">
        <f t="shared" si="1"/>
        <v>0</v>
      </c>
      <c r="L44" s="519">
        <f>IF(ISBLANK(J9),(F44/F10)*L7,(F44/J9)*K9)</f>
        <v>0</v>
      </c>
      <c r="M44" s="518"/>
      <c r="N44" s="926">
        <f t="shared" si="2"/>
        <v>0</v>
      </c>
      <c r="O44" s="516"/>
      <c r="P44" s="925">
        <f t="shared" si="3"/>
        <v>0</v>
      </c>
      <c r="Q44" s="3685"/>
      <c r="R44" s="515"/>
      <c r="S44" s="900"/>
      <c r="T44" s="900"/>
      <c r="U44" s="900"/>
      <c r="V44" s="900"/>
      <c r="W44" s="900"/>
      <c r="X44" s="900"/>
      <c r="Y44" s="900"/>
      <c r="Z44" s="900"/>
      <c r="AA44" s="900"/>
      <c r="AB44" s="900"/>
      <c r="AC44" s="900"/>
      <c r="AD44" s="564"/>
      <c r="AE44" s="563" t="s">
        <v>322</v>
      </c>
      <c r="AF44" s="924" t="str">
        <f>ADDRESS(ROW(K9),COLUMN(K9),4)</f>
        <v>K9</v>
      </c>
      <c r="AG44" s="900"/>
      <c r="AH44" s="381">
        <v>15</v>
      </c>
    </row>
    <row r="45" spans="1:34" ht="15" customHeight="1">
      <c r="A45" s="3683"/>
      <c r="B45" s="515"/>
      <c r="C45" s="545"/>
      <c r="D45" s="544"/>
      <c r="E45" s="543"/>
      <c r="F45" s="542">
        <f t="shared" ref="F45:F62" si="4">IF(ISBLANK(C45),E45,C45*E45)</f>
        <v>0</v>
      </c>
      <c r="G45" s="541"/>
      <c r="H45" s="523"/>
      <c r="I45" s="522"/>
      <c r="J45" s="540">
        <f>IF(ISBLANK(J9),(C45/F10)*L7,(C45/J9)*K9)</f>
        <v>0</v>
      </c>
      <c r="K45" s="539">
        <f t="shared" ref="K45:K62" si="5">D45</f>
        <v>0</v>
      </c>
      <c r="L45" s="538">
        <f>IF(ISBLANK(J9),(F45/F10)*L7,(F45/J9)*K9)</f>
        <v>0</v>
      </c>
      <c r="M45" s="518"/>
      <c r="N45" s="927">
        <f t="shared" ref="N45:N62" si="6">IF(F45=0,0,((L45-(L45*M45%))))</f>
        <v>0</v>
      </c>
      <c r="O45" s="516"/>
      <c r="P45" s="925">
        <f t="shared" ref="P45:P62" si="7">IF(ISBLANK(E45),J45*O45,L45*O45)</f>
        <v>0</v>
      </c>
      <c r="Q45" s="3685"/>
      <c r="R45" s="515"/>
      <c r="S45" s="900"/>
      <c r="T45" s="900"/>
      <c r="U45" s="900"/>
      <c r="V45" s="900"/>
      <c r="W45" s="900"/>
      <c r="X45" s="900"/>
      <c r="Y45" s="900"/>
      <c r="Z45" s="900"/>
      <c r="AA45" s="900"/>
      <c r="AB45" s="900"/>
      <c r="AC45" s="900"/>
      <c r="AD45" s="3654" t="s">
        <v>210</v>
      </c>
      <c r="AE45" s="3655"/>
      <c r="AF45" s="3656"/>
      <c r="AG45" s="900"/>
      <c r="AH45" s="381">
        <v>15</v>
      </c>
    </row>
    <row r="46" spans="1:34" ht="15" customHeight="1">
      <c r="A46" s="3683"/>
      <c r="B46" s="515"/>
      <c r="C46" s="528"/>
      <c r="D46" s="527"/>
      <c r="E46" s="526"/>
      <c r="F46" s="525">
        <f t="shared" si="4"/>
        <v>0</v>
      </c>
      <c r="G46" s="524"/>
      <c r="H46" s="523"/>
      <c r="I46" s="522"/>
      <c r="J46" s="521">
        <f>IF(ISBLANK(J9),(C46/F10)*L7,(C46/J9)*K9)</f>
        <v>0</v>
      </c>
      <c r="K46" s="520">
        <f t="shared" si="5"/>
        <v>0</v>
      </c>
      <c r="L46" s="519">
        <f>IF(ISBLANK(J9),(F46/F10)*L7,(F46/J9)*K9)</f>
        <v>0</v>
      </c>
      <c r="M46" s="518"/>
      <c r="N46" s="926">
        <f t="shared" si="6"/>
        <v>0</v>
      </c>
      <c r="O46" s="516"/>
      <c r="P46" s="925">
        <f t="shared" si="7"/>
        <v>0</v>
      </c>
      <c r="Q46" s="3685"/>
      <c r="R46" s="515"/>
      <c r="S46" s="900"/>
      <c r="T46" s="900"/>
      <c r="U46" s="900"/>
      <c r="V46" s="900"/>
      <c r="W46" s="900"/>
      <c r="X46" s="900"/>
      <c r="Y46" s="900"/>
      <c r="Z46" s="900"/>
      <c r="AA46" s="900"/>
      <c r="AB46" s="900"/>
      <c r="AC46" s="900"/>
      <c r="AD46" s="3654"/>
      <c r="AE46" s="3655"/>
      <c r="AF46" s="3656"/>
      <c r="AG46" s="900"/>
      <c r="AH46" s="381">
        <v>15</v>
      </c>
    </row>
    <row r="47" spans="1:34" ht="15" customHeight="1">
      <c r="A47" s="3683"/>
      <c r="B47" s="515"/>
      <c r="C47" s="545"/>
      <c r="D47" s="544"/>
      <c r="E47" s="543"/>
      <c r="F47" s="542">
        <f t="shared" si="4"/>
        <v>0</v>
      </c>
      <c r="G47" s="541"/>
      <c r="H47" s="523"/>
      <c r="I47" s="522"/>
      <c r="J47" s="540">
        <f>IF(ISBLANK(J9),(C47/F10)*L7,(C47/J9)*K9)</f>
        <v>0</v>
      </c>
      <c r="K47" s="539">
        <f t="shared" si="5"/>
        <v>0</v>
      </c>
      <c r="L47" s="538">
        <f>IF(ISBLANK(J9),(F47/F10)*L7,(F47/J9)*K9)</f>
        <v>0</v>
      </c>
      <c r="M47" s="518"/>
      <c r="N47" s="927">
        <f t="shared" si="6"/>
        <v>0</v>
      </c>
      <c r="O47" s="516"/>
      <c r="P47" s="925">
        <f t="shared" si="7"/>
        <v>0</v>
      </c>
      <c r="Q47" s="3685"/>
      <c r="R47" s="515"/>
      <c r="S47" s="900"/>
      <c r="T47" s="900"/>
      <c r="U47" s="900"/>
      <c r="V47" s="900"/>
      <c r="W47" s="900"/>
      <c r="X47" s="900"/>
      <c r="Y47" s="900"/>
      <c r="Z47" s="900"/>
      <c r="AA47" s="900"/>
      <c r="AB47" s="900"/>
      <c r="AC47" s="900"/>
      <c r="AD47" s="3657" t="s">
        <v>208</v>
      </c>
      <c r="AE47" s="3658"/>
      <c r="AF47" s="3659"/>
      <c r="AG47" s="900"/>
      <c r="AH47" s="381">
        <v>15</v>
      </c>
    </row>
    <row r="48" spans="1:34" ht="15" customHeight="1">
      <c r="A48" s="3683"/>
      <c r="B48" s="515"/>
      <c r="C48" s="528"/>
      <c r="D48" s="527"/>
      <c r="E48" s="526"/>
      <c r="F48" s="525">
        <f t="shared" si="4"/>
        <v>0</v>
      </c>
      <c r="G48" s="524"/>
      <c r="H48" s="523"/>
      <c r="I48" s="522"/>
      <c r="J48" s="521">
        <f>IF(ISBLANK(J9),(C48/F10)*L7,(C48/J9)*K9)</f>
        <v>0</v>
      </c>
      <c r="K48" s="520">
        <f t="shared" si="5"/>
        <v>0</v>
      </c>
      <c r="L48" s="519">
        <f>IF(ISBLANK(J9),(F48/F10)*L7,(F48/J9)*K9)</f>
        <v>0</v>
      </c>
      <c r="M48" s="518"/>
      <c r="N48" s="926">
        <f t="shared" si="6"/>
        <v>0</v>
      </c>
      <c r="O48" s="516"/>
      <c r="P48" s="925">
        <f t="shared" si="7"/>
        <v>0</v>
      </c>
      <c r="Q48" s="3685"/>
      <c r="R48" s="515"/>
      <c r="S48" s="900"/>
      <c r="T48" s="900"/>
      <c r="U48" s="900"/>
      <c r="V48" s="900"/>
      <c r="W48" s="900"/>
      <c r="X48" s="900"/>
      <c r="Y48" s="900"/>
      <c r="Z48" s="900"/>
      <c r="AA48" s="900"/>
      <c r="AB48" s="900"/>
      <c r="AC48" s="900"/>
      <c r="AD48" s="3657"/>
      <c r="AE48" s="3658"/>
      <c r="AF48" s="3659"/>
      <c r="AG48" s="900"/>
      <c r="AH48" s="381">
        <v>15</v>
      </c>
    </row>
    <row r="49" spans="1:34" ht="15" customHeight="1">
      <c r="A49" s="3683"/>
      <c r="B49" s="515"/>
      <c r="C49" s="545"/>
      <c r="D49" s="544"/>
      <c r="E49" s="543"/>
      <c r="F49" s="542">
        <f t="shared" si="4"/>
        <v>0</v>
      </c>
      <c r="G49" s="541"/>
      <c r="H49" s="523"/>
      <c r="I49" s="522"/>
      <c r="J49" s="540">
        <f>IF(ISBLANK(J9),(C49/F10)*L7,(C49/J9)*K9)</f>
        <v>0</v>
      </c>
      <c r="K49" s="539">
        <f t="shared" si="5"/>
        <v>0</v>
      </c>
      <c r="L49" s="538">
        <f>IF(ISBLANK(J9),(F49/F10)*L7,(F49/J9)*K9)</f>
        <v>0</v>
      </c>
      <c r="M49" s="518"/>
      <c r="N49" s="927">
        <f t="shared" si="6"/>
        <v>0</v>
      </c>
      <c r="O49" s="516"/>
      <c r="P49" s="925">
        <f t="shared" si="7"/>
        <v>0</v>
      </c>
      <c r="Q49" s="3685"/>
      <c r="R49" s="515"/>
      <c r="S49" s="900"/>
      <c r="T49" s="900"/>
      <c r="U49" s="900"/>
      <c r="V49" s="900"/>
      <c r="W49" s="900"/>
      <c r="X49" s="900"/>
      <c r="Y49" s="900"/>
      <c r="Z49" s="900"/>
      <c r="AA49" s="900"/>
      <c r="AB49" s="900"/>
      <c r="AC49" s="900"/>
      <c r="AD49" s="3660" t="s">
        <v>207</v>
      </c>
      <c r="AE49" s="3661"/>
      <c r="AF49" s="3662"/>
      <c r="AG49" s="900"/>
      <c r="AH49" s="381">
        <v>15</v>
      </c>
    </row>
    <row r="50" spans="1:34" ht="15" customHeight="1">
      <c r="A50" s="3683"/>
      <c r="B50" s="515"/>
      <c r="C50" s="528"/>
      <c r="D50" s="527"/>
      <c r="E50" s="526"/>
      <c r="F50" s="525">
        <f t="shared" si="4"/>
        <v>0</v>
      </c>
      <c r="G50" s="524"/>
      <c r="H50" s="523"/>
      <c r="I50" s="522"/>
      <c r="J50" s="521">
        <f>IF(ISBLANK(J9),(C50/F10)*L7,(C50/J9)*K9)</f>
        <v>0</v>
      </c>
      <c r="K50" s="520">
        <f t="shared" si="5"/>
        <v>0</v>
      </c>
      <c r="L50" s="519">
        <f>IF(ISBLANK(J9),(F50/F10)*L7,(F50/J9)*K9)</f>
        <v>0</v>
      </c>
      <c r="M50" s="518"/>
      <c r="N50" s="926">
        <f t="shared" si="6"/>
        <v>0</v>
      </c>
      <c r="O50" s="516"/>
      <c r="P50" s="925">
        <f t="shared" si="7"/>
        <v>0</v>
      </c>
      <c r="Q50" s="3685"/>
      <c r="R50" s="515"/>
      <c r="S50" s="900"/>
      <c r="T50" s="900"/>
      <c r="U50" s="900"/>
      <c r="V50" s="900"/>
      <c r="W50" s="900"/>
      <c r="X50" s="900"/>
      <c r="Y50" s="900"/>
      <c r="Z50" s="900"/>
      <c r="AA50" s="900"/>
      <c r="AB50" s="900"/>
      <c r="AC50" s="900"/>
      <c r="AD50" s="3630" t="s">
        <v>205</v>
      </c>
      <c r="AE50" s="3631"/>
      <c r="AF50" s="3632"/>
      <c r="AG50" s="900"/>
      <c r="AH50" s="381">
        <v>15</v>
      </c>
    </row>
    <row r="51" spans="1:34" ht="15" customHeight="1">
      <c r="A51" s="3683"/>
      <c r="B51" s="515"/>
      <c r="C51" s="545"/>
      <c r="D51" s="544"/>
      <c r="E51" s="543"/>
      <c r="F51" s="542">
        <f t="shared" si="4"/>
        <v>0</v>
      </c>
      <c r="G51" s="541"/>
      <c r="H51" s="523"/>
      <c r="I51" s="522"/>
      <c r="J51" s="540">
        <f>IF(ISBLANK(J9),(C51/F10)*L7,(C51/J9)*K9)</f>
        <v>0</v>
      </c>
      <c r="K51" s="539">
        <f t="shared" si="5"/>
        <v>0</v>
      </c>
      <c r="L51" s="538">
        <f>IF(ISBLANK(J9),(F51/F10)*L7,(F51/J9)*K9)</f>
        <v>0</v>
      </c>
      <c r="M51" s="518"/>
      <c r="N51" s="927">
        <f t="shared" si="6"/>
        <v>0</v>
      </c>
      <c r="O51" s="516"/>
      <c r="P51" s="925">
        <f t="shared" si="7"/>
        <v>0</v>
      </c>
      <c r="Q51" s="3685"/>
      <c r="R51" s="515"/>
      <c r="S51" s="900"/>
      <c r="T51" s="900"/>
      <c r="U51" s="900"/>
      <c r="V51" s="900"/>
      <c r="W51" s="900"/>
      <c r="X51" s="900"/>
      <c r="Y51" s="900"/>
      <c r="Z51" s="900"/>
      <c r="AA51" s="900"/>
      <c r="AB51" s="900"/>
      <c r="AC51" s="900"/>
      <c r="AD51" s="3630"/>
      <c r="AE51" s="3631"/>
      <c r="AF51" s="3632"/>
      <c r="AG51" s="900"/>
      <c r="AH51" s="381">
        <v>15</v>
      </c>
    </row>
    <row r="52" spans="1:34" ht="15" customHeight="1">
      <c r="A52" s="3683"/>
      <c r="B52" s="515"/>
      <c r="C52" s="528"/>
      <c r="D52" s="527"/>
      <c r="E52" s="526"/>
      <c r="F52" s="525">
        <f t="shared" si="4"/>
        <v>0</v>
      </c>
      <c r="G52" s="524"/>
      <c r="H52" s="523"/>
      <c r="I52" s="522"/>
      <c r="J52" s="521">
        <f>IF(ISBLANK(J9),(C52/F10)*L7,(C52/J9)*K9)</f>
        <v>0</v>
      </c>
      <c r="K52" s="520">
        <f t="shared" si="5"/>
        <v>0</v>
      </c>
      <c r="L52" s="519">
        <f>IF(ISBLANK(J9),(F52/F10)*L7,(F52/J9)*K9)</f>
        <v>0</v>
      </c>
      <c r="M52" s="518"/>
      <c r="N52" s="926">
        <f t="shared" si="6"/>
        <v>0</v>
      </c>
      <c r="O52" s="516"/>
      <c r="P52" s="925">
        <f t="shared" si="7"/>
        <v>0</v>
      </c>
      <c r="Q52" s="3685"/>
      <c r="R52" s="515"/>
      <c r="S52" s="900"/>
      <c r="T52" s="900"/>
      <c r="U52" s="900"/>
      <c r="V52" s="900"/>
      <c r="W52" s="900"/>
      <c r="X52" s="900"/>
      <c r="Y52" s="900"/>
      <c r="Z52" s="900"/>
      <c r="AA52" s="900"/>
      <c r="AB52" s="900"/>
      <c r="AC52" s="900"/>
      <c r="AD52" s="3630"/>
      <c r="AE52" s="3631"/>
      <c r="AF52" s="3632"/>
      <c r="AG52" s="900"/>
      <c r="AH52" s="381">
        <v>15</v>
      </c>
    </row>
    <row r="53" spans="1:34" ht="15" customHeight="1">
      <c r="A53" s="3683"/>
      <c r="B53" s="515"/>
      <c r="C53" s="545"/>
      <c r="D53" s="544"/>
      <c r="E53" s="543"/>
      <c r="F53" s="542">
        <f t="shared" si="4"/>
        <v>0</v>
      </c>
      <c r="G53" s="541"/>
      <c r="H53" s="523"/>
      <c r="I53" s="522"/>
      <c r="J53" s="540">
        <f>IF(ISBLANK(J9),(C53/F10)*L7,(C53/J9)*K9)</f>
        <v>0</v>
      </c>
      <c r="K53" s="539">
        <f t="shared" si="5"/>
        <v>0</v>
      </c>
      <c r="L53" s="538">
        <f>IF(ISBLANK(J9),(F53/F10)*L7,(F53/J9)*K9)</f>
        <v>0</v>
      </c>
      <c r="M53" s="518"/>
      <c r="N53" s="927">
        <f t="shared" si="6"/>
        <v>0</v>
      </c>
      <c r="O53" s="516"/>
      <c r="P53" s="925">
        <f t="shared" si="7"/>
        <v>0</v>
      </c>
      <c r="Q53" s="3685"/>
      <c r="R53" s="515"/>
      <c r="S53" s="900"/>
      <c r="T53" s="900"/>
      <c r="U53" s="900"/>
      <c r="V53" s="900"/>
      <c r="W53" s="900"/>
      <c r="X53" s="900"/>
      <c r="Y53" s="900"/>
      <c r="Z53" s="900"/>
      <c r="AA53" s="900"/>
      <c r="AB53" s="900"/>
      <c r="AC53" s="900"/>
      <c r="AD53" s="3630"/>
      <c r="AE53" s="3631"/>
      <c r="AF53" s="3632"/>
      <c r="AG53" s="900"/>
      <c r="AH53" s="381">
        <v>15</v>
      </c>
    </row>
    <row r="54" spans="1:34" ht="15" customHeight="1">
      <c r="A54" s="3683"/>
      <c r="B54" s="515"/>
      <c r="C54" s="528"/>
      <c r="D54" s="527"/>
      <c r="E54" s="526"/>
      <c r="F54" s="525">
        <f t="shared" si="4"/>
        <v>0</v>
      </c>
      <c r="G54" s="524"/>
      <c r="H54" s="523"/>
      <c r="I54" s="522"/>
      <c r="J54" s="521">
        <f>IF(ISBLANK(J9),(C54/F10)*L7,(C54/J9)*K9)</f>
        <v>0</v>
      </c>
      <c r="K54" s="520">
        <f t="shared" si="5"/>
        <v>0</v>
      </c>
      <c r="L54" s="519">
        <f>IF(ISBLANK(J9),(F54/F10)*L7,(F54/J9)*K9)</f>
        <v>0</v>
      </c>
      <c r="M54" s="518"/>
      <c r="N54" s="926">
        <f t="shared" si="6"/>
        <v>0</v>
      </c>
      <c r="O54" s="516"/>
      <c r="P54" s="925">
        <f t="shared" si="7"/>
        <v>0</v>
      </c>
      <c r="Q54" s="3685"/>
      <c r="R54" s="515"/>
      <c r="S54" s="900"/>
      <c r="T54" s="900"/>
      <c r="U54" s="900"/>
      <c r="V54" s="900"/>
      <c r="W54" s="900"/>
      <c r="X54" s="900"/>
      <c r="Y54" s="900"/>
      <c r="Z54" s="900"/>
      <c r="AA54" s="900"/>
      <c r="AB54" s="900"/>
      <c r="AC54" s="900"/>
      <c r="AD54" s="3630" t="s">
        <v>204</v>
      </c>
      <c r="AE54" s="3631"/>
      <c r="AF54" s="3632"/>
      <c r="AG54" s="900"/>
      <c r="AH54" s="381">
        <v>15</v>
      </c>
    </row>
    <row r="55" spans="1:34" ht="15" customHeight="1">
      <c r="A55" s="3683"/>
      <c r="B55" s="515"/>
      <c r="C55" s="545"/>
      <c r="D55" s="544"/>
      <c r="E55" s="543"/>
      <c r="F55" s="542">
        <f t="shared" si="4"/>
        <v>0</v>
      </c>
      <c r="G55" s="541"/>
      <c r="H55" s="523"/>
      <c r="I55" s="522"/>
      <c r="J55" s="540">
        <f>IF(ISBLANK(J9),(C55/F10)*L7,(C55/J9)*K9)</f>
        <v>0</v>
      </c>
      <c r="K55" s="539">
        <f t="shared" si="5"/>
        <v>0</v>
      </c>
      <c r="L55" s="538">
        <f>IF(ISBLANK(J9),(F55/F10)*L7,(F55/J9)*K9)</f>
        <v>0</v>
      </c>
      <c r="M55" s="518"/>
      <c r="N55" s="927">
        <f t="shared" si="6"/>
        <v>0</v>
      </c>
      <c r="O55" s="516"/>
      <c r="P55" s="925">
        <f t="shared" si="7"/>
        <v>0</v>
      </c>
      <c r="Q55" s="3685"/>
      <c r="R55" s="515"/>
      <c r="S55" s="900"/>
      <c r="T55" s="900"/>
      <c r="U55" s="900"/>
      <c r="V55" s="900"/>
      <c r="W55" s="900"/>
      <c r="X55" s="900"/>
      <c r="Y55" s="900"/>
      <c r="Z55" s="900"/>
      <c r="AA55" s="900"/>
      <c r="AB55" s="900"/>
      <c r="AC55" s="900"/>
      <c r="AD55" s="3630"/>
      <c r="AE55" s="3631"/>
      <c r="AF55" s="3632"/>
      <c r="AG55" s="900"/>
      <c r="AH55" s="381">
        <v>15</v>
      </c>
    </row>
    <row r="56" spans="1:34" ht="15" customHeight="1">
      <c r="A56" s="3683"/>
      <c r="B56" s="515"/>
      <c r="C56" s="528"/>
      <c r="D56" s="527"/>
      <c r="E56" s="526"/>
      <c r="F56" s="525">
        <f t="shared" si="4"/>
        <v>0</v>
      </c>
      <c r="G56" s="524"/>
      <c r="H56" s="523"/>
      <c r="I56" s="522"/>
      <c r="J56" s="521">
        <f>IF(ISBLANK(J9),(C56/F10)*L7,(C56/J9)*K9)</f>
        <v>0</v>
      </c>
      <c r="K56" s="520">
        <f t="shared" si="5"/>
        <v>0</v>
      </c>
      <c r="L56" s="519">
        <f>IF(ISBLANK(J9),(F56/F10)*L7,(F56/J9)*K9)</f>
        <v>0</v>
      </c>
      <c r="M56" s="518"/>
      <c r="N56" s="926">
        <f t="shared" si="6"/>
        <v>0</v>
      </c>
      <c r="O56" s="516"/>
      <c r="P56" s="925">
        <f t="shared" si="7"/>
        <v>0</v>
      </c>
      <c r="Q56" s="3685"/>
      <c r="R56" s="515"/>
      <c r="S56" s="900"/>
      <c r="T56" s="900"/>
      <c r="U56" s="900"/>
      <c r="V56" s="900"/>
      <c r="W56" s="900"/>
      <c r="X56" s="900"/>
      <c r="Y56" s="900"/>
      <c r="Z56" s="900"/>
      <c r="AA56" s="900"/>
      <c r="AB56" s="900"/>
      <c r="AC56" s="900"/>
      <c r="AD56" s="3630"/>
      <c r="AE56" s="3631"/>
      <c r="AF56" s="3632"/>
      <c r="AG56" s="900"/>
      <c r="AH56" s="381">
        <v>15</v>
      </c>
    </row>
    <row r="57" spans="1:34" ht="15" customHeight="1">
      <c r="A57" s="3683"/>
      <c r="B57" s="515"/>
      <c r="C57" s="545"/>
      <c r="D57" s="544"/>
      <c r="E57" s="543"/>
      <c r="F57" s="542">
        <f t="shared" si="4"/>
        <v>0</v>
      </c>
      <c r="G57" s="541"/>
      <c r="H57" s="523"/>
      <c r="I57" s="522"/>
      <c r="J57" s="540">
        <f>IF(ISBLANK(J9),(C57/F10)*L7,(C57/J9)*K9)</f>
        <v>0</v>
      </c>
      <c r="K57" s="539">
        <f t="shared" si="5"/>
        <v>0</v>
      </c>
      <c r="L57" s="538">
        <f>IF(ISBLANK(J9),(F57/F10)*L7,(F57/J9)*K9)</f>
        <v>0</v>
      </c>
      <c r="M57" s="518"/>
      <c r="N57" s="927">
        <f t="shared" si="6"/>
        <v>0</v>
      </c>
      <c r="O57" s="516"/>
      <c r="P57" s="925">
        <f t="shared" si="7"/>
        <v>0</v>
      </c>
      <c r="Q57" s="3685"/>
      <c r="R57" s="515"/>
      <c r="S57" s="900"/>
      <c r="T57" s="900"/>
      <c r="U57" s="900"/>
      <c r="V57" s="900"/>
      <c r="W57" s="900"/>
      <c r="X57" s="900"/>
      <c r="Y57" s="900"/>
      <c r="Z57" s="900"/>
      <c r="AA57" s="900"/>
      <c r="AB57" s="900"/>
      <c r="AC57" s="900"/>
      <c r="AD57" s="3630" t="s">
        <v>202</v>
      </c>
      <c r="AE57" s="3631"/>
      <c r="AF57" s="3632"/>
      <c r="AG57" s="900"/>
      <c r="AH57" s="381">
        <v>15</v>
      </c>
    </row>
    <row r="58" spans="1:34" ht="15" customHeight="1">
      <c r="A58" s="3683"/>
      <c r="B58" s="515"/>
      <c r="C58" s="528"/>
      <c r="D58" s="527"/>
      <c r="E58" s="526"/>
      <c r="F58" s="525">
        <f t="shared" si="4"/>
        <v>0</v>
      </c>
      <c r="G58" s="524"/>
      <c r="H58" s="523"/>
      <c r="I58" s="522"/>
      <c r="J58" s="521">
        <f>IF(ISBLANK(J9),(C58/F10)*L7,(C58/J9)*K9)</f>
        <v>0</v>
      </c>
      <c r="K58" s="520">
        <f t="shared" si="5"/>
        <v>0</v>
      </c>
      <c r="L58" s="519">
        <f>IF(ISBLANK(J9),(F58/F10)*L7,(F58/J9)*K9)</f>
        <v>0</v>
      </c>
      <c r="M58" s="518"/>
      <c r="N58" s="926">
        <f t="shared" si="6"/>
        <v>0</v>
      </c>
      <c r="O58" s="516"/>
      <c r="P58" s="925">
        <f t="shared" si="7"/>
        <v>0</v>
      </c>
      <c r="Q58" s="3685"/>
      <c r="R58" s="515"/>
      <c r="S58" s="900"/>
      <c r="T58" s="900"/>
      <c r="U58" s="900"/>
      <c r="V58" s="900"/>
      <c r="W58" s="900"/>
      <c r="X58" s="900"/>
      <c r="Y58" s="900"/>
      <c r="Z58" s="900"/>
      <c r="AA58" s="900"/>
      <c r="AB58" s="900"/>
      <c r="AC58" s="900"/>
      <c r="AD58" s="3630"/>
      <c r="AE58" s="3631"/>
      <c r="AF58" s="3632"/>
      <c r="AG58" s="900"/>
      <c r="AH58" s="381">
        <v>15</v>
      </c>
    </row>
    <row r="59" spans="1:34" ht="15" customHeight="1">
      <c r="A59" s="3683"/>
      <c r="B59" s="515"/>
      <c r="C59" s="545"/>
      <c r="D59" s="544"/>
      <c r="E59" s="543"/>
      <c r="F59" s="542">
        <f t="shared" si="4"/>
        <v>0</v>
      </c>
      <c r="G59" s="541"/>
      <c r="H59" s="523"/>
      <c r="I59" s="522"/>
      <c r="J59" s="540">
        <f>IF(ISBLANK(J9),(C59/F10)*L7,(C59/J9)*K9)</f>
        <v>0</v>
      </c>
      <c r="K59" s="539">
        <f t="shared" si="5"/>
        <v>0</v>
      </c>
      <c r="L59" s="538">
        <f>IF(ISBLANK(J9),(F59/F10)*L7,(F59/J9)*K9)</f>
        <v>0</v>
      </c>
      <c r="M59" s="518"/>
      <c r="N59" s="927">
        <f t="shared" si="6"/>
        <v>0</v>
      </c>
      <c r="O59" s="516"/>
      <c r="P59" s="925">
        <f t="shared" si="7"/>
        <v>0</v>
      </c>
      <c r="Q59" s="3685"/>
      <c r="R59" s="515"/>
      <c r="S59" s="900"/>
      <c r="T59" s="900"/>
      <c r="U59" s="900"/>
      <c r="V59" s="900"/>
      <c r="W59" s="900"/>
      <c r="X59" s="900"/>
      <c r="Y59" s="900"/>
      <c r="Z59" s="900"/>
      <c r="AA59" s="900"/>
      <c r="AB59" s="900"/>
      <c r="AC59" s="900"/>
      <c r="AD59" s="413"/>
      <c r="AE59" s="548" t="s">
        <v>201</v>
      </c>
      <c r="AF59" s="924" t="str">
        <f>LEFT(ADDRESS(1,COLUMN(C12),4),LEN(ADDRESS(1,COLUMN(C12),4))-1)</f>
        <v>C</v>
      </c>
      <c r="AG59" s="900"/>
      <c r="AH59" s="381">
        <v>15</v>
      </c>
    </row>
    <row r="60" spans="1:34" ht="15" customHeight="1">
      <c r="A60" s="3683"/>
      <c r="B60" s="515"/>
      <c r="C60" s="528"/>
      <c r="D60" s="527"/>
      <c r="E60" s="526"/>
      <c r="F60" s="525">
        <f t="shared" si="4"/>
        <v>0</v>
      </c>
      <c r="G60" s="524"/>
      <c r="H60" s="523"/>
      <c r="I60" s="522"/>
      <c r="J60" s="521">
        <f>IF(ISBLANK(J9),(C60/F10)*L7,(C60/J9)*K9)</f>
        <v>0</v>
      </c>
      <c r="K60" s="520">
        <f t="shared" si="5"/>
        <v>0</v>
      </c>
      <c r="L60" s="519">
        <f>IF(ISBLANK(J9),(F60/F10)*L7,(F60/J9)*K9)</f>
        <v>0</v>
      </c>
      <c r="M60" s="518"/>
      <c r="N60" s="926">
        <f t="shared" si="6"/>
        <v>0</v>
      </c>
      <c r="O60" s="516"/>
      <c r="P60" s="925">
        <f t="shared" si="7"/>
        <v>0</v>
      </c>
      <c r="Q60" s="3685"/>
      <c r="R60" s="515"/>
      <c r="S60" s="900"/>
      <c r="T60" s="900"/>
      <c r="U60" s="900"/>
      <c r="V60" s="900"/>
      <c r="W60" s="900"/>
      <c r="X60" s="900"/>
      <c r="Y60" s="900"/>
      <c r="Z60" s="900"/>
      <c r="AA60" s="900"/>
      <c r="AB60" s="900"/>
      <c r="AC60" s="900"/>
      <c r="AD60" s="413"/>
      <c r="AE60" s="548" t="s">
        <v>200</v>
      </c>
      <c r="AF60" s="924" t="str">
        <f>LEFT(ADDRESS(1,COLUMN(F12),4),LEN(ADDRESS(1,COLUMN(F12),4))-1)</f>
        <v>F</v>
      </c>
      <c r="AG60" s="900"/>
      <c r="AH60" s="381">
        <v>15</v>
      </c>
    </row>
    <row r="61" spans="1:34" ht="15" customHeight="1">
      <c r="A61" s="3683"/>
      <c r="B61" s="515"/>
      <c r="C61" s="545"/>
      <c r="D61" s="544"/>
      <c r="E61" s="543"/>
      <c r="F61" s="542">
        <f t="shared" si="4"/>
        <v>0</v>
      </c>
      <c r="G61" s="541"/>
      <c r="H61" s="523"/>
      <c r="I61" s="522"/>
      <c r="J61" s="540">
        <f>IF(ISBLANK(J9),(C61/F10)*L7,(C61/J9)*K9)</f>
        <v>0</v>
      </c>
      <c r="K61" s="539">
        <f t="shared" si="5"/>
        <v>0</v>
      </c>
      <c r="L61" s="538">
        <f>IF(ISBLANK(J9),(F61/F10)*L7,(F61/J9)*K9)</f>
        <v>0</v>
      </c>
      <c r="M61" s="518"/>
      <c r="N61" s="927">
        <f t="shared" si="6"/>
        <v>0</v>
      </c>
      <c r="O61" s="516"/>
      <c r="P61" s="925">
        <f t="shared" si="7"/>
        <v>0</v>
      </c>
      <c r="Q61" s="3685"/>
      <c r="R61" s="515"/>
      <c r="S61" s="900"/>
      <c r="T61" s="900"/>
      <c r="U61" s="900"/>
      <c r="V61" s="900"/>
      <c r="W61" s="900"/>
      <c r="X61" s="900"/>
      <c r="Y61" s="900"/>
      <c r="Z61" s="900"/>
      <c r="AA61" s="900"/>
      <c r="AB61" s="900"/>
      <c r="AC61" s="900"/>
      <c r="AD61" s="413" t="s">
        <v>199</v>
      </c>
      <c r="AE61" s="412"/>
      <c r="AF61" s="411"/>
      <c r="AG61" s="900"/>
      <c r="AH61" s="381">
        <v>15</v>
      </c>
    </row>
    <row r="62" spans="1:34" ht="15" customHeight="1">
      <c r="A62" s="3683"/>
      <c r="B62" s="515"/>
      <c r="C62" s="528"/>
      <c r="D62" s="527"/>
      <c r="E62" s="526"/>
      <c r="F62" s="525">
        <f t="shared" si="4"/>
        <v>0</v>
      </c>
      <c r="G62" s="524"/>
      <c r="H62" s="523"/>
      <c r="I62" s="522"/>
      <c r="J62" s="521">
        <f>IF(ISBLANK(J9),(C62/F10)*L7,(C62/J9)*K9)</f>
        <v>0</v>
      </c>
      <c r="K62" s="520">
        <f t="shared" si="5"/>
        <v>0</v>
      </c>
      <c r="L62" s="519">
        <f>IF(ISBLANK(J9),(F62/F10)*L7,(F62/J9)*K9)</f>
        <v>0</v>
      </c>
      <c r="M62" s="518"/>
      <c r="N62" s="926">
        <f t="shared" si="6"/>
        <v>0</v>
      </c>
      <c r="O62" s="516"/>
      <c r="P62" s="925">
        <f t="shared" si="7"/>
        <v>0</v>
      </c>
      <c r="Q62" s="3686"/>
      <c r="R62" s="515"/>
      <c r="S62" s="900"/>
      <c r="T62" s="900"/>
      <c r="U62" s="900"/>
      <c r="V62" s="900"/>
      <c r="W62" s="900"/>
      <c r="X62" s="900"/>
      <c r="Y62" s="900"/>
      <c r="Z62" s="900"/>
      <c r="AA62" s="900"/>
      <c r="AB62" s="900"/>
      <c r="AC62" s="900"/>
      <c r="AD62" s="413"/>
      <c r="AE62" s="514" t="s">
        <v>198</v>
      </c>
      <c r="AF62" s="924" t="str">
        <f>ADDRESS(ROW(L9),COLUMN(L9),4)</f>
        <v>L9</v>
      </c>
      <c r="AG62" s="900"/>
      <c r="AH62" s="381">
        <v>15</v>
      </c>
    </row>
    <row r="63" spans="1:34" ht="15" customHeight="1">
      <c r="A63" s="3683"/>
      <c r="B63" s="376"/>
      <c r="C63" s="504"/>
      <c r="D63" s="923" t="s">
        <v>196</v>
      </c>
      <c r="E63" s="920"/>
      <c r="F63" s="920"/>
      <c r="G63" s="922"/>
      <c r="H63" s="921"/>
      <c r="I63" s="921"/>
      <c r="J63" s="921"/>
      <c r="K63" s="921"/>
      <c r="L63" s="920"/>
      <c r="M63" s="920"/>
      <c r="N63" s="920"/>
      <c r="O63" s="920"/>
      <c r="P63" s="919"/>
      <c r="Q63" s="3714" t="str">
        <f>P3</f>
        <v>021</v>
      </c>
      <c r="R63" s="376"/>
      <c r="S63" s="900"/>
      <c r="T63" s="900"/>
      <c r="U63" s="900"/>
      <c r="V63" s="900"/>
      <c r="W63" s="900"/>
      <c r="X63" s="900"/>
      <c r="Y63" s="900"/>
      <c r="Z63" s="900"/>
      <c r="AA63" s="900"/>
      <c r="AB63" s="900"/>
      <c r="AC63" s="900"/>
      <c r="AD63" s="413"/>
      <c r="AE63" s="412"/>
      <c r="AF63" s="411"/>
      <c r="AG63" s="900"/>
      <c r="AH63" s="381">
        <v>15</v>
      </c>
    </row>
    <row r="64" spans="1:34" ht="18" customHeight="1">
      <c r="A64" s="3683"/>
      <c r="B64" s="376"/>
      <c r="C64" s="489"/>
      <c r="D64" s="495">
        <f>IF(ISBLANK(C13),E13,C13*E13)+IF(ISBLANK(C14),E14,C14*E14)+IF(ISBLANK(C15),E15,C15*E15)+IF(ISBLANK(C16),E16,C16*E16)+IF(ISBLANK(C17),E17,C17*E17)+IF(ISBLANK(C18),E18,C18*E18)+IF(ISBLANK(C19),E19,C19*E19)+IF(ISBLANK(C20),E20,C20*E20)+IF(ISBLANK(C21),E21,C21*E21)+IF(ISBLANK(C22),E22,C22*E22)+IF(ISBLANK(C23),E23,C23*E23)+IF(ISBLANK(C24),E24,C24*E24)+IF(ISBLANK(C25),E25,C25*E25)+IF(ISBLANK(C26),E26,C26*E26)+IF(ISBLANK(C27),E27,C27*E27)+IF(ISBLANK(C28),E28,C28*E28)+IF(ISBLANK(C29),E29,C29*E29)+IF(ISBLANK(C30),E30,C30*E30)+IF(ISBLANK(C31),E31,C31*E31)+IF(ISBLANK(C32),E32,C32*E32)+IF(ISBLANK(C33),E33,C33*E33)+IF(ISBLANK(C34),E34,C34*E34)+IF(ISBLANK(C35),E35,C35*E35)+IF(ISBLANK(C36),E36,C36*E36)+IF(ISBLANK(C37),E37,C37*E37)+IF(ISBLANK(C38),E38,C38*E38)+IF(ISBLANK(C39),E39,C39*E39)+ IF(ISBLANK(C40),E40,C40*E40)+ IF(ISBLANK(C41),E41,C41*E41)+ IF(ISBLANK(C42),E42,C42*E42)+ IF(ISBLANK(C43),E43,C43*E43)+ IF(ISBLANK(C44),E44,C44*E44)+ IF(ISBLANK(C45),E45,C45*E45)+ IF(ISBLANK(C46),E46,C46*E46)+ IF(ISBLANK(C47),E47,C47*E47)+ IF(ISBLANK(C48),E48,C48*E48)+IF(ISBLANK(C49),E49,C49*E49)+IF(ISBLANK(C50),E50,C50*E50)+ IF(ISBLANK(C51),E51,C51*E51) +IF(ISBLANK(C52),E52,C52*E52) +IF(ISBLANK(C53),E53,C53*E53) +IF(ISBLANK(C54),E54,C54*E54) +IF(ISBLANK(C55),E55,C55*E55) +IF(ISBLANK(C56),E56,C56*E56) +IF(ISBLANK(C57),E57,C57*E57) +IF(ISBLANK(C58),E58,C58*E58) +IF(ISBLANK(C59),E59,C59*E59) +IF(ISBLANK(C60),E60,C60*E60) +IF(ISBLANK(C61),E61,C61*E61) +IF(ISBLANK(C62),E62,C62*E62)</f>
        <v>0.41000000000000003</v>
      </c>
      <c r="E64" s="493"/>
      <c r="F64" s="493">
        <f>SUM(F13:F62)</f>
        <v>0.41000000000000003</v>
      </c>
      <c r="G64" s="918"/>
      <c r="H64" s="834"/>
      <c r="I64" s="834"/>
      <c r="J64" s="834"/>
      <c r="K64" s="486" t="s">
        <v>37</v>
      </c>
      <c r="L64" s="485">
        <f>SUM(L13:L62)</f>
        <v>72</v>
      </c>
      <c r="M64" s="486" t="s">
        <v>47</v>
      </c>
      <c r="N64" s="485">
        <f>SUM(N13:N62)</f>
        <v>65.853658536585357</v>
      </c>
      <c r="O64" s="493"/>
      <c r="P64" s="493"/>
      <c r="Q64" s="3715"/>
      <c r="R64" s="376"/>
      <c r="S64" s="900"/>
      <c r="T64" s="900"/>
      <c r="U64" s="900"/>
      <c r="V64" s="900"/>
      <c r="W64" s="900"/>
      <c r="X64" s="900"/>
      <c r="Y64" s="900"/>
      <c r="Z64" s="900"/>
      <c r="AA64" s="900"/>
      <c r="AB64" s="900"/>
      <c r="AC64" s="900"/>
      <c r="AD64" s="3601" t="s">
        <v>194</v>
      </c>
      <c r="AE64" s="3602"/>
      <c r="AF64" s="3603"/>
      <c r="AG64" s="900"/>
      <c r="AH64" s="381">
        <v>18</v>
      </c>
    </row>
    <row r="65" spans="1:34" ht="18" customHeight="1">
      <c r="A65" s="3683"/>
      <c r="B65" s="376"/>
      <c r="C65" s="489"/>
      <c r="D65" s="484"/>
      <c r="E65" s="484"/>
      <c r="F65" s="484"/>
      <c r="G65" s="477"/>
      <c r="H65" s="488"/>
      <c r="I65" s="488"/>
      <c r="J65" s="488"/>
      <c r="K65" s="487"/>
      <c r="L65" s="484"/>
      <c r="M65" s="486" t="s">
        <v>192</v>
      </c>
      <c r="N65" s="485">
        <f>L64-N64</f>
        <v>6.1463414634146432</v>
      </c>
      <c r="O65" s="484"/>
      <c r="P65" s="484"/>
      <c r="Q65" s="3715"/>
      <c r="R65" s="376"/>
      <c r="S65" s="900"/>
      <c r="T65" s="900"/>
      <c r="U65" s="900"/>
      <c r="V65" s="900"/>
      <c r="W65" s="900"/>
      <c r="X65" s="900"/>
      <c r="Y65" s="900"/>
      <c r="Z65" s="900"/>
      <c r="AA65" s="900"/>
      <c r="AB65" s="900"/>
      <c r="AC65" s="900"/>
      <c r="AD65" s="3601"/>
      <c r="AE65" s="3602"/>
      <c r="AF65" s="3603"/>
      <c r="AG65" s="900"/>
      <c r="AH65" s="381">
        <v>18</v>
      </c>
    </row>
    <row r="66" spans="1:34" ht="18" customHeight="1">
      <c r="A66" s="3683"/>
      <c r="B66" s="376"/>
      <c r="C66" s="478"/>
      <c r="D66" s="476"/>
      <c r="E66" s="476"/>
      <c r="F66" s="476"/>
      <c r="G66" s="477" t="s">
        <v>191</v>
      </c>
      <c r="H66" s="476"/>
      <c r="I66" s="476"/>
      <c r="J66" s="476"/>
      <c r="K66" s="476"/>
      <c r="L66" s="476"/>
      <c r="M66" s="476"/>
      <c r="N66" s="476"/>
      <c r="O66" s="476"/>
      <c r="P66" s="476"/>
      <c r="Q66" s="3715"/>
      <c r="R66" s="376"/>
      <c r="S66" s="900"/>
      <c r="T66" s="900"/>
      <c r="U66" s="900"/>
      <c r="V66" s="900"/>
      <c r="W66" s="900"/>
      <c r="X66" s="900"/>
      <c r="Y66" s="900"/>
      <c r="Z66" s="900"/>
      <c r="AA66" s="900"/>
      <c r="AB66" s="900"/>
      <c r="AC66" s="900"/>
      <c r="AD66" s="3601"/>
      <c r="AE66" s="3602"/>
      <c r="AF66" s="3603"/>
      <c r="AG66" s="900"/>
      <c r="AH66" s="381">
        <v>18</v>
      </c>
    </row>
    <row r="67" spans="1:34" ht="15" customHeight="1" thickBot="1">
      <c r="A67" s="3683"/>
      <c r="B67" s="378"/>
      <c r="C67" s="917"/>
      <c r="D67" s="916"/>
      <c r="E67" s="916"/>
      <c r="F67" s="916"/>
      <c r="G67" s="916"/>
      <c r="H67" s="916"/>
      <c r="I67" s="916"/>
      <c r="J67" s="916"/>
      <c r="K67" s="916"/>
      <c r="L67" s="916"/>
      <c r="M67" s="916"/>
      <c r="N67" s="916"/>
      <c r="O67" s="916"/>
      <c r="P67" s="916"/>
      <c r="Q67" s="3716"/>
      <c r="R67" s="378"/>
      <c r="S67" s="900"/>
      <c r="T67" s="900"/>
      <c r="U67" s="900"/>
      <c r="V67" s="900"/>
      <c r="W67" s="900"/>
      <c r="X67" s="900"/>
      <c r="Y67" s="900"/>
      <c r="Z67" s="900"/>
      <c r="AA67" s="900"/>
      <c r="AB67" s="900"/>
      <c r="AC67" s="900"/>
      <c r="AD67" s="3601"/>
      <c r="AE67" s="3602"/>
      <c r="AF67" s="3603"/>
      <c r="AG67" s="900"/>
      <c r="AH67" s="381">
        <v>15</v>
      </c>
    </row>
    <row r="68" spans="1:34" ht="20.100000000000001" customHeight="1">
      <c r="A68" s="833"/>
      <c r="B68" s="378"/>
      <c r="C68" s="450" t="s">
        <v>188</v>
      </c>
      <c r="D68" s="449"/>
      <c r="E68" s="449"/>
      <c r="F68" s="449"/>
      <c r="G68" s="449"/>
      <c r="H68" s="449"/>
      <c r="I68" s="449"/>
      <c r="J68" s="449"/>
      <c r="K68" s="449"/>
      <c r="L68" s="449"/>
      <c r="M68" s="449"/>
      <c r="N68" s="449"/>
      <c r="O68" s="449"/>
      <c r="P68" s="449"/>
      <c r="Q68" s="457" t="str">
        <f>C3</f>
        <v>SAISISSEZ LE NOM DE VOTRE PLAT cellule C3</v>
      </c>
      <c r="R68" s="378"/>
      <c r="S68" s="900"/>
      <c r="T68" s="900"/>
      <c r="U68" s="900"/>
      <c r="V68" s="900"/>
      <c r="W68" s="900"/>
      <c r="X68" s="900"/>
      <c r="Y68" s="900"/>
      <c r="Z68" s="900"/>
      <c r="AA68" s="900"/>
      <c r="AB68" s="900"/>
      <c r="AC68" s="900"/>
      <c r="AD68" s="456" t="s">
        <v>187</v>
      </c>
      <c r="AE68" s="376"/>
      <c r="AF68" s="915" t="str">
        <f>ADDRESS(ROW(J9),COLUMN(J9),4)</f>
        <v>J9</v>
      </c>
      <c r="AG68" s="900"/>
      <c r="AH68" s="381">
        <v>20</v>
      </c>
    </row>
    <row r="69" spans="1:34" ht="20.100000000000001" customHeight="1">
      <c r="A69" s="833"/>
      <c r="B69" s="356"/>
      <c r="C69" s="450" t="s">
        <v>186</v>
      </c>
      <c r="D69" s="449"/>
      <c r="E69" s="449"/>
      <c r="F69" s="449"/>
      <c r="G69" s="449"/>
      <c r="H69" s="449"/>
      <c r="I69" s="449"/>
      <c r="J69" s="449"/>
      <c r="K69" s="449"/>
      <c r="L69" s="449"/>
      <c r="M69" s="449"/>
      <c r="N69" s="449"/>
      <c r="O69" s="449"/>
      <c r="P69" s="449"/>
      <c r="Q69" s="448" t="s">
        <v>185</v>
      </c>
      <c r="R69" s="356"/>
      <c r="S69" s="900"/>
      <c r="T69" s="900"/>
      <c r="U69" s="900"/>
      <c r="V69" s="900"/>
      <c r="W69" s="900"/>
      <c r="X69" s="900"/>
      <c r="Y69" s="900"/>
      <c r="Z69" s="900"/>
      <c r="AA69" s="900"/>
      <c r="AB69" s="900"/>
      <c r="AC69" s="900"/>
      <c r="AD69" s="441">
        <v>16</v>
      </c>
      <c r="AE69" s="440" t="s">
        <v>184</v>
      </c>
      <c r="AF69" s="914"/>
      <c r="AG69" s="900"/>
      <c r="AH69" s="381">
        <v>20</v>
      </c>
    </row>
    <row r="70" spans="1:34" ht="20.100000000000001" customHeight="1">
      <c r="A70" s="833"/>
      <c r="B70" s="356"/>
      <c r="C70" s="3604" t="s">
        <v>183</v>
      </c>
      <c r="D70" s="3605"/>
      <c r="E70" s="3605"/>
      <c r="F70" s="3606">
        <v>7.2916666666666671E-2</v>
      </c>
      <c r="G70" s="40"/>
      <c r="H70" s="40"/>
      <c r="I70" s="3605" t="s">
        <v>182</v>
      </c>
      <c r="J70" s="3605"/>
      <c r="K70" s="3608">
        <v>8.3333333333333329E-2</v>
      </c>
      <c r="L70" s="40"/>
      <c r="M70" s="443"/>
      <c r="N70" s="443"/>
      <c r="O70" s="443"/>
      <c r="P70" s="443"/>
      <c r="Q70" s="446"/>
      <c r="R70" s="356"/>
      <c r="S70" s="900"/>
      <c r="T70" s="900"/>
      <c r="U70" s="900"/>
      <c r="V70" s="900"/>
      <c r="W70" s="900"/>
      <c r="X70" s="900"/>
      <c r="Y70" s="900"/>
      <c r="Z70" s="900"/>
      <c r="AA70" s="900"/>
      <c r="AB70" s="900"/>
      <c r="AC70" s="900"/>
      <c r="AD70" s="441">
        <v>2</v>
      </c>
      <c r="AE70" s="440" t="s">
        <v>181</v>
      </c>
      <c r="AF70" s="3609"/>
      <c r="AG70" s="900"/>
      <c r="AH70" s="381">
        <v>20</v>
      </c>
    </row>
    <row r="71" spans="1:34" ht="20.100000000000001" customHeight="1">
      <c r="A71" s="833"/>
      <c r="B71" s="356"/>
      <c r="C71" s="3604"/>
      <c r="D71" s="3605"/>
      <c r="E71" s="3605"/>
      <c r="F71" s="3607"/>
      <c r="G71" s="444" t="s">
        <v>180</v>
      </c>
      <c r="H71" s="445"/>
      <c r="I71" s="3605"/>
      <c r="J71" s="3605"/>
      <c r="K71" s="3608"/>
      <c r="L71" s="444" t="s">
        <v>179</v>
      </c>
      <c r="M71" s="443"/>
      <c r="N71" s="443"/>
      <c r="O71" s="443"/>
      <c r="P71" s="443"/>
      <c r="Q71" s="442"/>
      <c r="R71" s="356"/>
      <c r="S71" s="900"/>
      <c r="T71" s="900"/>
      <c r="U71" s="900"/>
      <c r="V71" s="900"/>
      <c r="W71" s="900"/>
      <c r="X71" s="900"/>
      <c r="Y71" s="900"/>
      <c r="Z71" s="900"/>
      <c r="AA71" s="900"/>
      <c r="AB71" s="900"/>
      <c r="AC71" s="900"/>
      <c r="AD71" s="441">
        <v>24</v>
      </c>
      <c r="AE71" s="440" t="s">
        <v>178</v>
      </c>
      <c r="AF71" s="3609"/>
      <c r="AG71" s="900"/>
      <c r="AH71" s="381">
        <v>20</v>
      </c>
    </row>
    <row r="72" spans="1:34" ht="15.75" customHeight="1">
      <c r="A72" s="833"/>
      <c r="B72" s="356"/>
      <c r="C72" s="439">
        <v>0</v>
      </c>
      <c r="D72" s="163" t="s">
        <v>82</v>
      </c>
      <c r="E72" s="913"/>
      <c r="F72" s="913"/>
      <c r="G72" s="913"/>
      <c r="H72" s="913"/>
      <c r="I72" s="913"/>
      <c r="J72" s="438">
        <f>MAX(C72:C101)</f>
        <v>2</v>
      </c>
      <c r="K72" s="163" t="s">
        <v>82</v>
      </c>
      <c r="L72" s="913"/>
      <c r="M72" s="913"/>
      <c r="N72" s="913"/>
      <c r="O72" s="913"/>
      <c r="P72" s="913"/>
      <c r="Q72" s="912"/>
      <c r="R72" s="356"/>
      <c r="S72" s="900"/>
      <c r="T72" s="900"/>
      <c r="U72" s="900"/>
      <c r="V72" s="900"/>
      <c r="W72" s="900"/>
      <c r="X72" s="900"/>
      <c r="Y72" s="900"/>
      <c r="Z72" s="900"/>
      <c r="AA72" s="900"/>
      <c r="AB72" s="900"/>
      <c r="AC72" s="900"/>
      <c r="AD72" s="3610" t="s">
        <v>177</v>
      </c>
      <c r="AE72" s="3611"/>
      <c r="AF72" s="3612"/>
      <c r="AG72" s="900"/>
      <c r="AH72" s="381">
        <v>15.75</v>
      </c>
    </row>
    <row r="73" spans="1:34" ht="15.75" customHeight="1">
      <c r="A73" s="834"/>
      <c r="B73" s="356"/>
      <c r="C73" s="247" t="str">
        <f>IF(ISBLANK(D73),"",LARGE(C72:C72,1)+1)</f>
        <v/>
      </c>
      <c r="D73" s="395"/>
      <c r="E73" s="395"/>
      <c r="F73" s="395"/>
      <c r="G73" s="395"/>
      <c r="H73" s="395"/>
      <c r="I73" s="395"/>
      <c r="J73" s="166" t="str">
        <f>IF(ISBLANK(K73),"",LARGE(J72:J72,1)+1)</f>
        <v/>
      </c>
      <c r="K73" s="395"/>
      <c r="L73" s="395"/>
      <c r="M73" s="435"/>
      <c r="N73" s="435"/>
      <c r="O73" s="435"/>
      <c r="P73" s="435"/>
      <c r="Q73" s="434"/>
      <c r="R73" s="356"/>
      <c r="S73" s="900"/>
      <c r="T73" s="900"/>
      <c r="U73" s="900"/>
      <c r="V73" s="900"/>
      <c r="W73" s="900"/>
      <c r="X73" s="900"/>
      <c r="Y73" s="900"/>
      <c r="Z73" s="900"/>
      <c r="AA73" s="900"/>
      <c r="AB73" s="900"/>
      <c r="AC73" s="900"/>
      <c r="AD73" s="3610"/>
      <c r="AE73" s="3611"/>
      <c r="AF73" s="3612"/>
      <c r="AG73" s="900"/>
      <c r="AH73" s="381">
        <v>15.75</v>
      </c>
    </row>
    <row r="74" spans="1:34" ht="15.75" customHeight="1">
      <c r="A74" s="356"/>
      <c r="B74" s="356"/>
      <c r="C74" s="247" t="str">
        <f>IF(ISBLANK(D74),"",LARGE(C72:C73,1)+1)</f>
        <v/>
      </c>
      <c r="D74" s="395"/>
      <c r="E74" s="395"/>
      <c r="F74" s="395"/>
      <c r="G74" s="395"/>
      <c r="H74" s="395"/>
      <c r="I74" s="395"/>
      <c r="J74" s="166" t="str">
        <f>IF(ISBLANK(K74),"",LARGE(J72:J73,1)+1)</f>
        <v/>
      </c>
      <c r="K74" s="395"/>
      <c r="L74" s="395"/>
      <c r="M74" s="395"/>
      <c r="N74" s="395"/>
      <c r="O74" s="395"/>
      <c r="P74" s="395"/>
      <c r="Q74" s="407"/>
      <c r="R74" s="356"/>
      <c r="S74" s="900"/>
      <c r="T74" s="900"/>
      <c r="U74" s="900"/>
      <c r="V74" s="900"/>
      <c r="W74" s="900"/>
      <c r="X74" s="900"/>
      <c r="Y74" s="900"/>
      <c r="Z74" s="900"/>
      <c r="AA74" s="900"/>
      <c r="AB74" s="900"/>
      <c r="AC74" s="900"/>
      <c r="AD74" s="3610"/>
      <c r="AE74" s="3611"/>
      <c r="AF74" s="3612"/>
      <c r="AG74" s="900"/>
      <c r="AH74" s="381">
        <v>15.75</v>
      </c>
    </row>
    <row r="75" spans="1:34" ht="15.75" customHeight="1">
      <c r="A75" s="356"/>
      <c r="B75" s="356"/>
      <c r="C75" s="247">
        <f>IF(ISBLANK(D75),"",LARGE(C72:C74,1)+1)</f>
        <v>1</v>
      </c>
      <c r="D75" s="395" t="s">
        <v>84</v>
      </c>
      <c r="E75" s="395"/>
      <c r="F75" s="395"/>
      <c r="G75" s="395"/>
      <c r="H75" s="395"/>
      <c r="I75" s="395"/>
      <c r="J75" s="166" t="str">
        <f>IF(ISBLANK(K75),"",LARGE(J72:J74,1)+1)</f>
        <v/>
      </c>
      <c r="K75" s="395"/>
      <c r="L75" s="395"/>
      <c r="M75" s="395"/>
      <c r="N75" s="395"/>
      <c r="O75" s="395"/>
      <c r="P75" s="395"/>
      <c r="Q75" s="407"/>
      <c r="R75" s="356"/>
      <c r="S75" s="900"/>
      <c r="T75" s="900"/>
      <c r="U75" s="900"/>
      <c r="V75" s="900"/>
      <c r="W75" s="900"/>
      <c r="X75" s="900"/>
      <c r="Y75" s="900"/>
      <c r="Z75" s="900"/>
      <c r="AA75" s="900"/>
      <c r="AB75" s="900"/>
      <c r="AC75" s="900"/>
      <c r="AD75" s="3613" t="s">
        <v>176</v>
      </c>
      <c r="AE75" s="3614"/>
      <c r="AF75" s="3615"/>
      <c r="AG75" s="900"/>
      <c r="AH75" s="381">
        <v>15.75</v>
      </c>
    </row>
    <row r="76" spans="1:34" ht="15.75" customHeight="1">
      <c r="A76" s="356"/>
      <c r="B76" s="356"/>
      <c r="C76" s="247">
        <f>IF(ISBLANK(D76),"",LARGE(C72:C75,1)+1)</f>
        <v>2</v>
      </c>
      <c r="D76" s="395" t="s">
        <v>85</v>
      </c>
      <c r="E76" s="395"/>
      <c r="F76" s="395"/>
      <c r="G76" s="395"/>
      <c r="H76" s="395"/>
      <c r="I76" s="395"/>
      <c r="J76" s="166" t="str">
        <f>IF(ISBLANK(K76),"",LARGE(J72:J75,1)+1)</f>
        <v/>
      </c>
      <c r="K76" s="395"/>
      <c r="L76" s="395"/>
      <c r="M76" s="395"/>
      <c r="N76" s="395"/>
      <c r="O76" s="395"/>
      <c r="P76" s="395"/>
      <c r="Q76" s="407"/>
      <c r="R76" s="356"/>
      <c r="S76" s="900"/>
      <c r="T76" s="900"/>
      <c r="U76" s="900"/>
      <c r="V76" s="900"/>
      <c r="W76" s="900"/>
      <c r="X76" s="900"/>
      <c r="Y76" s="900"/>
      <c r="Z76" s="900"/>
      <c r="AA76" s="900"/>
      <c r="AB76" s="900"/>
      <c r="AC76" s="900"/>
      <c r="AD76" s="3613"/>
      <c r="AE76" s="3614"/>
      <c r="AF76" s="3615"/>
      <c r="AG76" s="900"/>
      <c r="AH76" s="381">
        <v>15.75</v>
      </c>
    </row>
    <row r="77" spans="1:34" ht="15.75" customHeight="1">
      <c r="A77" s="356"/>
      <c r="B77" s="356"/>
      <c r="C77" s="247" t="str">
        <f>IF(ISBLANK(D77),"",LARGE(C72:C76,1)+1)</f>
        <v/>
      </c>
      <c r="D77" s="395"/>
      <c r="E77" s="395" t="s">
        <v>86</v>
      </c>
      <c r="F77" s="395"/>
      <c r="G77" s="395"/>
      <c r="H77" s="395"/>
      <c r="I77" s="395"/>
      <c r="J77" s="166" t="str">
        <f>IF(ISBLANK(K77),"",LARGE(J72:J76,1)+1)</f>
        <v/>
      </c>
      <c r="K77" s="395"/>
      <c r="L77" s="395"/>
      <c r="M77" s="395"/>
      <c r="N77" s="395"/>
      <c r="O77" s="395"/>
      <c r="P77" s="395"/>
      <c r="Q77" s="407"/>
      <c r="R77" s="356"/>
      <c r="S77" s="900"/>
      <c r="T77" s="900"/>
      <c r="U77" s="900"/>
      <c r="V77" s="900"/>
      <c r="W77" s="900"/>
      <c r="X77" s="900"/>
      <c r="Y77" s="900"/>
      <c r="Z77" s="900"/>
      <c r="AA77" s="900"/>
      <c r="AB77" s="900"/>
      <c r="AC77" s="900"/>
      <c r="AD77" s="3613"/>
      <c r="AE77" s="3614"/>
      <c r="AF77" s="3615"/>
      <c r="AG77" s="900"/>
      <c r="AH77" s="381">
        <v>15.75</v>
      </c>
    </row>
    <row r="78" spans="1:34" ht="15.75" customHeight="1">
      <c r="A78" s="356"/>
      <c r="B78" s="356"/>
      <c r="C78" s="247" t="str">
        <f>IF(ISBLANK(D78),"",LARGE(C72:C77,1)+1)</f>
        <v/>
      </c>
      <c r="D78" s="395"/>
      <c r="E78" s="395"/>
      <c r="F78" s="395"/>
      <c r="G78" s="395"/>
      <c r="H78" s="395"/>
      <c r="I78" s="395"/>
      <c r="J78" s="166" t="str">
        <f>IF(ISBLANK(K78),"",LARGE(J72:J77,1)+1)</f>
        <v/>
      </c>
      <c r="K78" s="395"/>
      <c r="L78" s="395"/>
      <c r="M78" s="395"/>
      <c r="N78" s="395"/>
      <c r="O78" s="395"/>
      <c r="P78" s="395"/>
      <c r="Q78" s="407"/>
      <c r="R78" s="356"/>
      <c r="S78" s="900"/>
      <c r="T78" s="900"/>
      <c r="U78" s="900"/>
      <c r="V78" s="900"/>
      <c r="W78" s="900"/>
      <c r="X78" s="900"/>
      <c r="Y78" s="900"/>
      <c r="Z78" s="900"/>
      <c r="AA78" s="900"/>
      <c r="AB78" s="900"/>
      <c r="AC78" s="900"/>
      <c r="AD78" s="433"/>
      <c r="AE78" s="432" t="s">
        <v>98</v>
      </c>
      <c r="AF78" s="911" t="str">
        <f>ADDRESS(ROW(K9),COLUMN(K9),4)</f>
        <v>K9</v>
      </c>
      <c r="AG78" s="900"/>
      <c r="AH78" s="381">
        <v>15.75</v>
      </c>
    </row>
    <row r="79" spans="1:34" ht="15.75" customHeight="1">
      <c r="A79" s="356"/>
      <c r="B79" s="356"/>
      <c r="C79" s="247" t="str">
        <f>IF(ISBLANK(D79),"",LARGE(C72:C78,1)+1)</f>
        <v/>
      </c>
      <c r="D79" s="395"/>
      <c r="E79" s="395"/>
      <c r="F79" s="395"/>
      <c r="G79" s="395"/>
      <c r="H79" s="395"/>
      <c r="I79" s="395"/>
      <c r="J79" s="166" t="str">
        <f>IF(ISBLANK(K79),"",LARGE(J72:J78,1)+1)</f>
        <v/>
      </c>
      <c r="K79" s="395"/>
      <c r="L79" s="395"/>
      <c r="M79" s="395"/>
      <c r="N79" s="395"/>
      <c r="O79" s="395"/>
      <c r="P79" s="395"/>
      <c r="Q79" s="407"/>
      <c r="R79" s="356"/>
      <c r="S79" s="900"/>
      <c r="T79" s="900"/>
      <c r="U79" s="900"/>
      <c r="V79" s="900"/>
      <c r="W79" s="900"/>
      <c r="X79" s="900"/>
      <c r="Y79" s="900"/>
      <c r="Z79" s="900"/>
      <c r="AA79" s="900"/>
      <c r="AB79" s="900"/>
      <c r="AC79" s="900"/>
      <c r="AD79" s="428" t="s">
        <v>175</v>
      </c>
      <c r="AE79" s="430"/>
      <c r="AF79" s="429"/>
      <c r="AG79" s="900"/>
      <c r="AH79" s="381">
        <v>15.75</v>
      </c>
    </row>
    <row r="80" spans="1:34" ht="15.75" customHeight="1">
      <c r="A80" s="356"/>
      <c r="B80" s="356"/>
      <c r="C80" s="247" t="str">
        <f>IF(ISBLANK(D80),"",LARGE(C72:C79,1)+1)</f>
        <v/>
      </c>
      <c r="D80" s="395"/>
      <c r="E80" s="395"/>
      <c r="F80" s="395"/>
      <c r="G80" s="395"/>
      <c r="H80" s="395"/>
      <c r="I80" s="395"/>
      <c r="J80" s="166">
        <f>IF(ISBLANK(K80),"",LARGE(J72:J79,1)+1)</f>
        <v>3</v>
      </c>
      <c r="K80" s="395" t="s">
        <v>84</v>
      </c>
      <c r="L80" s="395"/>
      <c r="M80" s="395"/>
      <c r="N80" s="395"/>
      <c r="O80" s="395"/>
      <c r="P80" s="395"/>
      <c r="Q80" s="407"/>
      <c r="R80" s="356"/>
      <c r="S80" s="900"/>
      <c r="T80" s="900"/>
      <c r="U80" s="900"/>
      <c r="V80" s="900"/>
      <c r="W80" s="900"/>
      <c r="X80" s="900"/>
      <c r="Y80" s="900"/>
      <c r="Z80" s="900"/>
      <c r="AA80" s="900"/>
      <c r="AB80" s="900"/>
      <c r="AC80" s="900"/>
      <c r="AD80" s="428"/>
      <c r="AE80" s="427" t="s">
        <v>174</v>
      </c>
      <c r="AF80" s="426" t="str">
        <f>LEFT(ADDRESS(1,COLUMN(M12),4),LEN(ADDRESS(1,COLUMN(M12),4))-1)</f>
        <v>M</v>
      </c>
      <c r="AG80" s="900"/>
      <c r="AH80" s="381">
        <v>15.75</v>
      </c>
    </row>
    <row r="81" spans="1:34" ht="15.75" customHeight="1">
      <c r="A81" s="834"/>
      <c r="B81" s="356"/>
      <c r="C81" s="247" t="str">
        <f>IF(ISBLANK(D81),"",LARGE(C72:C80,1)+1)</f>
        <v/>
      </c>
      <c r="D81" s="395"/>
      <c r="E81" s="395"/>
      <c r="F81" s="395"/>
      <c r="G81" s="395"/>
      <c r="H81" s="395"/>
      <c r="I81" s="395"/>
      <c r="J81" s="166">
        <f>IF(ISBLANK(K81),"",LARGE(J72:J80,1)+1)</f>
        <v>4</v>
      </c>
      <c r="K81" s="395" t="s">
        <v>85</v>
      </c>
      <c r="L81" s="395"/>
      <c r="M81" s="395"/>
      <c r="N81" s="395"/>
      <c r="O81" s="395"/>
      <c r="P81" s="395"/>
      <c r="Q81" s="407"/>
      <c r="R81" s="356"/>
      <c r="S81" s="900"/>
      <c r="T81" s="900"/>
      <c r="U81" s="900"/>
      <c r="V81" s="900"/>
      <c r="W81" s="900"/>
      <c r="X81" s="900"/>
      <c r="Y81" s="900"/>
      <c r="Z81" s="900"/>
      <c r="AA81" s="900"/>
      <c r="AB81" s="900"/>
      <c r="AC81" s="900"/>
      <c r="AD81" s="3616" t="s">
        <v>99</v>
      </c>
      <c r="AE81" s="3617"/>
      <c r="AF81" s="3618"/>
      <c r="AG81" s="900"/>
      <c r="AH81" s="381">
        <v>15.75</v>
      </c>
    </row>
    <row r="82" spans="1:34" ht="15.75" customHeight="1">
      <c r="A82" s="834"/>
      <c r="B82" s="356"/>
      <c r="C82" s="247" t="str">
        <f>IF(ISBLANK(D82),"",LARGE(C72:C81,1)+1)</f>
        <v/>
      </c>
      <c r="D82" s="395"/>
      <c r="E82" s="395"/>
      <c r="F82" s="395"/>
      <c r="G82" s="395"/>
      <c r="H82" s="395"/>
      <c r="I82" s="395"/>
      <c r="J82" s="166" t="str">
        <f>IF(ISBLANK(K82),"",LARGE(J72:J81,1)+1)</f>
        <v/>
      </c>
      <c r="K82" s="395"/>
      <c r="L82" s="395" t="s">
        <v>86</v>
      </c>
      <c r="M82" s="395"/>
      <c r="N82" s="395"/>
      <c r="O82" s="395"/>
      <c r="P82" s="395"/>
      <c r="Q82" s="407"/>
      <c r="R82" s="356"/>
      <c r="S82" s="900"/>
      <c r="T82" s="900"/>
      <c r="U82" s="900"/>
      <c r="V82" s="900"/>
      <c r="W82" s="900"/>
      <c r="X82" s="900"/>
      <c r="Y82" s="900"/>
      <c r="Z82" s="900"/>
      <c r="AA82" s="900"/>
      <c r="AB82" s="900"/>
      <c r="AC82" s="900"/>
      <c r="AD82" s="3616"/>
      <c r="AE82" s="3617"/>
      <c r="AF82" s="3618"/>
      <c r="AG82" s="900"/>
      <c r="AH82" s="381">
        <v>15.75</v>
      </c>
    </row>
    <row r="83" spans="1:34" ht="15.75" customHeight="1">
      <c r="A83" s="834"/>
      <c r="B83" s="356"/>
      <c r="C83" s="247" t="str">
        <f>IF(ISBLANK(D83),"",LARGE(C72:C82,1)+1)</f>
        <v/>
      </c>
      <c r="D83" s="395"/>
      <c r="E83" s="395"/>
      <c r="F83" s="395"/>
      <c r="G83" s="395"/>
      <c r="H83" s="395"/>
      <c r="I83" s="395"/>
      <c r="J83" s="166" t="str">
        <f>IF(ISBLANK(K83),"",LARGE(J72:J82,1)+1)</f>
        <v/>
      </c>
      <c r="K83" s="395"/>
      <c r="L83" s="395"/>
      <c r="M83" s="395"/>
      <c r="N83" s="395"/>
      <c r="O83" s="395"/>
      <c r="P83" s="395"/>
      <c r="Q83" s="407"/>
      <c r="R83" s="356"/>
      <c r="S83" s="900"/>
      <c r="T83" s="900"/>
      <c r="U83" s="900"/>
      <c r="V83" s="900"/>
      <c r="W83" s="900"/>
      <c r="X83" s="900"/>
      <c r="Y83" s="900"/>
      <c r="Z83" s="900"/>
      <c r="AA83" s="900"/>
      <c r="AB83" s="900"/>
      <c r="AC83" s="900"/>
      <c r="AD83" s="3616"/>
      <c r="AE83" s="3617"/>
      <c r="AF83" s="3618"/>
      <c r="AG83" s="900"/>
      <c r="AH83" s="381">
        <v>15.75</v>
      </c>
    </row>
    <row r="84" spans="1:34" ht="15.75" customHeight="1">
      <c r="A84" s="834"/>
      <c r="B84" s="356"/>
      <c r="C84" s="247" t="str">
        <f>IF(ISBLANK(D84),"",LARGE(C72:C83,1)+1)</f>
        <v/>
      </c>
      <c r="D84" s="395"/>
      <c r="E84" s="395"/>
      <c r="F84" s="395"/>
      <c r="G84" s="395"/>
      <c r="H84" s="395"/>
      <c r="I84" s="395"/>
      <c r="J84" s="166" t="str">
        <f>IF(ISBLANK(K84),"",LARGE(J72:J83,1)+1)</f>
        <v/>
      </c>
      <c r="K84" s="395"/>
      <c r="L84" s="395"/>
      <c r="M84" s="395"/>
      <c r="N84" s="395"/>
      <c r="O84" s="395"/>
      <c r="P84" s="395"/>
      <c r="Q84" s="407"/>
      <c r="R84" s="356"/>
      <c r="S84" s="900"/>
      <c r="T84" s="900"/>
      <c r="U84" s="900"/>
      <c r="V84" s="900"/>
      <c r="W84" s="900"/>
      <c r="X84" s="900"/>
      <c r="Y84" s="900"/>
      <c r="Z84" s="900"/>
      <c r="AA84" s="900"/>
      <c r="AB84" s="900"/>
      <c r="AC84" s="900"/>
      <c r="AD84" s="424" t="s">
        <v>173</v>
      </c>
      <c r="AE84" s="412"/>
      <c r="AF84" s="411"/>
      <c r="AG84" s="900"/>
      <c r="AH84" s="381">
        <v>15.75</v>
      </c>
    </row>
    <row r="85" spans="1:34" ht="15.75" customHeight="1">
      <c r="A85" s="834"/>
      <c r="B85" s="356"/>
      <c r="C85" s="247" t="str">
        <f>IF(ISBLANK(D85),"",LARGE(C72:C84,1)+1)</f>
        <v/>
      </c>
      <c r="D85" s="395"/>
      <c r="E85" s="395"/>
      <c r="F85" s="395"/>
      <c r="G85" s="395"/>
      <c r="H85" s="395"/>
      <c r="I85" s="395"/>
      <c r="J85" s="166" t="str">
        <f>IF(ISBLANK(K85),"",LARGE(J72:J84,1)+1)</f>
        <v/>
      </c>
      <c r="K85" s="395"/>
      <c r="L85" s="395"/>
      <c r="M85" s="395"/>
      <c r="N85" s="395"/>
      <c r="O85" s="395"/>
      <c r="P85" s="395"/>
      <c r="Q85" s="407"/>
      <c r="R85" s="356"/>
      <c r="S85" s="900"/>
      <c r="T85" s="900"/>
      <c r="U85" s="900"/>
      <c r="V85" s="900"/>
      <c r="W85" s="900"/>
      <c r="X85" s="900"/>
      <c r="Y85" s="900"/>
      <c r="Z85" s="900"/>
      <c r="AA85" s="900"/>
      <c r="AB85" s="900"/>
      <c r="AC85" s="900"/>
      <c r="AD85" s="910"/>
      <c r="AE85" s="909"/>
      <c r="AF85" s="908"/>
      <c r="AG85" s="900"/>
      <c r="AH85" s="381">
        <v>15.75</v>
      </c>
    </row>
    <row r="86" spans="1:34" ht="15.75" customHeight="1">
      <c r="A86" s="834"/>
      <c r="B86" s="356"/>
      <c r="C86" s="247" t="str">
        <f>IF(ISBLANK(D86),"",LARGE(C72:C85,1)+1)</f>
        <v/>
      </c>
      <c r="D86" s="395"/>
      <c r="E86" s="395"/>
      <c r="F86" s="395"/>
      <c r="G86" s="395"/>
      <c r="H86" s="395"/>
      <c r="I86" s="395"/>
      <c r="J86" s="166" t="str">
        <f>IF(ISBLANK(K86),"",LARGE(J72:J85,1)+1)</f>
        <v/>
      </c>
      <c r="K86" s="395"/>
      <c r="L86" s="395"/>
      <c r="M86" s="395"/>
      <c r="N86" s="395"/>
      <c r="O86" s="395"/>
      <c r="P86" s="395"/>
      <c r="Q86" s="407"/>
      <c r="R86" s="356"/>
      <c r="S86" s="900"/>
      <c r="T86" s="900"/>
      <c r="U86" s="900"/>
      <c r="V86" s="900"/>
      <c r="W86" s="900"/>
      <c r="X86" s="900"/>
      <c r="Y86" s="900"/>
      <c r="Z86" s="900"/>
      <c r="AA86" s="900"/>
      <c r="AB86" s="900"/>
      <c r="AC86" s="900"/>
      <c r="AD86" s="3583" t="s">
        <v>171</v>
      </c>
      <c r="AE86" s="3584"/>
      <c r="AF86" s="3585"/>
      <c r="AG86" s="900"/>
      <c r="AH86" s="381">
        <v>15.75</v>
      </c>
    </row>
    <row r="87" spans="1:34" ht="15.75" customHeight="1">
      <c r="A87" s="834"/>
      <c r="B87" s="356"/>
      <c r="C87" s="247" t="str">
        <f>IF(ISBLANK(D87),"",LARGE(C72:C86,1)+1)</f>
        <v/>
      </c>
      <c r="D87" s="395"/>
      <c r="E87" s="395"/>
      <c r="F87" s="395"/>
      <c r="G87" s="395"/>
      <c r="H87" s="395"/>
      <c r="I87" s="395"/>
      <c r="J87" s="166" t="str">
        <f>IF(ISBLANK(K87),"",LARGE(J72:J86,1)+1)</f>
        <v/>
      </c>
      <c r="K87" s="395"/>
      <c r="L87" s="395"/>
      <c r="M87" s="395"/>
      <c r="N87" s="395"/>
      <c r="O87" s="395"/>
      <c r="P87" s="395"/>
      <c r="Q87" s="407"/>
      <c r="R87" s="356"/>
      <c r="S87" s="900"/>
      <c r="T87" s="900"/>
      <c r="U87" s="900"/>
      <c r="V87" s="900"/>
      <c r="W87" s="900"/>
      <c r="X87" s="900"/>
      <c r="Y87" s="900"/>
      <c r="Z87" s="900"/>
      <c r="AA87" s="900"/>
      <c r="AB87" s="900"/>
      <c r="AC87" s="900"/>
      <c r="AD87" s="3586"/>
      <c r="AE87" s="3587"/>
      <c r="AF87" s="3588"/>
      <c r="AG87" s="900"/>
      <c r="AH87" s="381">
        <v>15.75</v>
      </c>
    </row>
    <row r="88" spans="1:34" ht="15.75" customHeight="1" thickBot="1">
      <c r="A88" s="834"/>
      <c r="B88" s="356"/>
      <c r="C88" s="247" t="str">
        <f>IF(ISBLANK(D88),"",LARGE(C72:C87,1)+1)</f>
        <v/>
      </c>
      <c r="D88" s="395"/>
      <c r="E88" s="395"/>
      <c r="F88" s="395"/>
      <c r="G88" s="395"/>
      <c r="H88" s="395"/>
      <c r="I88" s="395"/>
      <c r="J88" s="166" t="str">
        <f>IF(ISBLANK(K88),"",LARGE(J72:J87,1)+1)</f>
        <v/>
      </c>
      <c r="K88" s="395"/>
      <c r="L88" s="395"/>
      <c r="M88" s="395"/>
      <c r="N88" s="395"/>
      <c r="O88" s="395"/>
      <c r="P88" s="395"/>
      <c r="Q88" s="407"/>
      <c r="R88" s="356"/>
      <c r="S88" s="900"/>
      <c r="T88" s="900"/>
      <c r="U88" s="900"/>
      <c r="V88" s="900"/>
      <c r="W88" s="900"/>
      <c r="X88" s="900"/>
      <c r="Y88" s="900"/>
      <c r="Z88" s="900"/>
      <c r="AA88" s="900"/>
      <c r="AB88" s="900"/>
      <c r="AC88" s="900"/>
      <c r="AD88" s="907">
        <f ca="1">CELL("largeur",AD88)</f>
        <v>13</v>
      </c>
      <c r="AE88" s="906">
        <f ca="1">CELL("largeur",AE88)</f>
        <v>13</v>
      </c>
      <c r="AF88" s="905">
        <f ca="1">CELL("largeur",AF88)</f>
        <v>13</v>
      </c>
      <c r="AG88" s="900"/>
      <c r="AH88" s="381">
        <v>15.75</v>
      </c>
    </row>
    <row r="89" spans="1:34" ht="15.75" customHeight="1">
      <c r="A89" s="834"/>
      <c r="B89" s="356"/>
      <c r="C89" s="247" t="str">
        <f>IF(ISBLANK(D89),"",LARGE(C72:C88,1)+1)</f>
        <v/>
      </c>
      <c r="D89" s="395"/>
      <c r="E89" s="395"/>
      <c r="F89" s="395"/>
      <c r="G89" s="395"/>
      <c r="H89" s="395"/>
      <c r="I89" s="395"/>
      <c r="J89" s="166" t="str">
        <f>IF(ISBLANK(K89),"",LARGE(J72:J88,1)+1)</f>
        <v/>
      </c>
      <c r="K89" s="395"/>
      <c r="L89" s="395"/>
      <c r="M89" s="395"/>
      <c r="N89" s="395"/>
      <c r="O89" s="395"/>
      <c r="P89" s="395"/>
      <c r="Q89" s="407"/>
      <c r="R89" s="356"/>
      <c r="S89" s="900"/>
      <c r="T89" s="900"/>
      <c r="U89" s="900"/>
      <c r="V89" s="900"/>
      <c r="W89" s="900"/>
      <c r="X89" s="900"/>
      <c r="Y89" s="900"/>
      <c r="Z89" s="900"/>
      <c r="AA89" s="900"/>
      <c r="AB89" s="900"/>
      <c r="AC89" s="900"/>
      <c r="AD89" s="900"/>
      <c r="AE89" s="900"/>
      <c r="AF89" s="900"/>
      <c r="AG89" s="900"/>
      <c r="AH89" s="381">
        <v>15.75</v>
      </c>
    </row>
    <row r="90" spans="1:34" ht="15.75" customHeight="1">
      <c r="A90" s="833"/>
      <c r="B90" s="356"/>
      <c r="C90" s="247" t="str">
        <f>IF(ISBLANK(D90),"",LARGE(C72:C89,1)+1)</f>
        <v/>
      </c>
      <c r="D90" s="395"/>
      <c r="E90" s="395"/>
      <c r="F90" s="395"/>
      <c r="G90" s="395"/>
      <c r="H90" s="395"/>
      <c r="I90" s="395"/>
      <c r="J90" s="166" t="str">
        <f>IF(ISBLANK(K90),"",LARGE(J72:J89,1)+1)</f>
        <v/>
      </c>
      <c r="K90" s="395"/>
      <c r="L90" s="395"/>
      <c r="M90" s="395"/>
      <c r="N90" s="395"/>
      <c r="O90" s="395"/>
      <c r="P90" s="395"/>
      <c r="Q90" s="407"/>
      <c r="R90" s="356"/>
      <c r="S90" s="900"/>
      <c r="T90" s="900"/>
      <c r="U90" s="900"/>
      <c r="V90" s="900"/>
      <c r="W90" s="900"/>
      <c r="X90" s="900"/>
      <c r="Y90" s="900"/>
      <c r="Z90" s="900"/>
      <c r="AA90" s="900"/>
      <c r="AB90" s="900"/>
      <c r="AC90" s="900"/>
      <c r="AD90" s="900"/>
      <c r="AE90" s="900"/>
      <c r="AF90" s="900"/>
      <c r="AG90" s="900"/>
      <c r="AH90" s="381">
        <v>15.75</v>
      </c>
    </row>
    <row r="91" spans="1:34" ht="15.75" customHeight="1">
      <c r="A91" s="833"/>
      <c r="B91" s="356"/>
      <c r="C91" s="247" t="str">
        <f>IF(ISBLANK(D91),"",LARGE(C72:C90,1)+1)</f>
        <v/>
      </c>
      <c r="D91" s="395"/>
      <c r="E91" s="395"/>
      <c r="F91" s="395"/>
      <c r="G91" s="395"/>
      <c r="H91" s="395"/>
      <c r="I91" s="395"/>
      <c r="J91" s="166" t="str">
        <f>IF(ISBLANK(K91),"",LARGE(J72:J90,1)+1)</f>
        <v/>
      </c>
      <c r="K91" s="395"/>
      <c r="L91" s="395"/>
      <c r="M91" s="395"/>
      <c r="N91" s="395"/>
      <c r="O91" s="395"/>
      <c r="P91" s="395"/>
      <c r="Q91" s="407"/>
      <c r="R91" s="356"/>
      <c r="S91" s="900"/>
      <c r="T91" s="900"/>
      <c r="U91" s="900"/>
      <c r="V91" s="900"/>
      <c r="W91" s="900"/>
      <c r="X91" s="900"/>
      <c r="Y91" s="900"/>
      <c r="Z91" s="900"/>
      <c r="AA91" s="900"/>
      <c r="AB91" s="900"/>
      <c r="AC91" s="900"/>
      <c r="AD91" s="900"/>
      <c r="AE91" s="900"/>
      <c r="AF91" s="900"/>
      <c r="AG91" s="900"/>
      <c r="AH91" s="381">
        <v>15.75</v>
      </c>
    </row>
    <row r="92" spans="1:34" ht="15.75" customHeight="1">
      <c r="A92" s="833"/>
      <c r="B92" s="356"/>
      <c r="C92" s="247" t="str">
        <f>IF(ISBLANK(D92),"",LARGE(C72:C91,1)+1)</f>
        <v/>
      </c>
      <c r="D92" s="395"/>
      <c r="E92" s="395"/>
      <c r="F92" s="395"/>
      <c r="G92" s="395"/>
      <c r="H92" s="395"/>
      <c r="I92" s="395"/>
      <c r="J92" s="166" t="str">
        <f>IF(ISBLANK(K92),"",LARGE(J72:J91,1)+1)</f>
        <v/>
      </c>
      <c r="K92" s="395"/>
      <c r="L92" s="395"/>
      <c r="M92" s="395"/>
      <c r="N92" s="395"/>
      <c r="O92" s="395"/>
      <c r="P92" s="395"/>
      <c r="Q92" s="407"/>
      <c r="R92" s="356"/>
      <c r="S92" s="900"/>
      <c r="T92" s="900"/>
      <c r="U92" s="900"/>
      <c r="V92" s="900"/>
      <c r="W92" s="900"/>
      <c r="X92" s="900"/>
      <c r="Y92" s="900"/>
      <c r="Z92" s="900"/>
      <c r="AA92" s="900"/>
      <c r="AB92" s="900"/>
      <c r="AC92" s="900"/>
      <c r="AD92" s="900"/>
      <c r="AE92" s="900"/>
      <c r="AF92" s="900"/>
      <c r="AG92" s="900"/>
      <c r="AH92" s="381">
        <v>15.75</v>
      </c>
    </row>
    <row r="93" spans="1:34" ht="15.75" customHeight="1">
      <c r="A93" s="833"/>
      <c r="B93" s="356"/>
      <c r="C93" s="247" t="str">
        <f>IF(ISBLANK(D93),"",LARGE(C72:C92,1)+1)</f>
        <v/>
      </c>
      <c r="D93" s="395"/>
      <c r="E93" s="395"/>
      <c r="F93" s="395"/>
      <c r="G93" s="395"/>
      <c r="H93" s="395"/>
      <c r="I93" s="395"/>
      <c r="J93" s="166" t="str">
        <f>IF(ISBLANK(K93),"",LARGE(J72:J92,1)+1)</f>
        <v/>
      </c>
      <c r="K93" s="395"/>
      <c r="L93" s="395"/>
      <c r="M93" s="395"/>
      <c r="N93" s="395"/>
      <c r="O93" s="395"/>
      <c r="P93" s="395"/>
      <c r="Q93" s="407"/>
      <c r="R93" s="356"/>
      <c r="S93" s="900"/>
      <c r="T93" s="900"/>
      <c r="U93" s="900"/>
      <c r="V93" s="900"/>
      <c r="W93" s="900"/>
      <c r="X93" s="900"/>
      <c r="Y93" s="900"/>
      <c r="Z93" s="900"/>
      <c r="AA93" s="900"/>
      <c r="AB93" s="900"/>
      <c r="AC93" s="900"/>
      <c r="AD93" s="900"/>
      <c r="AE93" s="900"/>
      <c r="AF93" s="900"/>
      <c r="AG93" s="900"/>
      <c r="AH93" s="381">
        <v>15.75</v>
      </c>
    </row>
    <row r="94" spans="1:34" ht="15.75" customHeight="1">
      <c r="A94" s="833"/>
      <c r="B94" s="356"/>
      <c r="C94" s="247" t="str">
        <f>IF(ISBLANK(D94),"",LARGE(C72:C93,1)+1)</f>
        <v/>
      </c>
      <c r="D94" s="395"/>
      <c r="E94" s="395"/>
      <c r="F94" s="395"/>
      <c r="G94" s="395"/>
      <c r="H94" s="395"/>
      <c r="I94" s="395"/>
      <c r="J94" s="166" t="str">
        <f>IF(ISBLANK(K94),"",LARGE(J72:J93,1)+1)</f>
        <v/>
      </c>
      <c r="K94" s="395"/>
      <c r="L94" s="395"/>
      <c r="M94" s="395"/>
      <c r="N94" s="395"/>
      <c r="O94" s="395"/>
      <c r="P94" s="395"/>
      <c r="Q94" s="407"/>
      <c r="R94" s="356"/>
      <c r="S94" s="900"/>
      <c r="T94" s="900"/>
      <c r="U94" s="900"/>
      <c r="V94" s="900"/>
      <c r="W94" s="900"/>
      <c r="X94" s="900"/>
      <c r="Y94" s="900"/>
      <c r="Z94" s="900"/>
      <c r="AA94" s="900"/>
      <c r="AB94" s="900"/>
      <c r="AC94" s="900"/>
      <c r="AD94" s="900"/>
      <c r="AE94" s="900"/>
      <c r="AF94" s="900"/>
      <c r="AG94" s="900"/>
      <c r="AH94" s="381">
        <v>15.75</v>
      </c>
    </row>
    <row r="95" spans="1:34" ht="15.75" customHeight="1">
      <c r="A95" s="833"/>
      <c r="B95" s="356"/>
      <c r="C95" s="247" t="str">
        <f>IF(ISBLANK(D95),"",LARGE(C72:C94,1)+1)</f>
        <v/>
      </c>
      <c r="D95" s="395"/>
      <c r="E95" s="395"/>
      <c r="F95" s="395"/>
      <c r="G95" s="395"/>
      <c r="H95" s="395"/>
      <c r="I95" s="395"/>
      <c r="J95" s="166" t="str">
        <f>IF(ISBLANK(K95),"",LARGE(J72:J94,1)+1)</f>
        <v/>
      </c>
      <c r="K95" s="395"/>
      <c r="L95" s="395"/>
      <c r="M95" s="395"/>
      <c r="N95" s="395"/>
      <c r="O95" s="395"/>
      <c r="P95" s="395"/>
      <c r="Q95" s="407"/>
      <c r="R95" s="356"/>
      <c r="S95" s="900"/>
      <c r="T95" s="900"/>
      <c r="U95" s="900"/>
      <c r="V95" s="900"/>
      <c r="W95" s="900"/>
      <c r="X95" s="900"/>
      <c r="Y95" s="900"/>
      <c r="Z95" s="900"/>
      <c r="AA95" s="900"/>
      <c r="AB95" s="900"/>
      <c r="AC95" s="900"/>
      <c r="AD95" s="900"/>
      <c r="AE95" s="900"/>
      <c r="AF95" s="900"/>
      <c r="AG95" s="900"/>
      <c r="AH95" s="381">
        <v>15.75</v>
      </c>
    </row>
    <row r="96" spans="1:34" ht="15.75" customHeight="1">
      <c r="A96" s="833"/>
      <c r="B96" s="356"/>
      <c r="C96" s="247" t="str">
        <f>IF(ISBLANK(D96),"",LARGE(C72:C95,1)+1)</f>
        <v/>
      </c>
      <c r="D96" s="395"/>
      <c r="E96" s="395"/>
      <c r="F96" s="395"/>
      <c r="G96" s="395"/>
      <c r="H96" s="395"/>
      <c r="I96" s="395"/>
      <c r="J96" s="166" t="str">
        <f>IF(ISBLANK(K96),"",LARGE(J72:J95,1)+1)</f>
        <v/>
      </c>
      <c r="K96" s="395"/>
      <c r="L96" s="395"/>
      <c r="M96" s="395"/>
      <c r="N96" s="395"/>
      <c r="O96" s="395"/>
      <c r="P96" s="395"/>
      <c r="Q96" s="407"/>
      <c r="R96" s="356"/>
      <c r="S96" s="900"/>
      <c r="T96" s="900"/>
      <c r="U96" s="900"/>
      <c r="V96" s="900"/>
      <c r="W96" s="900"/>
      <c r="X96" s="900"/>
      <c r="Y96" s="900"/>
      <c r="Z96" s="900"/>
      <c r="AA96" s="900"/>
      <c r="AB96" s="900"/>
      <c r="AC96" s="900"/>
      <c r="AD96" s="900"/>
      <c r="AE96" s="900"/>
      <c r="AF96" s="900"/>
      <c r="AG96" s="900"/>
      <c r="AH96" s="381">
        <v>15.75</v>
      </c>
    </row>
    <row r="97" spans="1:34" ht="15.75" customHeight="1">
      <c r="A97" s="833"/>
      <c r="B97" s="356"/>
      <c r="C97" s="247" t="str">
        <f>IF(ISBLANK(D97),"",LARGE(C72:C96,1)+1)</f>
        <v/>
      </c>
      <c r="D97" s="395"/>
      <c r="E97" s="395"/>
      <c r="F97" s="395"/>
      <c r="G97" s="395"/>
      <c r="H97" s="395"/>
      <c r="I97" s="395"/>
      <c r="J97" s="166" t="str">
        <f>IF(ISBLANK(K97),"",LARGE(J72:J96,1)+1)</f>
        <v/>
      </c>
      <c r="K97" s="395"/>
      <c r="L97" s="395"/>
      <c r="M97" s="395"/>
      <c r="N97" s="395"/>
      <c r="O97" s="395"/>
      <c r="P97" s="395"/>
      <c r="Q97" s="407"/>
      <c r="R97" s="356"/>
      <c r="S97" s="900"/>
      <c r="T97" s="900"/>
      <c r="U97" s="900"/>
      <c r="V97" s="900"/>
      <c r="W97" s="900"/>
      <c r="X97" s="900"/>
      <c r="Y97" s="900"/>
      <c r="Z97" s="900"/>
      <c r="AA97" s="900"/>
      <c r="AB97" s="900"/>
      <c r="AC97" s="900"/>
      <c r="AD97" s="900"/>
      <c r="AE97" s="900"/>
      <c r="AF97" s="900"/>
      <c r="AG97" s="900"/>
      <c r="AH97" s="381">
        <v>15.75</v>
      </c>
    </row>
    <row r="98" spans="1:34" ht="15.75" customHeight="1">
      <c r="A98" s="833"/>
      <c r="B98" s="356"/>
      <c r="C98" s="247" t="str">
        <f>IF(ISBLANK(D98),"",LARGE(C72:C97,1)+1)</f>
        <v/>
      </c>
      <c r="D98" s="395"/>
      <c r="E98" s="395"/>
      <c r="F98" s="395"/>
      <c r="G98" s="395"/>
      <c r="H98" s="395"/>
      <c r="I98" s="395"/>
      <c r="J98" s="166" t="str">
        <f>IF(ISBLANK(K98),"",LARGE(J72:J97,1)+1)</f>
        <v/>
      </c>
      <c r="K98" s="395"/>
      <c r="L98" s="395"/>
      <c r="M98" s="395"/>
      <c r="N98" s="395"/>
      <c r="O98" s="395"/>
      <c r="P98" s="395"/>
      <c r="Q98" s="407"/>
      <c r="R98" s="356"/>
      <c r="S98" s="900"/>
      <c r="T98" s="900"/>
      <c r="U98" s="900"/>
      <c r="V98" s="900"/>
      <c r="W98" s="900"/>
      <c r="X98" s="900"/>
      <c r="Y98" s="900"/>
      <c r="Z98" s="900"/>
      <c r="AA98" s="900"/>
      <c r="AB98" s="900"/>
      <c r="AC98" s="900"/>
      <c r="AD98" s="900"/>
      <c r="AE98" s="900"/>
      <c r="AF98" s="900"/>
      <c r="AG98" s="900"/>
      <c r="AH98" s="381">
        <v>15.75</v>
      </c>
    </row>
    <row r="99" spans="1:34" ht="15.75" customHeight="1">
      <c r="A99" s="900"/>
      <c r="B99" s="900"/>
      <c r="C99" s="247" t="str">
        <f>IF(ISBLANK(D99),"",LARGE(C72:C98,1)+1)</f>
        <v/>
      </c>
      <c r="D99" s="395"/>
      <c r="E99" s="395"/>
      <c r="F99" s="395"/>
      <c r="G99" s="395"/>
      <c r="H99" s="395"/>
      <c r="I99" s="395"/>
      <c r="J99" s="166" t="str">
        <f>IF(ISBLANK(K99),"",LARGE(J72:J98,1)+1)</f>
        <v/>
      </c>
      <c r="K99" s="395"/>
      <c r="L99" s="395"/>
      <c r="M99" s="395"/>
      <c r="N99" s="395"/>
      <c r="O99" s="395"/>
      <c r="P99" s="395"/>
      <c r="Q99" s="407"/>
      <c r="R99" s="376"/>
      <c r="S99" s="900"/>
      <c r="T99" s="900"/>
      <c r="U99" s="900"/>
      <c r="V99" s="900"/>
      <c r="W99" s="900"/>
      <c r="X99" s="900"/>
      <c r="Y99" s="900"/>
      <c r="Z99" s="900"/>
      <c r="AA99" s="900"/>
      <c r="AB99" s="900"/>
      <c r="AC99" s="900"/>
      <c r="AD99" s="900"/>
      <c r="AE99" s="900"/>
      <c r="AF99" s="900"/>
      <c r="AG99" s="900"/>
      <c r="AH99" s="381">
        <v>15.75</v>
      </c>
    </row>
    <row r="100" spans="1:34" ht="15.75" customHeight="1">
      <c r="A100" s="900"/>
      <c r="B100" s="900"/>
      <c r="C100" s="247" t="str">
        <f>IF(ISBLANK(D100),"",LARGE(C72:C99,1)+1)</f>
        <v/>
      </c>
      <c r="D100" s="395"/>
      <c r="E100" s="395"/>
      <c r="F100" s="395"/>
      <c r="G100" s="395"/>
      <c r="H100" s="395"/>
      <c r="I100" s="395"/>
      <c r="J100" s="166" t="str">
        <f>IF(ISBLANK(K100),"",LARGE(J72:J99,1)+1)</f>
        <v/>
      </c>
      <c r="K100" s="395"/>
      <c r="L100" s="395"/>
      <c r="M100" s="395"/>
      <c r="N100" s="395"/>
      <c r="O100" s="395"/>
      <c r="P100" s="395"/>
      <c r="Q100" s="407"/>
      <c r="R100" s="376"/>
      <c r="S100" s="900"/>
      <c r="T100" s="900"/>
      <c r="U100" s="900"/>
      <c r="V100" s="900"/>
      <c r="W100" s="900"/>
      <c r="X100" s="900"/>
      <c r="Y100" s="900"/>
      <c r="Z100" s="900"/>
      <c r="AA100" s="900"/>
      <c r="AB100" s="900"/>
      <c r="AC100" s="900"/>
      <c r="AD100" s="900"/>
      <c r="AE100" s="900"/>
      <c r="AF100" s="900"/>
      <c r="AG100" s="900"/>
      <c r="AH100" s="381">
        <v>15.75</v>
      </c>
    </row>
    <row r="101" spans="1:34" ht="15.75" customHeight="1">
      <c r="A101" s="900"/>
      <c r="B101" s="900"/>
      <c r="C101" s="247" t="str">
        <f>IF(ISBLANK(D101),"",LARGE(C72:C100,1)+1)</f>
        <v/>
      </c>
      <c r="D101" s="395"/>
      <c r="E101" s="395"/>
      <c r="F101" s="395"/>
      <c r="G101" s="395"/>
      <c r="H101" s="395"/>
      <c r="I101" s="395"/>
      <c r="J101" s="396" t="str">
        <f>IF(ISBLANK(K101),"",LARGE(J72:J100,1)+1)</f>
        <v/>
      </c>
      <c r="K101" s="395"/>
      <c r="L101" s="395"/>
      <c r="M101" s="395"/>
      <c r="N101" s="395"/>
      <c r="O101" s="395"/>
      <c r="P101" s="395"/>
      <c r="Q101" s="407"/>
      <c r="R101" s="900"/>
      <c r="S101" s="900"/>
      <c r="T101" s="900"/>
      <c r="U101" s="900"/>
      <c r="V101" s="900"/>
      <c r="W101" s="900"/>
      <c r="X101" s="900"/>
      <c r="Y101" s="900"/>
      <c r="Z101" s="900"/>
      <c r="AA101" s="900"/>
      <c r="AB101" s="900"/>
      <c r="AC101" s="900"/>
      <c r="AD101" s="900"/>
      <c r="AE101" s="900"/>
      <c r="AF101" s="900"/>
      <c r="AG101" s="900"/>
      <c r="AH101" s="381">
        <v>15.75</v>
      </c>
    </row>
    <row r="102" spans="1:34" ht="15.75" customHeight="1" thickBot="1">
      <c r="A102" s="900"/>
      <c r="B102" s="900"/>
      <c r="C102" s="904">
        <v>11</v>
      </c>
      <c r="D102" s="903">
        <v>11</v>
      </c>
      <c r="E102" s="903">
        <v>11</v>
      </c>
      <c r="F102" s="903">
        <v>11</v>
      </c>
      <c r="G102" s="903">
        <v>11</v>
      </c>
      <c r="H102" s="902">
        <v>15</v>
      </c>
      <c r="I102" s="902">
        <v>15</v>
      </c>
      <c r="J102" s="902">
        <v>11</v>
      </c>
      <c r="K102" s="902">
        <v>11</v>
      </c>
      <c r="L102" s="902">
        <v>11</v>
      </c>
      <c r="M102" s="902">
        <v>11</v>
      </c>
      <c r="N102" s="902">
        <v>11</v>
      </c>
      <c r="O102" s="902">
        <v>11</v>
      </c>
      <c r="P102" s="902">
        <v>11</v>
      </c>
      <c r="Q102" s="901">
        <v>11</v>
      </c>
      <c r="R102" s="900"/>
      <c r="S102" s="900"/>
      <c r="T102" s="900"/>
      <c r="U102" s="900"/>
      <c r="V102" s="900"/>
      <c r="W102" s="900"/>
      <c r="X102" s="900"/>
      <c r="Y102" s="900"/>
      <c r="Z102" s="900"/>
      <c r="AA102" s="900"/>
      <c r="AB102" s="900"/>
      <c r="AC102" s="900"/>
      <c r="AD102" s="900"/>
      <c r="AE102" s="900"/>
      <c r="AF102" s="900"/>
      <c r="AG102" s="900"/>
      <c r="AH102" s="381">
        <v>15.75</v>
      </c>
    </row>
    <row r="103" spans="1:34" ht="15.75" customHeight="1" thickBot="1">
      <c r="A103" s="833"/>
      <c r="B103" s="376"/>
      <c r="C103" s="833"/>
      <c r="D103" s="833"/>
      <c r="E103" s="833"/>
      <c r="F103" s="833"/>
      <c r="G103" s="833"/>
      <c r="H103" s="833"/>
      <c r="I103" s="833"/>
      <c r="J103" s="833"/>
      <c r="K103" s="833"/>
      <c r="L103" s="833"/>
      <c r="M103" s="833"/>
      <c r="N103" s="833"/>
      <c r="O103" s="833"/>
      <c r="P103" s="833"/>
      <c r="Q103" s="376"/>
      <c r="R103" s="376"/>
      <c r="S103" s="376"/>
      <c r="T103" s="376"/>
      <c r="U103" s="376"/>
      <c r="V103" s="376"/>
      <c r="W103" s="376"/>
      <c r="X103" s="376"/>
      <c r="Y103" s="376"/>
      <c r="Z103" s="376"/>
      <c r="AA103" s="376"/>
      <c r="AB103" s="376"/>
      <c r="AC103" s="376"/>
      <c r="AD103" s="376"/>
      <c r="AE103" s="376"/>
      <c r="AF103" s="376"/>
      <c r="AG103" s="376"/>
      <c r="AH103" s="381">
        <v>15.75</v>
      </c>
    </row>
    <row r="104" spans="1:34" ht="24.95" customHeight="1">
      <c r="A104" s="833"/>
      <c r="B104" s="376"/>
      <c r="C104" s="3589" t="str">
        <f>C3</f>
        <v>SAISISSEZ LE NOM DE VOTRE PLAT cellule C3</v>
      </c>
      <c r="D104" s="3590"/>
      <c r="E104" s="3590"/>
      <c r="F104" s="3590"/>
      <c r="G104" s="3590"/>
      <c r="H104" s="899"/>
      <c r="I104" s="899"/>
      <c r="J104" s="899"/>
      <c r="K104" s="899"/>
      <c r="L104" s="898"/>
      <c r="M104" s="898"/>
      <c r="N104" s="898"/>
      <c r="O104" s="898"/>
      <c r="P104" s="898"/>
      <c r="Q104" s="897" t="s">
        <v>321</v>
      </c>
      <c r="R104" s="376"/>
      <c r="S104" s="376"/>
      <c r="T104" s="376"/>
      <c r="U104" s="376"/>
      <c r="V104" s="376"/>
      <c r="W104" s="376"/>
      <c r="X104" s="376"/>
      <c r="Y104" s="376"/>
      <c r="Z104" s="376"/>
      <c r="AA104" s="376"/>
      <c r="AB104" s="376"/>
      <c r="AC104" s="376"/>
      <c r="AD104" s="376"/>
      <c r="AE104" s="376"/>
      <c r="AF104" s="376"/>
      <c r="AG104" s="376"/>
      <c r="AH104" s="381">
        <v>25</v>
      </c>
    </row>
    <row r="105" spans="1:34" ht="24.95" customHeight="1">
      <c r="A105" s="833"/>
      <c r="B105" s="376"/>
      <c r="C105" s="890"/>
      <c r="D105" s="889"/>
      <c r="E105" s="889"/>
      <c r="F105" s="888"/>
      <c r="G105" s="896" t="s">
        <v>320</v>
      </c>
      <c r="H105" s="895">
        <v>450</v>
      </c>
      <c r="I105" s="3591" t="s">
        <v>319</v>
      </c>
      <c r="J105" s="3591"/>
      <c r="K105" s="3591"/>
      <c r="L105" s="894">
        <v>10</v>
      </c>
      <c r="M105" s="894" t="s">
        <v>318</v>
      </c>
      <c r="N105" s="884"/>
      <c r="O105" s="893"/>
      <c r="P105" s="892" t="s">
        <v>317</v>
      </c>
      <c r="Q105" s="891">
        <f>H105*L105/1000</f>
        <v>4.5</v>
      </c>
      <c r="R105" s="376"/>
      <c r="S105" s="376"/>
      <c r="T105" s="376"/>
      <c r="U105" s="376"/>
      <c r="V105" s="376"/>
      <c r="W105" s="376"/>
      <c r="X105" s="376"/>
      <c r="Y105" s="376"/>
      <c r="Z105" s="376"/>
      <c r="AA105" s="376"/>
      <c r="AB105" s="376"/>
      <c r="AC105" s="376"/>
      <c r="AD105" s="376"/>
      <c r="AE105" s="376"/>
      <c r="AF105" s="376"/>
      <c r="AG105" s="376"/>
      <c r="AH105" s="381">
        <v>25</v>
      </c>
    </row>
    <row r="106" spans="1:34" ht="24.95" customHeight="1">
      <c r="A106" s="833"/>
      <c r="B106" s="376"/>
      <c r="C106" s="890"/>
      <c r="D106" s="889"/>
      <c r="E106" s="889"/>
      <c r="F106" s="888"/>
      <c r="G106" s="887" t="s">
        <v>316</v>
      </c>
      <c r="H106" s="886">
        <v>600</v>
      </c>
      <c r="I106" s="885" t="s">
        <v>28</v>
      </c>
      <c r="J106" s="884"/>
      <c r="K106" s="874"/>
      <c r="L106" s="884"/>
      <c r="M106" s="883"/>
      <c r="N106" s="883"/>
      <c r="O106" s="883"/>
      <c r="P106" s="882"/>
      <c r="Q106" s="881"/>
      <c r="R106" s="376"/>
      <c r="S106" s="376"/>
      <c r="T106" s="376"/>
      <c r="U106" s="376"/>
      <c r="V106" s="376"/>
      <c r="W106" s="376"/>
      <c r="X106" s="376"/>
      <c r="Y106" s="376"/>
      <c r="Z106" s="376"/>
      <c r="AA106" s="376"/>
      <c r="AB106" s="376"/>
      <c r="AC106" s="376"/>
      <c r="AD106" s="376"/>
      <c r="AE106" s="376"/>
      <c r="AF106" s="376"/>
      <c r="AG106" s="376"/>
      <c r="AH106" s="381">
        <v>25</v>
      </c>
    </row>
    <row r="107" spans="1:34" ht="24.95" customHeight="1">
      <c r="A107" s="833"/>
      <c r="B107" s="376"/>
      <c r="C107" s="880"/>
      <c r="D107" s="879"/>
      <c r="E107" s="879"/>
      <c r="F107" s="874"/>
      <c r="G107" s="878" t="s">
        <v>315</v>
      </c>
      <c r="H107" s="877">
        <v>200</v>
      </c>
      <c r="I107" s="876">
        <f>(H107*H106)/1000</f>
        <v>120</v>
      </c>
      <c r="J107" s="875" t="s">
        <v>22</v>
      </c>
      <c r="K107" s="874"/>
      <c r="L107" s="872">
        <f>IF(I107=0,0,INT(I107*1000/(H105*L105)))</f>
        <v>26</v>
      </c>
      <c r="M107" s="871">
        <f>I107-(L107*(H105/1000*L105))</f>
        <v>3</v>
      </c>
      <c r="N107" s="873" t="s">
        <v>22</v>
      </c>
      <c r="O107" s="872">
        <f>IF(M107=0,0,L107+1)</f>
        <v>27</v>
      </c>
      <c r="P107" s="871">
        <f>IF(M107=0,0,I107-(O107*Q105))</f>
        <v>-1.5</v>
      </c>
      <c r="Q107" s="870" t="s">
        <v>22</v>
      </c>
      <c r="R107" s="376"/>
      <c r="S107" s="376"/>
      <c r="T107" s="376"/>
      <c r="U107" s="376"/>
      <c r="V107" s="376"/>
      <c r="W107" s="376"/>
      <c r="X107" s="376"/>
      <c r="Y107" s="376"/>
      <c r="Z107" s="376"/>
      <c r="AA107" s="376"/>
      <c r="AB107" s="376"/>
      <c r="AC107" s="376"/>
      <c r="AD107" s="376"/>
      <c r="AE107" s="376"/>
      <c r="AF107" s="376"/>
      <c r="AG107" s="376"/>
      <c r="AH107" s="381">
        <v>25</v>
      </c>
    </row>
    <row r="108" spans="1:34" ht="24.95" customHeight="1" thickBot="1">
      <c r="A108" s="833"/>
      <c r="B108" s="376"/>
      <c r="C108" s="869"/>
      <c r="D108" s="868"/>
      <c r="E108" s="868"/>
      <c r="F108" s="867"/>
      <c r="G108" s="866" t="s">
        <v>314</v>
      </c>
      <c r="H108" s="865">
        <f>H107/H105</f>
        <v>0.44444444444444442</v>
      </c>
      <c r="I108" s="864">
        <f>(H108*H106)</f>
        <v>266.66666666666663</v>
      </c>
      <c r="J108" s="863" t="str">
        <f>M105</f>
        <v>portions</v>
      </c>
      <c r="K108" s="862"/>
      <c r="L108" s="860">
        <f>IF(I108=0,0,INT(I108/L105))</f>
        <v>26</v>
      </c>
      <c r="M108" s="859">
        <f>I108-(L108*L105)</f>
        <v>6.6666666666666288</v>
      </c>
      <c r="N108" s="861" t="str">
        <f>IF(M108=0,0,M105)</f>
        <v>portions</v>
      </c>
      <c r="O108" s="860">
        <f>IF(M108=0,0,L108+1)</f>
        <v>27</v>
      </c>
      <c r="P108" s="859">
        <f>IF(M108=0,0,I108-(O108*L105))</f>
        <v>-3.3333333333333712</v>
      </c>
      <c r="Q108" s="858" t="str">
        <f>IF(P108=0,0,M105)</f>
        <v>portions</v>
      </c>
      <c r="R108" s="376"/>
      <c r="S108" s="376"/>
      <c r="T108" s="376"/>
      <c r="U108" s="376"/>
      <c r="V108" s="376"/>
      <c r="W108" s="376"/>
      <c r="X108" s="376"/>
      <c r="Y108" s="376"/>
      <c r="Z108" s="376"/>
      <c r="AA108" s="376"/>
      <c r="AB108" s="376"/>
      <c r="AC108" s="376"/>
      <c r="AD108" s="376"/>
      <c r="AE108" s="376"/>
      <c r="AF108" s="376"/>
      <c r="AG108" s="376"/>
      <c r="AH108" s="381">
        <v>25</v>
      </c>
    </row>
    <row r="109" spans="1:34" ht="15" customHeight="1" thickBot="1">
      <c r="A109" s="833"/>
      <c r="B109" s="376"/>
      <c r="C109" s="833"/>
      <c r="D109" s="833"/>
      <c r="E109" s="833"/>
      <c r="F109" s="833"/>
      <c r="G109" s="833"/>
      <c r="H109" s="833"/>
      <c r="I109" s="833"/>
      <c r="J109" s="833"/>
      <c r="K109" s="833"/>
      <c r="L109" s="833"/>
      <c r="M109" s="833"/>
      <c r="N109" s="833"/>
      <c r="O109" s="833"/>
      <c r="P109" s="833"/>
      <c r="Q109" s="376"/>
      <c r="R109" s="376"/>
      <c r="S109" s="376"/>
      <c r="T109" s="376"/>
      <c r="U109" s="376"/>
      <c r="V109" s="376"/>
      <c r="W109" s="376"/>
      <c r="X109" s="376"/>
      <c r="Y109" s="376"/>
      <c r="Z109" s="376"/>
      <c r="AA109" s="376"/>
      <c r="AB109" s="376"/>
      <c r="AC109" s="376"/>
      <c r="AD109" s="376"/>
      <c r="AE109" s="376"/>
      <c r="AF109" s="376"/>
      <c r="AG109" s="376"/>
      <c r="AH109" s="381">
        <v>15</v>
      </c>
    </row>
    <row r="110" spans="1:34" ht="15" customHeight="1">
      <c r="A110" s="833"/>
      <c r="B110" s="376"/>
      <c r="C110" s="3564" t="str">
        <f>C3</f>
        <v>SAISISSEZ LE NOM DE VOTRE PLAT cellule C3</v>
      </c>
      <c r="D110" s="3565"/>
      <c r="E110" s="3565"/>
      <c r="F110" s="3565"/>
      <c r="G110" s="3565"/>
      <c r="H110" s="3565"/>
      <c r="I110" s="3565"/>
      <c r="J110" s="3565"/>
      <c r="K110" s="3565"/>
      <c r="L110" s="3565"/>
      <c r="M110" s="3568" t="s">
        <v>116</v>
      </c>
      <c r="N110" s="3568"/>
      <c r="O110" s="3592">
        <v>3</v>
      </c>
      <c r="P110" s="3594" t="s">
        <v>22</v>
      </c>
      <c r="Q110" s="376"/>
      <c r="R110" s="376"/>
      <c r="S110" s="3699" t="s">
        <v>117</v>
      </c>
      <c r="T110" s="3700"/>
      <c r="U110" s="3700"/>
      <c r="V110" s="3701"/>
      <c r="W110" s="376"/>
      <c r="X110" s="376"/>
      <c r="Y110" s="376"/>
      <c r="Z110" s="376"/>
      <c r="AA110" s="376"/>
      <c r="AB110" s="376"/>
      <c r="AC110" s="376"/>
      <c r="AD110" s="376"/>
      <c r="AE110" s="376"/>
      <c r="AF110" s="376"/>
      <c r="AG110" s="376"/>
      <c r="AH110" s="381">
        <v>15</v>
      </c>
    </row>
    <row r="111" spans="1:34" ht="15" customHeight="1">
      <c r="A111" s="833"/>
      <c r="B111" s="376"/>
      <c r="C111" s="3566"/>
      <c r="D111" s="3567"/>
      <c r="E111" s="3567"/>
      <c r="F111" s="3567"/>
      <c r="G111" s="3567"/>
      <c r="H111" s="3567"/>
      <c r="I111" s="3567"/>
      <c r="J111" s="3567"/>
      <c r="K111" s="3567"/>
      <c r="L111" s="3567"/>
      <c r="M111" s="3569"/>
      <c r="N111" s="3569"/>
      <c r="O111" s="3593"/>
      <c r="P111" s="3595"/>
      <c r="Q111" s="376"/>
      <c r="R111" s="376"/>
      <c r="S111" s="3702"/>
      <c r="T111" s="3703"/>
      <c r="U111" s="3703"/>
      <c r="V111" s="3704"/>
      <c r="W111" s="376"/>
      <c r="X111" s="376"/>
      <c r="Y111" s="376"/>
      <c r="Z111" s="376"/>
      <c r="AA111" s="376"/>
      <c r="AB111" s="376"/>
      <c r="AC111" s="376"/>
      <c r="AD111" s="376"/>
      <c r="AE111" s="376"/>
      <c r="AF111" s="376"/>
      <c r="AG111" s="376"/>
      <c r="AH111" s="381">
        <v>15</v>
      </c>
    </row>
    <row r="112" spans="1:34" ht="15" customHeight="1">
      <c r="A112" s="833"/>
      <c r="B112" s="376"/>
      <c r="C112" s="848" t="s">
        <v>119</v>
      </c>
      <c r="D112" s="843"/>
      <c r="E112" s="843"/>
      <c r="F112" s="847"/>
      <c r="G112" s="846"/>
      <c r="H112" s="845"/>
      <c r="I112" s="843"/>
      <c r="J112" s="843"/>
      <c r="K112" s="844" t="s">
        <v>120</v>
      </c>
      <c r="L112" s="843"/>
      <c r="M112" s="842"/>
      <c r="N112" s="842" t="s">
        <v>121</v>
      </c>
      <c r="O112" s="857">
        <f>O110</f>
        <v>3</v>
      </c>
      <c r="P112" s="856" t="str">
        <f>P110</f>
        <v>Kg</v>
      </c>
      <c r="Q112" s="376"/>
      <c r="R112" s="376"/>
      <c r="S112" s="3702"/>
      <c r="T112" s="3703"/>
      <c r="U112" s="3703"/>
      <c r="V112" s="3704"/>
      <c r="W112" s="376"/>
      <c r="X112" s="376"/>
      <c r="Y112" s="376"/>
      <c r="Z112" s="376"/>
      <c r="AA112" s="376"/>
      <c r="AB112" s="376"/>
      <c r="AC112" s="376"/>
      <c r="AD112" s="376"/>
      <c r="AE112" s="376"/>
      <c r="AF112" s="376"/>
      <c r="AG112" s="376"/>
      <c r="AH112" s="381">
        <v>15</v>
      </c>
    </row>
    <row r="113" spans="1:34" ht="15" customHeight="1">
      <c r="A113" s="833"/>
      <c r="B113" s="376"/>
      <c r="C113" s="3573">
        <f>SUM(D116:D121)</f>
        <v>728</v>
      </c>
      <c r="D113" s="3563" t="s">
        <v>122</v>
      </c>
      <c r="E113" s="3553">
        <f>(E116*D116)/1000+(E117*D117)/1000+(E118*D118)/1000+(E119*D119)/1000+(E120*D120)/1000+(E121*D121)/1000</f>
        <v>71.540000000000006</v>
      </c>
      <c r="F113" s="3597">
        <f>IF(E113=0,0,INT(E113/O110))</f>
        <v>23</v>
      </c>
      <c r="G113" s="3597"/>
      <c r="H113" s="3599">
        <f>E113-(F113*O110)</f>
        <v>2.5400000000000063</v>
      </c>
      <c r="I113" s="3581" t="str">
        <f>IF(H113=0,0,P110)</f>
        <v>Kg</v>
      </c>
      <c r="J113" s="3581"/>
      <c r="K113" s="3563" t="s">
        <v>313</v>
      </c>
      <c r="L113" s="382"/>
      <c r="M113" s="3597">
        <f>IF(H113=0,0,F113+1)</f>
        <v>24</v>
      </c>
      <c r="N113" s="3597"/>
      <c r="O113" s="3599">
        <f>IF(H113=0,0,E113-(M113*O110))</f>
        <v>-0.45999999999999375</v>
      </c>
      <c r="P113" s="3557" t="str">
        <f>IF(O113=0,0,P110)</f>
        <v>Kg</v>
      </c>
      <c r="Q113" s="376"/>
      <c r="R113" s="376"/>
      <c r="S113" s="3671" t="s">
        <v>123</v>
      </c>
      <c r="T113" s="3672"/>
      <c r="U113" s="3672"/>
      <c r="V113" s="3673"/>
      <c r="W113" s="376"/>
      <c r="X113" s="376"/>
      <c r="Y113" s="376"/>
      <c r="Z113" s="376"/>
      <c r="AA113" s="376"/>
      <c r="AB113" s="376"/>
      <c r="AC113" s="376"/>
      <c r="AD113" s="376"/>
      <c r="AE113" s="376"/>
      <c r="AF113" s="376"/>
      <c r="AG113" s="376"/>
      <c r="AH113" s="381">
        <v>15</v>
      </c>
    </row>
    <row r="114" spans="1:34" ht="15" customHeight="1">
      <c r="A114" s="833"/>
      <c r="B114" s="376"/>
      <c r="C114" s="3574"/>
      <c r="D114" s="3577"/>
      <c r="E114" s="3596"/>
      <c r="F114" s="3598"/>
      <c r="G114" s="3598"/>
      <c r="H114" s="3600"/>
      <c r="I114" s="3582"/>
      <c r="J114" s="3582"/>
      <c r="K114" s="3577"/>
      <c r="L114" s="414"/>
      <c r="M114" s="3598"/>
      <c r="N114" s="3598"/>
      <c r="O114" s="3600"/>
      <c r="P114" s="3558"/>
      <c r="Q114" s="376"/>
      <c r="R114" s="376"/>
      <c r="S114" s="3671"/>
      <c r="T114" s="3672"/>
      <c r="U114" s="3672"/>
      <c r="V114" s="3673"/>
      <c r="W114" s="376"/>
      <c r="X114" s="376"/>
      <c r="Y114" s="376"/>
      <c r="Z114" s="376"/>
      <c r="AA114" s="376"/>
      <c r="AB114" s="376"/>
      <c r="AC114" s="376"/>
      <c r="AD114" s="376"/>
      <c r="AE114" s="376"/>
      <c r="AF114" s="376"/>
      <c r="AG114" s="376"/>
      <c r="AH114" s="381">
        <v>15</v>
      </c>
    </row>
    <row r="115" spans="1:34" ht="15" customHeight="1">
      <c r="A115" s="833"/>
      <c r="B115" s="376"/>
      <c r="C115" s="277"/>
      <c r="D115" s="839" t="s">
        <v>124</v>
      </c>
      <c r="E115" s="855" t="s">
        <v>125</v>
      </c>
      <c r="F115" s="382"/>
      <c r="G115" s="279"/>
      <c r="H115" s="280"/>
      <c r="I115" s="854"/>
      <c r="J115" s="854"/>
      <c r="K115" s="854"/>
      <c r="L115" s="854" t="s">
        <v>126</v>
      </c>
      <c r="M115" s="843"/>
      <c r="N115" s="843"/>
      <c r="O115" s="843"/>
      <c r="P115" s="837"/>
      <c r="Q115" s="376"/>
      <c r="R115" s="376"/>
      <c r="S115" s="3674" t="s">
        <v>127</v>
      </c>
      <c r="T115" s="3675"/>
      <c r="U115" s="3675"/>
      <c r="V115" s="3676"/>
      <c r="W115" s="376"/>
      <c r="X115" s="376"/>
      <c r="Y115" s="376"/>
      <c r="Z115" s="376"/>
      <c r="AA115" s="376"/>
      <c r="AB115" s="376"/>
      <c r="AC115" s="376"/>
      <c r="AD115" s="376"/>
      <c r="AE115" s="376"/>
      <c r="AF115" s="376"/>
      <c r="AG115" s="376"/>
      <c r="AH115" s="381">
        <v>15</v>
      </c>
    </row>
    <row r="116" spans="1:34" ht="15" customHeight="1">
      <c r="A116" s="833"/>
      <c r="B116" s="376"/>
      <c r="C116" s="284" t="s">
        <v>128</v>
      </c>
      <c r="D116" s="836">
        <v>180</v>
      </c>
      <c r="E116" s="853">
        <v>50</v>
      </c>
      <c r="F116" s="287">
        <f t="shared" ref="F116:F121" si="8">(D116/1000)*E116</f>
        <v>9</v>
      </c>
      <c r="G116" s="288"/>
      <c r="H116" s="3552">
        <f>IF(F116=0,0,INT(F116/O110))</f>
        <v>3</v>
      </c>
      <c r="I116" s="3552"/>
      <c r="J116" s="404">
        <f>F116-(H116*O110)</f>
        <v>0</v>
      </c>
      <c r="K116" s="290">
        <f>IF(J116=0,0,P110)</f>
        <v>0</v>
      </c>
      <c r="L116" s="382"/>
      <c r="M116" s="291">
        <f t="shared" ref="M116:M121" si="9">IF(J116=0,0,H116+1)</f>
        <v>0</v>
      </c>
      <c r="N116" s="403">
        <f>IF(J116=0,0,F116-(M116*O110))</f>
        <v>0</v>
      </c>
      <c r="O116" s="425">
        <f>IF(N116=0,0,P110)</f>
        <v>0</v>
      </c>
      <c r="P116" s="400"/>
      <c r="Q116" s="376"/>
      <c r="R116" s="376"/>
      <c r="S116" s="3674"/>
      <c r="T116" s="3675"/>
      <c r="U116" s="3675"/>
      <c r="V116" s="3676"/>
      <c r="W116" s="376"/>
      <c r="X116" s="376"/>
      <c r="Y116" s="376"/>
      <c r="Z116" s="376"/>
      <c r="AA116" s="376"/>
      <c r="AB116" s="376"/>
      <c r="AC116" s="376"/>
      <c r="AD116" s="376"/>
      <c r="AE116" s="376"/>
      <c r="AF116" s="376"/>
      <c r="AG116" s="376"/>
      <c r="AH116" s="381">
        <v>15</v>
      </c>
    </row>
    <row r="117" spans="1:34" ht="15" customHeight="1">
      <c r="A117" s="833"/>
      <c r="B117" s="376"/>
      <c r="C117" s="295" t="s">
        <v>129</v>
      </c>
      <c r="D117" s="836">
        <v>375</v>
      </c>
      <c r="E117" s="853">
        <v>110</v>
      </c>
      <c r="F117" s="287">
        <f t="shared" si="8"/>
        <v>41.25</v>
      </c>
      <c r="G117" s="382"/>
      <c r="H117" s="3552">
        <f>IF(F117=0,0,INT(F117/O110))</f>
        <v>13</v>
      </c>
      <c r="I117" s="3552"/>
      <c r="J117" s="404">
        <f>F117-(H117*O110)</f>
        <v>2.25</v>
      </c>
      <c r="K117" s="290" t="str">
        <f>IF(J117=0,0,P110)</f>
        <v>Kg</v>
      </c>
      <c r="L117" s="382"/>
      <c r="M117" s="291">
        <f t="shared" si="9"/>
        <v>14</v>
      </c>
      <c r="N117" s="403">
        <f>IF(J117=0,0,F117-(M117*O110))</f>
        <v>-0.75</v>
      </c>
      <c r="O117" s="425" t="str">
        <f>IF(N117=0,0,P110)</f>
        <v>Kg</v>
      </c>
      <c r="P117" s="400"/>
      <c r="Q117" s="376"/>
      <c r="R117" s="376"/>
      <c r="S117" s="3674"/>
      <c r="T117" s="3675"/>
      <c r="U117" s="3675"/>
      <c r="V117" s="3676"/>
      <c r="W117" s="376"/>
      <c r="X117" s="376"/>
      <c r="Y117" s="376"/>
      <c r="Z117" s="376"/>
      <c r="AA117" s="376"/>
      <c r="AB117" s="376"/>
      <c r="AC117" s="376"/>
      <c r="AD117" s="376"/>
      <c r="AE117" s="376"/>
      <c r="AF117" s="376"/>
      <c r="AG117" s="376"/>
      <c r="AH117" s="381">
        <v>15</v>
      </c>
    </row>
    <row r="118" spans="1:34" ht="15" customHeight="1">
      <c r="A118" s="833"/>
      <c r="B118" s="376"/>
      <c r="C118" s="299" t="s">
        <v>28</v>
      </c>
      <c r="D118" s="836">
        <v>53</v>
      </c>
      <c r="E118" s="853">
        <v>130</v>
      </c>
      <c r="F118" s="287">
        <f t="shared" si="8"/>
        <v>6.89</v>
      </c>
      <c r="G118" s="382"/>
      <c r="H118" s="3552">
        <f>IF(F118=0,0,INT(F118/O110))</f>
        <v>2</v>
      </c>
      <c r="I118" s="3552"/>
      <c r="J118" s="404">
        <f>F118-(H118*O110)</f>
        <v>0.88999999999999968</v>
      </c>
      <c r="K118" s="290" t="str">
        <f>IF(J118=0,0,P110)</f>
        <v>Kg</v>
      </c>
      <c r="L118" s="382"/>
      <c r="M118" s="291">
        <f t="shared" si="9"/>
        <v>3</v>
      </c>
      <c r="N118" s="403">
        <f>IF(J118=0,0,F118-(M118*O110))</f>
        <v>-2.1100000000000003</v>
      </c>
      <c r="O118" s="425" t="str">
        <f>IF(N118=0,0,P110)</f>
        <v>Kg</v>
      </c>
      <c r="P118" s="400"/>
      <c r="Q118" s="376"/>
      <c r="R118" s="376"/>
      <c r="S118" s="3677" t="s">
        <v>132</v>
      </c>
      <c r="T118" s="3678"/>
      <c r="U118" s="3678"/>
      <c r="V118" s="3679"/>
      <c r="W118" s="376"/>
      <c r="X118" s="376"/>
      <c r="Y118" s="376"/>
      <c r="Z118" s="376"/>
      <c r="AA118" s="376"/>
      <c r="AB118" s="376"/>
      <c r="AC118" s="376"/>
      <c r="AD118" s="376"/>
      <c r="AE118" s="376"/>
      <c r="AF118" s="376"/>
      <c r="AG118" s="376"/>
      <c r="AH118" s="381">
        <v>15</v>
      </c>
    </row>
    <row r="119" spans="1:34" ht="15" customHeight="1">
      <c r="A119" s="833"/>
      <c r="B119" s="376"/>
      <c r="C119" s="299" t="s">
        <v>136</v>
      </c>
      <c r="D119" s="836">
        <v>25</v>
      </c>
      <c r="E119" s="853">
        <v>150</v>
      </c>
      <c r="F119" s="287">
        <f t="shared" si="8"/>
        <v>3.75</v>
      </c>
      <c r="G119" s="382"/>
      <c r="H119" s="3552">
        <f>IF(F119=0,0,INT(F119/O110))</f>
        <v>1</v>
      </c>
      <c r="I119" s="3552"/>
      <c r="J119" s="404">
        <f>F119-(H119*O110)</f>
        <v>0.75</v>
      </c>
      <c r="K119" s="290" t="str">
        <f>IF(J119=0,0,P110)</f>
        <v>Kg</v>
      </c>
      <c r="L119" s="382"/>
      <c r="M119" s="291">
        <f t="shared" si="9"/>
        <v>2</v>
      </c>
      <c r="N119" s="403">
        <f>IF(J119=0,0,F119-(M119*O110))</f>
        <v>-2.25</v>
      </c>
      <c r="O119" s="425" t="str">
        <f>IF(N119=0,0,P110)</f>
        <v>Kg</v>
      </c>
      <c r="P119" s="400"/>
      <c r="Q119" s="376"/>
      <c r="R119" s="376"/>
      <c r="S119" s="3680" t="s">
        <v>137</v>
      </c>
      <c r="T119" s="3681"/>
      <c r="U119" s="3681"/>
      <c r="V119" s="3682"/>
      <c r="W119" s="376"/>
      <c r="X119" s="376"/>
      <c r="Y119" s="376"/>
      <c r="Z119" s="376"/>
      <c r="AA119" s="376"/>
      <c r="AB119" s="376"/>
      <c r="AC119" s="376"/>
      <c r="AD119" s="376"/>
      <c r="AE119" s="376"/>
      <c r="AF119" s="376"/>
      <c r="AG119" s="376"/>
      <c r="AH119" s="381">
        <v>15</v>
      </c>
    </row>
    <row r="120" spans="1:34" ht="15" customHeight="1">
      <c r="A120" s="833"/>
      <c r="B120" s="376"/>
      <c r="C120" s="299" t="s">
        <v>56</v>
      </c>
      <c r="D120" s="836">
        <v>60</v>
      </c>
      <c r="E120" s="853">
        <v>125</v>
      </c>
      <c r="F120" s="287">
        <f t="shared" si="8"/>
        <v>7.5</v>
      </c>
      <c r="G120" s="382"/>
      <c r="H120" s="3552">
        <f>IF(F120=0,0,INT(F120/O110))</f>
        <v>2</v>
      </c>
      <c r="I120" s="3552"/>
      <c r="J120" s="404">
        <f>F120-(H120*O110)</f>
        <v>1.5</v>
      </c>
      <c r="K120" s="290" t="str">
        <f>IF(J120=0,0,P110)</f>
        <v>Kg</v>
      </c>
      <c r="L120" s="382"/>
      <c r="M120" s="291">
        <f t="shared" si="9"/>
        <v>3</v>
      </c>
      <c r="N120" s="403">
        <f>IF(J120=0,0,F120-(M120*O110))</f>
        <v>-1.5</v>
      </c>
      <c r="O120" s="425" t="str">
        <f>IF(N120=0,0,P110)</f>
        <v>Kg</v>
      </c>
      <c r="P120" s="400"/>
      <c r="Q120" s="376"/>
      <c r="R120" s="376"/>
      <c r="S120" s="3543" t="s">
        <v>138</v>
      </c>
      <c r="T120" s="3544"/>
      <c r="U120" s="3544"/>
      <c r="V120" s="3545"/>
      <c r="W120" s="376"/>
      <c r="X120" s="376"/>
      <c r="Y120" s="376"/>
      <c r="Z120" s="376"/>
      <c r="AA120" s="376"/>
      <c r="AB120" s="376"/>
      <c r="AC120" s="376"/>
      <c r="AD120" s="376"/>
      <c r="AE120" s="376"/>
      <c r="AF120" s="376"/>
      <c r="AG120" s="376"/>
      <c r="AH120" s="381">
        <v>15</v>
      </c>
    </row>
    <row r="121" spans="1:34" ht="15" customHeight="1">
      <c r="A121" s="833"/>
      <c r="B121" s="376"/>
      <c r="C121" s="299" t="s">
        <v>57</v>
      </c>
      <c r="D121" s="836">
        <v>35</v>
      </c>
      <c r="E121" s="853">
        <v>90</v>
      </c>
      <c r="F121" s="287">
        <f t="shared" si="8"/>
        <v>3.1500000000000004</v>
      </c>
      <c r="G121" s="382"/>
      <c r="H121" s="3552">
        <f>IF(F121=0,0,INT(F121/O110))</f>
        <v>1</v>
      </c>
      <c r="I121" s="3552"/>
      <c r="J121" s="404">
        <f>F121-(H121*O110)</f>
        <v>0.15000000000000036</v>
      </c>
      <c r="K121" s="290" t="str">
        <f>IF(J121=0,0,P110)</f>
        <v>Kg</v>
      </c>
      <c r="L121" s="382"/>
      <c r="M121" s="291">
        <f t="shared" si="9"/>
        <v>2</v>
      </c>
      <c r="N121" s="403">
        <f>IF(J121=0,0,F121-(M121*O110))</f>
        <v>-2.8499999999999996</v>
      </c>
      <c r="O121" s="425" t="str">
        <f>IF(N121=0,0,P110)</f>
        <v>Kg</v>
      </c>
      <c r="P121" s="400"/>
      <c r="Q121" s="376"/>
      <c r="R121" s="376"/>
      <c r="S121" s="3543"/>
      <c r="T121" s="3544"/>
      <c r="U121" s="3544"/>
      <c r="V121" s="3545"/>
      <c r="W121" s="376"/>
      <c r="X121" s="376"/>
      <c r="Y121" s="376"/>
      <c r="Z121" s="376"/>
      <c r="AA121" s="376"/>
      <c r="AB121" s="376"/>
      <c r="AC121" s="376"/>
      <c r="AD121" s="376"/>
      <c r="AE121" s="376"/>
      <c r="AF121" s="376"/>
      <c r="AG121" s="376"/>
      <c r="AH121" s="381">
        <v>15</v>
      </c>
    </row>
    <row r="122" spans="1:34" ht="15" customHeight="1">
      <c r="A122" s="833"/>
      <c r="B122" s="376"/>
      <c r="C122" s="393"/>
      <c r="D122" s="382"/>
      <c r="E122" s="382"/>
      <c r="F122" s="382"/>
      <c r="G122" s="382"/>
      <c r="H122" s="851" t="s">
        <v>139</v>
      </c>
      <c r="I122" s="851"/>
      <c r="J122" s="851"/>
      <c r="K122" s="851"/>
      <c r="L122" s="852"/>
      <c r="M122" s="851"/>
      <c r="N122" s="851"/>
      <c r="O122" s="851"/>
      <c r="P122" s="400"/>
      <c r="Q122" s="376"/>
      <c r="R122" s="376"/>
      <c r="S122" s="3543"/>
      <c r="T122" s="3544"/>
      <c r="U122" s="3544"/>
      <c r="V122" s="3545"/>
      <c r="W122" s="376"/>
      <c r="X122" s="376"/>
      <c r="Y122" s="376"/>
      <c r="Z122" s="376"/>
      <c r="AA122" s="376"/>
      <c r="AB122" s="376"/>
      <c r="AC122" s="376"/>
      <c r="AD122" s="376"/>
      <c r="AE122" s="376"/>
      <c r="AF122" s="376"/>
      <c r="AG122" s="376"/>
      <c r="AH122" s="381">
        <v>15</v>
      </c>
    </row>
    <row r="123" spans="1:34" ht="15" customHeight="1">
      <c r="A123" s="833"/>
      <c r="B123" s="376"/>
      <c r="C123" s="393"/>
      <c r="D123" s="382"/>
      <c r="E123" s="382"/>
      <c r="F123" s="382"/>
      <c r="G123" s="382"/>
      <c r="H123" s="3560">
        <f>IF(H125=0,0,INT(H125/O110))</f>
        <v>22</v>
      </c>
      <c r="I123" s="3560"/>
      <c r="J123" s="3572" t="s">
        <v>140</v>
      </c>
      <c r="K123" s="3553">
        <f>E113-H125</f>
        <v>5.5400000000000063</v>
      </c>
      <c r="L123" s="382"/>
      <c r="M123" s="3554" t="s">
        <v>141</v>
      </c>
      <c r="N123" s="3554"/>
      <c r="O123" s="3555">
        <f>COUNTIF(J116:J121,"&gt;0")</f>
        <v>5</v>
      </c>
      <c r="P123" s="3549" t="s">
        <v>142</v>
      </c>
      <c r="Q123" s="376"/>
      <c r="R123" s="376"/>
      <c r="S123" s="3543"/>
      <c r="T123" s="3544"/>
      <c r="U123" s="3544"/>
      <c r="V123" s="3545"/>
      <c r="W123" s="376"/>
      <c r="X123" s="376"/>
      <c r="Y123" s="376"/>
      <c r="Z123" s="376"/>
      <c r="AA123" s="376"/>
      <c r="AB123" s="376"/>
      <c r="AC123" s="376"/>
      <c r="AD123" s="376"/>
      <c r="AE123" s="376"/>
      <c r="AF123" s="376"/>
      <c r="AG123" s="376"/>
      <c r="AH123" s="381">
        <v>15</v>
      </c>
    </row>
    <row r="124" spans="1:34" ht="15" customHeight="1">
      <c r="A124" s="833"/>
      <c r="B124" s="376"/>
      <c r="C124" s="393"/>
      <c r="D124" s="382"/>
      <c r="E124" s="382"/>
      <c r="F124" s="382"/>
      <c r="G124" s="382"/>
      <c r="H124" s="3560"/>
      <c r="I124" s="3560"/>
      <c r="J124" s="3572"/>
      <c r="K124" s="3553"/>
      <c r="L124" s="382"/>
      <c r="M124" s="3554"/>
      <c r="N124" s="3554"/>
      <c r="O124" s="3555"/>
      <c r="P124" s="3549"/>
      <c r="Q124" s="376"/>
      <c r="R124" s="376"/>
      <c r="S124" s="413"/>
      <c r="T124" s="412"/>
      <c r="U124" s="412"/>
      <c r="V124" s="411"/>
      <c r="W124" s="376"/>
      <c r="X124" s="376"/>
      <c r="Y124" s="376"/>
      <c r="Z124" s="376"/>
      <c r="AA124" s="376"/>
      <c r="AB124" s="376"/>
      <c r="AC124" s="376"/>
      <c r="AD124" s="376"/>
      <c r="AE124" s="376"/>
      <c r="AF124" s="376"/>
      <c r="AG124" s="376"/>
      <c r="AH124" s="381">
        <v>15</v>
      </c>
    </row>
    <row r="125" spans="1:34" ht="15" customHeight="1" thickBot="1">
      <c r="A125" s="833"/>
      <c r="B125" s="376"/>
      <c r="C125" s="387"/>
      <c r="D125" s="386"/>
      <c r="E125" s="386"/>
      <c r="F125" s="386"/>
      <c r="G125" s="386"/>
      <c r="H125" s="3556">
        <f>SUM(H116:I121)*O110</f>
        <v>66</v>
      </c>
      <c r="I125" s="3556"/>
      <c r="J125" s="386"/>
      <c r="K125" s="849">
        <f>H125+K123</f>
        <v>71.540000000000006</v>
      </c>
      <c r="L125" s="386"/>
      <c r="M125" s="386"/>
      <c r="N125" s="386"/>
      <c r="O125" s="386"/>
      <c r="P125" s="385"/>
      <c r="Q125" s="376"/>
      <c r="R125" s="376"/>
      <c r="S125" s="3543" t="s">
        <v>143</v>
      </c>
      <c r="T125" s="3544"/>
      <c r="U125" s="3544"/>
      <c r="V125" s="3545"/>
      <c r="W125" s="376"/>
      <c r="X125" s="376"/>
      <c r="Y125" s="376"/>
      <c r="Z125" s="376"/>
      <c r="AA125" s="376"/>
      <c r="AB125" s="376"/>
      <c r="AC125" s="376"/>
      <c r="AD125" s="376"/>
      <c r="AE125" s="376"/>
      <c r="AF125" s="376"/>
      <c r="AG125" s="376"/>
      <c r="AH125" s="381">
        <v>15</v>
      </c>
    </row>
    <row r="126" spans="1:34" ht="15" customHeight="1" thickBot="1">
      <c r="A126" s="833"/>
      <c r="B126" s="376"/>
      <c r="C126" s="833"/>
      <c r="D126" s="833"/>
      <c r="E126" s="833"/>
      <c r="F126" s="833"/>
      <c r="G126" s="833"/>
      <c r="H126" s="833"/>
      <c r="I126" s="833"/>
      <c r="J126" s="833"/>
      <c r="K126" s="833"/>
      <c r="L126" s="833"/>
      <c r="M126" s="833"/>
      <c r="N126" s="833"/>
      <c r="O126" s="833"/>
      <c r="P126" s="833"/>
      <c r="Q126" s="376"/>
      <c r="R126" s="376"/>
      <c r="S126" s="3543"/>
      <c r="T126" s="3544"/>
      <c r="U126" s="3544"/>
      <c r="V126" s="3545"/>
      <c r="W126" s="376"/>
      <c r="X126" s="376"/>
      <c r="Y126" s="376"/>
      <c r="Z126" s="376"/>
      <c r="AA126" s="376"/>
      <c r="AB126" s="376"/>
      <c r="AC126" s="376"/>
      <c r="AD126" s="376"/>
      <c r="AE126" s="376"/>
      <c r="AF126" s="376"/>
      <c r="AG126" s="376"/>
      <c r="AH126" s="381">
        <v>15</v>
      </c>
    </row>
    <row r="127" spans="1:34" ht="15" customHeight="1">
      <c r="A127" s="833"/>
      <c r="B127" s="376"/>
      <c r="C127" s="3564" t="str">
        <f>C3</f>
        <v>SAISISSEZ LE NOM DE VOTRE PLAT cellule C3</v>
      </c>
      <c r="D127" s="3565"/>
      <c r="E127" s="3565"/>
      <c r="F127" s="3565"/>
      <c r="G127" s="3565"/>
      <c r="H127" s="3565"/>
      <c r="I127" s="3565"/>
      <c r="J127" s="3565"/>
      <c r="K127" s="3565"/>
      <c r="L127" s="3565"/>
      <c r="M127" s="3568" t="s">
        <v>116</v>
      </c>
      <c r="N127" s="3568"/>
      <c r="O127" s="3570">
        <v>50</v>
      </c>
      <c r="P127" s="3550" t="s">
        <v>144</v>
      </c>
      <c r="Q127" s="376"/>
      <c r="R127" s="376"/>
      <c r="S127" s="413"/>
      <c r="T127" s="412"/>
      <c r="U127" s="412"/>
      <c r="V127" s="411"/>
      <c r="W127" s="376"/>
      <c r="X127" s="376"/>
      <c r="Y127" s="376"/>
      <c r="Z127" s="376"/>
      <c r="AA127" s="376"/>
      <c r="AB127" s="376"/>
      <c r="AC127" s="376"/>
      <c r="AD127" s="376"/>
      <c r="AE127" s="376"/>
      <c r="AF127" s="376"/>
      <c r="AG127" s="376"/>
      <c r="AH127" s="381">
        <v>15</v>
      </c>
    </row>
    <row r="128" spans="1:34" ht="15" customHeight="1">
      <c r="A128" s="833"/>
      <c r="B128" s="376"/>
      <c r="C128" s="3566"/>
      <c r="D128" s="3567"/>
      <c r="E128" s="3567"/>
      <c r="F128" s="3567"/>
      <c r="G128" s="3567"/>
      <c r="H128" s="3567"/>
      <c r="I128" s="3567"/>
      <c r="J128" s="3567"/>
      <c r="K128" s="3567"/>
      <c r="L128" s="3567"/>
      <c r="M128" s="3569"/>
      <c r="N128" s="3569"/>
      <c r="O128" s="3571"/>
      <c r="P128" s="3551"/>
      <c r="Q128" s="376"/>
      <c r="R128" s="376"/>
      <c r="S128" s="3543" t="s">
        <v>145</v>
      </c>
      <c r="T128" s="3544"/>
      <c r="U128" s="3544"/>
      <c r="V128" s="3545"/>
      <c r="W128" s="376"/>
      <c r="X128" s="376"/>
      <c r="Y128" s="376"/>
      <c r="Z128" s="376"/>
      <c r="AA128" s="376"/>
      <c r="AB128" s="376"/>
      <c r="AC128" s="376"/>
      <c r="AD128" s="376"/>
      <c r="AE128" s="376"/>
      <c r="AF128" s="376"/>
      <c r="AG128" s="376"/>
      <c r="AH128" s="381">
        <v>15</v>
      </c>
    </row>
    <row r="129" spans="1:34" ht="15" customHeight="1" thickBot="1">
      <c r="A129" s="833"/>
      <c r="B129" s="376"/>
      <c r="C129" s="848" t="s">
        <v>119</v>
      </c>
      <c r="D129" s="843"/>
      <c r="E129" s="843"/>
      <c r="F129" s="847"/>
      <c r="G129" s="846"/>
      <c r="H129" s="845"/>
      <c r="I129" s="843"/>
      <c r="J129" s="843"/>
      <c r="K129" s="844" t="s">
        <v>120</v>
      </c>
      <c r="L129" s="843"/>
      <c r="M129" s="842"/>
      <c r="N129" s="842" t="s">
        <v>121</v>
      </c>
      <c r="O129" s="841">
        <f>O127</f>
        <v>50</v>
      </c>
      <c r="P129" s="840" t="str">
        <f>P127</f>
        <v>Morceaux</v>
      </c>
      <c r="Q129" s="376"/>
      <c r="R129" s="376"/>
      <c r="S129" s="3546"/>
      <c r="T129" s="3547"/>
      <c r="U129" s="3547"/>
      <c r="V129" s="3548"/>
      <c r="W129" s="376"/>
      <c r="X129" s="376"/>
      <c r="Y129" s="376"/>
      <c r="Z129" s="376"/>
      <c r="AA129" s="376"/>
      <c r="AB129" s="376"/>
      <c r="AC129" s="376"/>
      <c r="AD129" s="376"/>
      <c r="AE129" s="376"/>
      <c r="AF129" s="376"/>
      <c r="AG129" s="376"/>
      <c r="AH129" s="381">
        <v>15</v>
      </c>
    </row>
    <row r="130" spans="1:34" ht="15" customHeight="1">
      <c r="A130" s="833"/>
      <c r="B130" s="376"/>
      <c r="C130" s="3573">
        <f>SUM(D133:D138)</f>
        <v>728</v>
      </c>
      <c r="D130" s="3575">
        <f>SUM(F133:F138)</f>
        <v>1596.5</v>
      </c>
      <c r="E130" s="3563" t="str">
        <f>P127</f>
        <v>Morceaux</v>
      </c>
      <c r="F130" s="3560">
        <f>IF(D130=0,0,INT(D130/O127))</f>
        <v>31</v>
      </c>
      <c r="G130" s="3560"/>
      <c r="H130" s="3579">
        <f>D130-(F130*O127)</f>
        <v>46.5</v>
      </c>
      <c r="I130" s="3581" t="str">
        <f>IF(H130=0,0,P127)</f>
        <v>Morceaux</v>
      </c>
      <c r="J130" s="3581"/>
      <c r="K130" s="382"/>
      <c r="L130" s="382"/>
      <c r="M130" s="3560">
        <f>IF(H130=0,0,F130+1)</f>
        <v>32</v>
      </c>
      <c r="N130" s="3560"/>
      <c r="O130" s="3579">
        <f>IF(H130=0,0,D130-(M130*O127))</f>
        <v>-3.5</v>
      </c>
      <c r="P130" s="3557" t="str">
        <f>IF(O130=0,0,P127)</f>
        <v>Morceaux</v>
      </c>
      <c r="Q130" s="376"/>
      <c r="R130" s="376"/>
      <c r="S130" s="376"/>
      <c r="T130" s="376"/>
      <c r="U130" s="376"/>
      <c r="V130" s="376"/>
      <c r="W130" s="376"/>
      <c r="X130" s="376"/>
      <c r="Y130" s="376"/>
      <c r="Z130" s="376"/>
      <c r="AA130" s="376"/>
      <c r="AB130" s="376"/>
      <c r="AC130" s="376"/>
      <c r="AD130" s="376"/>
      <c r="AE130" s="376"/>
      <c r="AF130" s="376"/>
      <c r="AG130" s="376"/>
      <c r="AH130" s="381">
        <v>15</v>
      </c>
    </row>
    <row r="131" spans="1:34" ht="15" customHeight="1">
      <c r="A131" s="833"/>
      <c r="B131" s="376"/>
      <c r="C131" s="3574"/>
      <c r="D131" s="3576"/>
      <c r="E131" s="3577"/>
      <c r="F131" s="3578"/>
      <c r="G131" s="3578"/>
      <c r="H131" s="3580"/>
      <c r="I131" s="3582"/>
      <c r="J131" s="3582"/>
      <c r="K131" s="414"/>
      <c r="L131" s="414"/>
      <c r="M131" s="3578"/>
      <c r="N131" s="3578"/>
      <c r="O131" s="3580"/>
      <c r="P131" s="3558"/>
      <c r="Q131" s="376"/>
      <c r="R131" s="376"/>
      <c r="S131" s="376"/>
      <c r="T131" s="376"/>
      <c r="U131" s="376"/>
      <c r="V131" s="376"/>
      <c r="W131" s="376"/>
      <c r="X131" s="376"/>
      <c r="Y131" s="376"/>
      <c r="Z131" s="376"/>
      <c r="AA131" s="376"/>
      <c r="AB131" s="376"/>
      <c r="AC131" s="376"/>
      <c r="AD131" s="376"/>
      <c r="AE131" s="376"/>
      <c r="AF131" s="376"/>
      <c r="AG131" s="376"/>
      <c r="AH131" s="381">
        <v>15</v>
      </c>
    </row>
    <row r="132" spans="1:34" ht="15" customHeight="1">
      <c r="A132" s="833"/>
      <c r="B132" s="376"/>
      <c r="C132" s="277"/>
      <c r="D132" s="839" t="s">
        <v>124</v>
      </c>
      <c r="E132" s="335" t="s">
        <v>146</v>
      </c>
      <c r="F132" s="382"/>
      <c r="G132" s="279"/>
      <c r="H132" s="280"/>
      <c r="I132" s="282"/>
      <c r="J132" s="282"/>
      <c r="K132" s="282"/>
      <c r="L132" s="282" t="s">
        <v>126</v>
      </c>
      <c r="M132" s="838"/>
      <c r="N132" s="838"/>
      <c r="O132" s="838"/>
      <c r="P132" s="837"/>
      <c r="Q132" s="376"/>
      <c r="R132" s="376"/>
      <c r="S132" s="376"/>
      <c r="T132" s="376"/>
      <c r="U132" s="376"/>
      <c r="V132" s="376"/>
      <c r="W132" s="376"/>
      <c r="X132" s="376"/>
      <c r="Y132" s="376"/>
      <c r="Z132" s="376"/>
      <c r="AA132" s="376"/>
      <c r="AB132" s="376"/>
      <c r="AC132" s="376"/>
      <c r="AD132" s="376"/>
      <c r="AE132" s="376"/>
      <c r="AF132" s="376"/>
      <c r="AG132" s="376"/>
      <c r="AH132" s="381">
        <v>15</v>
      </c>
    </row>
    <row r="133" spans="1:34" ht="15" customHeight="1">
      <c r="A133" s="833"/>
      <c r="B133" s="376"/>
      <c r="C133" s="284" t="s">
        <v>128</v>
      </c>
      <c r="D133" s="836">
        <v>180</v>
      </c>
      <c r="E133" s="337">
        <v>1</v>
      </c>
      <c r="F133" s="338">
        <f t="shared" ref="F133:F138" si="10">D133*E133</f>
        <v>180</v>
      </c>
      <c r="G133" s="405">
        <f>O88</f>
        <v>0</v>
      </c>
      <c r="H133" s="3552">
        <f>IF(F133=0,0,INT(F133/O127))</f>
        <v>3</v>
      </c>
      <c r="I133" s="3552"/>
      <c r="J133" s="404">
        <f>F133-(H133*O127)</f>
        <v>30</v>
      </c>
      <c r="K133" s="342" t="str">
        <f>IF(J133=0,0,P127)</f>
        <v>Morceaux</v>
      </c>
      <c r="L133" s="382"/>
      <c r="M133" s="291">
        <f t="shared" ref="M133:M138" si="11">IF(J133=0,0,H133+1)</f>
        <v>4</v>
      </c>
      <c r="N133" s="403">
        <f>IF(J133=0,0,F133-(M133*O127))</f>
        <v>-20</v>
      </c>
      <c r="O133" s="402" t="str">
        <f>IF(N133=0,0,P127)</f>
        <v>Morceaux</v>
      </c>
      <c r="P133" s="400"/>
      <c r="Q133" s="376"/>
      <c r="R133" s="376"/>
      <c r="S133" s="376"/>
      <c r="T133" s="376"/>
      <c r="U133" s="376"/>
      <c r="V133" s="376"/>
      <c r="W133" s="376"/>
      <c r="X133" s="376"/>
      <c r="Y133" s="376"/>
      <c r="Z133" s="376"/>
      <c r="AA133" s="376"/>
      <c r="AB133" s="376"/>
      <c r="AC133" s="376"/>
      <c r="AD133" s="376"/>
      <c r="AE133" s="376"/>
      <c r="AF133" s="376"/>
      <c r="AG133" s="376"/>
      <c r="AH133" s="381">
        <v>15</v>
      </c>
    </row>
    <row r="134" spans="1:34" ht="15" customHeight="1">
      <c r="A134" s="833"/>
      <c r="B134" s="376"/>
      <c r="C134" s="295" t="s">
        <v>129</v>
      </c>
      <c r="D134" s="836">
        <v>375</v>
      </c>
      <c r="E134" s="337">
        <v>2.5</v>
      </c>
      <c r="F134" s="338">
        <f t="shared" si="10"/>
        <v>937.5</v>
      </c>
      <c r="G134" s="405">
        <f>O88</f>
        <v>0</v>
      </c>
      <c r="H134" s="3552">
        <f>IF(F134=0,0,INT(F134/O127))</f>
        <v>18</v>
      </c>
      <c r="I134" s="3552"/>
      <c r="J134" s="404">
        <f>F134-(H134*O127)</f>
        <v>37.5</v>
      </c>
      <c r="K134" s="342" t="str">
        <f>IF(J134=0,0,P127)</f>
        <v>Morceaux</v>
      </c>
      <c r="L134" s="382"/>
      <c r="M134" s="291">
        <f t="shared" si="11"/>
        <v>19</v>
      </c>
      <c r="N134" s="403">
        <f>IF(J134=0,0,F134-(M134*O127))</f>
        <v>-12.5</v>
      </c>
      <c r="O134" s="402" t="str">
        <f>IF(N134=0,0,P127)</f>
        <v>Morceaux</v>
      </c>
      <c r="P134" s="400"/>
      <c r="Q134" s="376"/>
      <c r="R134" s="376"/>
      <c r="S134" s="376"/>
      <c r="T134" s="376"/>
      <c r="U134" s="376"/>
      <c r="V134" s="376"/>
      <c r="W134" s="376"/>
      <c r="X134" s="376"/>
      <c r="Y134" s="376"/>
      <c r="Z134" s="376"/>
      <c r="AA134" s="376"/>
      <c r="AB134" s="376"/>
      <c r="AC134" s="376"/>
      <c r="AD134" s="376"/>
      <c r="AE134" s="376"/>
      <c r="AF134" s="376"/>
      <c r="AG134" s="376"/>
      <c r="AH134" s="381">
        <v>15</v>
      </c>
    </row>
    <row r="135" spans="1:34" ht="15" customHeight="1">
      <c r="A135" s="833"/>
      <c r="B135" s="376"/>
      <c r="C135" s="299" t="s">
        <v>28</v>
      </c>
      <c r="D135" s="836">
        <v>53</v>
      </c>
      <c r="E135" s="337">
        <v>3</v>
      </c>
      <c r="F135" s="338">
        <f t="shared" si="10"/>
        <v>159</v>
      </c>
      <c r="G135" s="405">
        <f>O88</f>
        <v>0</v>
      </c>
      <c r="H135" s="3552">
        <f>IF(F135=0,0,INT(F135/O127))</f>
        <v>3</v>
      </c>
      <c r="I135" s="3552"/>
      <c r="J135" s="404">
        <f>F135-(H135*O127)</f>
        <v>9</v>
      </c>
      <c r="K135" s="342" t="str">
        <f>IF(J135=0,0,P127)</f>
        <v>Morceaux</v>
      </c>
      <c r="L135" s="382"/>
      <c r="M135" s="291">
        <f t="shared" si="11"/>
        <v>4</v>
      </c>
      <c r="N135" s="403">
        <f>IF(J135=0,0,F135-(M135*O127))</f>
        <v>-41</v>
      </c>
      <c r="O135" s="402" t="str">
        <f>IF(N135=0,0,P127)</f>
        <v>Morceaux</v>
      </c>
      <c r="P135" s="400"/>
      <c r="Q135" s="376"/>
      <c r="R135" s="376"/>
      <c r="S135" s="376"/>
      <c r="T135" s="376"/>
      <c r="U135" s="376"/>
      <c r="V135" s="376"/>
      <c r="W135" s="376"/>
      <c r="X135" s="376"/>
      <c r="Y135" s="376"/>
      <c r="Z135" s="376"/>
      <c r="AA135" s="376"/>
      <c r="AB135" s="376"/>
      <c r="AC135" s="376"/>
      <c r="AD135" s="376"/>
      <c r="AE135" s="376"/>
      <c r="AF135" s="376"/>
      <c r="AG135" s="376"/>
      <c r="AH135" s="381">
        <v>15</v>
      </c>
    </row>
    <row r="136" spans="1:34" ht="15" customHeight="1">
      <c r="A136" s="833"/>
      <c r="B136" s="376"/>
      <c r="C136" s="299" t="s">
        <v>136</v>
      </c>
      <c r="D136" s="836">
        <v>25</v>
      </c>
      <c r="E136" s="337">
        <v>4</v>
      </c>
      <c r="F136" s="338">
        <f t="shared" si="10"/>
        <v>100</v>
      </c>
      <c r="G136" s="405">
        <f>O88</f>
        <v>0</v>
      </c>
      <c r="H136" s="3552">
        <f>IF(F136=0,0,INT(F136/O127))</f>
        <v>2</v>
      </c>
      <c r="I136" s="3552"/>
      <c r="J136" s="404">
        <f>F136-(H136*O127)</f>
        <v>0</v>
      </c>
      <c r="K136" s="342">
        <f>IF(J136=0,0,P127)</f>
        <v>0</v>
      </c>
      <c r="L136" s="382"/>
      <c r="M136" s="291">
        <f t="shared" si="11"/>
        <v>0</v>
      </c>
      <c r="N136" s="403">
        <f>IF(J136=0,0,F136-(M136*O127))</f>
        <v>0</v>
      </c>
      <c r="O136" s="402">
        <f>IF(N136=0,0,P127)</f>
        <v>0</v>
      </c>
      <c r="P136" s="400"/>
      <c r="Q136" s="376"/>
      <c r="R136" s="376"/>
      <c r="S136" s="376"/>
      <c r="T136" s="376"/>
      <c r="U136" s="376"/>
      <c r="V136" s="376"/>
      <c r="W136" s="376"/>
      <c r="X136" s="376"/>
      <c r="Y136" s="376"/>
      <c r="Z136" s="376"/>
      <c r="AA136" s="376"/>
      <c r="AB136" s="376"/>
      <c r="AC136" s="376"/>
      <c r="AD136" s="376"/>
      <c r="AE136" s="376"/>
      <c r="AF136" s="376"/>
      <c r="AG136" s="376"/>
      <c r="AH136" s="381">
        <v>15</v>
      </c>
    </row>
    <row r="137" spans="1:34" ht="15" customHeight="1">
      <c r="A137" s="833"/>
      <c r="B137" s="376"/>
      <c r="C137" s="299" t="s">
        <v>56</v>
      </c>
      <c r="D137" s="836">
        <v>60</v>
      </c>
      <c r="E137" s="337">
        <v>2.5</v>
      </c>
      <c r="F137" s="338">
        <f t="shared" si="10"/>
        <v>150</v>
      </c>
      <c r="G137" s="405">
        <f>O88</f>
        <v>0</v>
      </c>
      <c r="H137" s="3552">
        <f>IF(F137=0,0,INT(F137/O127))</f>
        <v>3</v>
      </c>
      <c r="I137" s="3552"/>
      <c r="J137" s="404">
        <f>F137-(H137*O127)</f>
        <v>0</v>
      </c>
      <c r="K137" s="342">
        <f>IF(J137=0,0,P127)</f>
        <v>0</v>
      </c>
      <c r="L137" s="382"/>
      <c r="M137" s="291">
        <f t="shared" si="11"/>
        <v>0</v>
      </c>
      <c r="N137" s="403">
        <f>IF(J137=0,0,F137-(M137*O127))</f>
        <v>0</v>
      </c>
      <c r="O137" s="402">
        <f>IF(N137=0,0,P127)</f>
        <v>0</v>
      </c>
      <c r="P137" s="400"/>
      <c r="Q137" s="376"/>
      <c r="R137" s="376"/>
      <c r="S137" s="376"/>
      <c r="T137" s="376"/>
      <c r="U137" s="376"/>
      <c r="V137" s="376"/>
      <c r="W137" s="376"/>
      <c r="X137" s="376"/>
      <c r="Y137" s="376"/>
      <c r="Z137" s="376"/>
      <c r="AA137" s="376"/>
      <c r="AB137" s="376"/>
      <c r="AC137" s="376"/>
      <c r="AD137" s="376"/>
      <c r="AE137" s="376"/>
      <c r="AF137" s="376"/>
      <c r="AG137" s="376"/>
      <c r="AH137" s="381">
        <v>15</v>
      </c>
    </row>
    <row r="138" spans="1:34" ht="15" customHeight="1">
      <c r="A138" s="833"/>
      <c r="B138" s="376"/>
      <c r="C138" s="299" t="s">
        <v>57</v>
      </c>
      <c r="D138" s="836">
        <v>35</v>
      </c>
      <c r="E138" s="337">
        <v>2</v>
      </c>
      <c r="F138" s="338">
        <f t="shared" si="10"/>
        <v>70</v>
      </c>
      <c r="G138" s="405">
        <f>O88</f>
        <v>0</v>
      </c>
      <c r="H138" s="3552">
        <f>IF(F138=0,0,INT(F138/O127))</f>
        <v>1</v>
      </c>
      <c r="I138" s="3552"/>
      <c r="J138" s="404">
        <f>F138-(H138*O127)</f>
        <v>20</v>
      </c>
      <c r="K138" s="342" t="str">
        <f>IF(J138=0,0,P127)</f>
        <v>Morceaux</v>
      </c>
      <c r="L138" s="382"/>
      <c r="M138" s="291">
        <f t="shared" si="11"/>
        <v>2</v>
      </c>
      <c r="N138" s="403">
        <f>IF(J138=0,0,F138-(M138*O127))</f>
        <v>-30</v>
      </c>
      <c r="O138" s="402" t="str">
        <f>IF(N138=0,0,P127)</f>
        <v>Morceaux</v>
      </c>
      <c r="P138" s="400"/>
      <c r="Q138" s="376"/>
      <c r="R138" s="376"/>
      <c r="S138" s="376"/>
      <c r="T138" s="376"/>
      <c r="U138" s="376"/>
      <c r="V138" s="376"/>
      <c r="W138" s="376"/>
      <c r="X138" s="376"/>
      <c r="Y138" s="376"/>
      <c r="Z138" s="376"/>
      <c r="AA138" s="376"/>
      <c r="AB138" s="376"/>
      <c r="AC138" s="376"/>
      <c r="AD138" s="376"/>
      <c r="AE138" s="376"/>
      <c r="AF138" s="376"/>
      <c r="AG138" s="376"/>
      <c r="AH138" s="381">
        <v>15</v>
      </c>
    </row>
    <row r="139" spans="1:34" ht="15" customHeight="1">
      <c r="A139" s="833"/>
      <c r="B139" s="376"/>
      <c r="C139" s="393"/>
      <c r="D139" s="382"/>
      <c r="E139" s="382"/>
      <c r="F139" s="382"/>
      <c r="G139" s="382"/>
      <c r="H139" s="344" t="s">
        <v>139</v>
      </c>
      <c r="I139" s="344"/>
      <c r="J139" s="344"/>
      <c r="K139" s="344"/>
      <c r="L139" s="401"/>
      <c r="M139" s="344"/>
      <c r="N139" s="344"/>
      <c r="O139" s="344"/>
      <c r="P139" s="400"/>
      <c r="Q139" s="376"/>
      <c r="R139" s="376"/>
      <c r="S139" s="376"/>
      <c r="T139" s="376"/>
      <c r="U139" s="376"/>
      <c r="V139" s="376"/>
      <c r="W139" s="376"/>
      <c r="X139" s="376"/>
      <c r="Y139" s="376"/>
      <c r="Z139" s="376"/>
      <c r="AA139" s="376"/>
      <c r="AB139" s="376"/>
      <c r="AC139" s="376"/>
      <c r="AD139" s="376"/>
      <c r="AE139" s="376"/>
      <c r="AF139" s="376"/>
      <c r="AG139" s="376"/>
      <c r="AH139" s="381">
        <v>15</v>
      </c>
    </row>
    <row r="140" spans="1:34" ht="15" customHeight="1">
      <c r="A140" s="833"/>
      <c r="B140" s="376"/>
      <c r="C140" s="393"/>
      <c r="D140" s="382"/>
      <c r="E140" s="382"/>
      <c r="F140" s="382"/>
      <c r="G140" s="382"/>
      <c r="H140" s="3560">
        <f>IF(H142=0,0,INT(H142/O127))</f>
        <v>30</v>
      </c>
      <c r="I140" s="3560"/>
      <c r="J140" s="3561" t="s">
        <v>140</v>
      </c>
      <c r="K140" s="3562">
        <f>D130-H142</f>
        <v>96.5</v>
      </c>
      <c r="L140" s="3563" t="str">
        <f>P127</f>
        <v>Morceaux</v>
      </c>
      <c r="M140" s="3554" t="s">
        <v>141</v>
      </c>
      <c r="N140" s="3554"/>
      <c r="O140" s="3555">
        <f>COUNTIF(J133:J138,"&gt;0")</f>
        <v>4</v>
      </c>
      <c r="P140" s="3549" t="s">
        <v>142</v>
      </c>
      <c r="Q140" s="376"/>
      <c r="R140" s="376"/>
      <c r="S140" s="376"/>
      <c r="T140" s="376"/>
      <c r="U140" s="376"/>
      <c r="V140" s="376"/>
      <c r="W140" s="376"/>
      <c r="X140" s="376"/>
      <c r="Y140" s="376"/>
      <c r="Z140" s="376"/>
      <c r="AA140" s="376"/>
      <c r="AB140" s="376"/>
      <c r="AC140" s="376"/>
      <c r="AD140" s="376"/>
      <c r="AE140" s="376"/>
      <c r="AF140" s="376"/>
      <c r="AG140" s="376"/>
      <c r="AH140" s="381">
        <v>15</v>
      </c>
    </row>
    <row r="141" spans="1:34" ht="15" customHeight="1">
      <c r="A141" s="833"/>
      <c r="B141" s="376"/>
      <c r="C141" s="393"/>
      <c r="D141" s="382"/>
      <c r="E141" s="382"/>
      <c r="F141" s="382"/>
      <c r="G141" s="382"/>
      <c r="H141" s="3560"/>
      <c r="I141" s="3560"/>
      <c r="J141" s="3561"/>
      <c r="K141" s="3562"/>
      <c r="L141" s="3563"/>
      <c r="M141" s="3554"/>
      <c r="N141" s="3554"/>
      <c r="O141" s="3555"/>
      <c r="P141" s="3549"/>
      <c r="Q141" s="376"/>
      <c r="R141" s="376"/>
      <c r="S141" s="376"/>
      <c r="T141" s="376"/>
      <c r="U141" s="376"/>
      <c r="V141" s="376"/>
      <c r="W141" s="376"/>
      <c r="X141" s="376"/>
      <c r="Y141" s="376"/>
      <c r="Z141" s="376"/>
      <c r="AA141" s="376"/>
      <c r="AB141" s="376"/>
      <c r="AC141" s="376"/>
      <c r="AD141" s="376"/>
      <c r="AE141" s="376"/>
      <c r="AF141" s="376"/>
      <c r="AG141" s="376"/>
      <c r="AH141" s="381">
        <v>15</v>
      </c>
    </row>
    <row r="142" spans="1:34" ht="15" customHeight="1" thickBot="1">
      <c r="A142" s="833"/>
      <c r="B142" s="376"/>
      <c r="C142" s="387"/>
      <c r="D142" s="386"/>
      <c r="E142" s="386"/>
      <c r="F142" s="386"/>
      <c r="G142" s="386"/>
      <c r="H142" s="3559">
        <f>SUM(H133:I138)*O127</f>
        <v>1500</v>
      </c>
      <c r="I142" s="3559"/>
      <c r="J142" s="835" t="str">
        <f>P127</f>
        <v>Morceaux</v>
      </c>
      <c r="K142" s="352">
        <f>H142+K140</f>
        <v>1596.5</v>
      </c>
      <c r="L142" s="386"/>
      <c r="M142" s="386"/>
      <c r="N142" s="386"/>
      <c r="O142" s="386"/>
      <c r="P142" s="385"/>
      <c r="Q142" s="376"/>
      <c r="R142" s="376"/>
      <c r="S142" s="376"/>
      <c r="T142" s="376"/>
      <c r="U142" s="376"/>
      <c r="V142" s="376"/>
      <c r="W142" s="376"/>
      <c r="X142" s="376"/>
      <c r="Y142" s="376"/>
      <c r="Z142" s="376"/>
      <c r="AA142" s="376"/>
      <c r="AB142" s="376"/>
      <c r="AC142" s="376"/>
      <c r="AD142" s="376"/>
      <c r="AE142" s="376"/>
      <c r="AF142" s="376"/>
      <c r="AG142" s="376"/>
      <c r="AH142" s="381">
        <v>15</v>
      </c>
    </row>
    <row r="143" spans="1:34" ht="15" customHeight="1">
      <c r="A143" s="833"/>
      <c r="B143" s="376"/>
      <c r="C143" s="834"/>
      <c r="D143" s="834"/>
      <c r="E143" s="834" t="s">
        <v>148</v>
      </c>
      <c r="F143" s="834"/>
      <c r="G143" s="834"/>
      <c r="H143" s="834"/>
      <c r="I143" s="834"/>
      <c r="J143" s="834"/>
      <c r="K143" s="834"/>
      <c r="L143" s="834"/>
      <c r="M143" s="834"/>
      <c r="N143" s="834"/>
      <c r="O143" s="834"/>
      <c r="P143" s="834"/>
      <c r="Q143" s="376"/>
      <c r="R143" s="376"/>
      <c r="S143" s="376"/>
      <c r="T143" s="376"/>
      <c r="U143" s="376"/>
      <c r="V143" s="376"/>
      <c r="W143" s="376"/>
      <c r="X143" s="376"/>
      <c r="Y143" s="376"/>
      <c r="Z143" s="376"/>
      <c r="AA143" s="376"/>
      <c r="AB143" s="376"/>
      <c r="AC143" s="376"/>
      <c r="AD143" s="376"/>
      <c r="AE143" s="376"/>
      <c r="AF143" s="376"/>
      <c r="AG143" s="376"/>
      <c r="AH143" s="381">
        <v>15</v>
      </c>
    </row>
    <row r="144" spans="1:34" ht="15" customHeight="1">
      <c r="A144" s="833"/>
      <c r="B144" s="376"/>
      <c r="C144" s="356"/>
      <c r="D144" s="357"/>
      <c r="E144" s="358" t="s">
        <v>149</v>
      </c>
      <c r="F144" s="356">
        <v>16</v>
      </c>
      <c r="G144" s="356" t="s">
        <v>150</v>
      </c>
      <c r="H144" s="382"/>
      <c r="I144" s="382"/>
      <c r="J144" s="382"/>
      <c r="K144" s="358" t="s">
        <v>151</v>
      </c>
      <c r="L144" s="356">
        <v>60</v>
      </c>
      <c r="M144" s="356" t="s">
        <v>152</v>
      </c>
      <c r="N144" s="382"/>
      <c r="O144" s="382"/>
      <c r="P144" s="382"/>
      <c r="Q144" s="376"/>
      <c r="R144" s="376"/>
      <c r="S144" s="376"/>
      <c r="T144" s="376"/>
      <c r="U144" s="376"/>
      <c r="V144" s="376"/>
      <c r="W144" s="376"/>
      <c r="X144" s="376"/>
      <c r="Y144" s="376"/>
      <c r="Z144" s="376"/>
      <c r="AA144" s="376"/>
      <c r="AB144" s="376"/>
      <c r="AC144" s="376"/>
      <c r="AD144" s="376"/>
      <c r="AE144" s="376"/>
      <c r="AF144" s="376"/>
      <c r="AG144" s="376"/>
      <c r="AH144" s="381">
        <v>15</v>
      </c>
    </row>
    <row r="145" spans="1:34" ht="15" customHeight="1">
      <c r="A145" s="833"/>
      <c r="B145" s="376"/>
      <c r="C145" s="356"/>
      <c r="D145" s="359"/>
      <c r="E145" s="358" t="s">
        <v>153</v>
      </c>
      <c r="F145" s="356">
        <v>24</v>
      </c>
      <c r="G145" s="356" t="s">
        <v>150</v>
      </c>
      <c r="H145" s="382"/>
      <c r="I145" s="382"/>
      <c r="J145" s="382"/>
      <c r="K145" s="358" t="s">
        <v>154</v>
      </c>
      <c r="L145" s="356">
        <v>20</v>
      </c>
      <c r="M145" s="356" t="s">
        <v>155</v>
      </c>
      <c r="N145" s="382"/>
      <c r="O145" s="382"/>
      <c r="P145" s="382"/>
      <c r="Q145" s="376"/>
      <c r="R145" s="376"/>
      <c r="S145" s="376"/>
      <c r="T145" s="376"/>
      <c r="U145" s="376"/>
      <c r="V145" s="376"/>
      <c r="W145" s="376"/>
      <c r="X145" s="376"/>
      <c r="Y145" s="376"/>
      <c r="Z145" s="376"/>
      <c r="AA145" s="376"/>
      <c r="AB145" s="376"/>
      <c r="AC145" s="376"/>
      <c r="AD145" s="376"/>
      <c r="AE145" s="376"/>
      <c r="AF145" s="376"/>
      <c r="AG145" s="376"/>
      <c r="AH145" s="381">
        <v>15</v>
      </c>
    </row>
    <row r="146" spans="1:34" ht="15" customHeight="1">
      <c r="A146" s="833"/>
      <c r="B146" s="376"/>
      <c r="C146" s="356"/>
      <c r="D146" s="382"/>
      <c r="E146" s="358" t="s">
        <v>156</v>
      </c>
      <c r="F146" s="356">
        <v>20</v>
      </c>
      <c r="G146" s="356" t="s">
        <v>150</v>
      </c>
      <c r="H146" s="382"/>
      <c r="I146" s="382"/>
      <c r="J146" s="382"/>
      <c r="K146" s="358" t="s">
        <v>157</v>
      </c>
      <c r="L146" s="356">
        <v>3</v>
      </c>
      <c r="M146" s="356" t="s">
        <v>22</v>
      </c>
      <c r="N146" s="382"/>
      <c r="O146" s="382"/>
      <c r="P146" s="382"/>
      <c r="Q146" s="376"/>
      <c r="R146" s="376"/>
      <c r="S146" s="376"/>
      <c r="T146" s="376"/>
      <c r="U146" s="376"/>
      <c r="V146" s="376"/>
      <c r="W146" s="376"/>
      <c r="X146" s="376"/>
      <c r="Y146" s="376"/>
      <c r="Z146" s="376"/>
      <c r="AA146" s="376"/>
      <c r="AB146" s="376"/>
      <c r="AC146" s="376"/>
      <c r="AD146" s="376"/>
      <c r="AE146" s="376"/>
      <c r="AF146" s="376"/>
      <c r="AG146" s="376"/>
      <c r="AH146" s="381">
        <v>15</v>
      </c>
    </row>
    <row r="147" spans="1:34" ht="15" customHeight="1">
      <c r="A147" s="833"/>
      <c r="B147" s="376"/>
      <c r="C147" s="356"/>
      <c r="D147" s="382"/>
      <c r="E147" s="358" t="s">
        <v>158</v>
      </c>
      <c r="F147" s="356">
        <v>25</v>
      </c>
      <c r="G147" s="356" t="s">
        <v>159</v>
      </c>
      <c r="H147" s="382"/>
      <c r="I147" s="382"/>
      <c r="J147" s="382"/>
      <c r="K147" s="358" t="s">
        <v>160</v>
      </c>
      <c r="L147" s="356">
        <v>7.2</v>
      </c>
      <c r="M147" s="383" t="s">
        <v>22</v>
      </c>
      <c r="N147" s="382"/>
      <c r="O147" s="382"/>
      <c r="P147" s="382"/>
      <c r="Q147" s="376"/>
      <c r="R147" s="376"/>
      <c r="S147" s="376"/>
      <c r="T147" s="376"/>
      <c r="U147" s="376"/>
      <c r="V147" s="376"/>
      <c r="W147" s="376"/>
      <c r="X147" s="376"/>
      <c r="Y147" s="376"/>
      <c r="Z147" s="376"/>
      <c r="AA147" s="376"/>
      <c r="AB147" s="376"/>
      <c r="AC147" s="376"/>
      <c r="AD147" s="376"/>
      <c r="AE147" s="376"/>
      <c r="AF147" s="376"/>
      <c r="AG147" s="376"/>
      <c r="AH147" s="381">
        <v>15</v>
      </c>
    </row>
    <row r="148" spans="1:34" ht="15" customHeight="1">
      <c r="A148" s="833"/>
      <c r="B148" s="376"/>
      <c r="C148" s="382"/>
      <c r="D148" s="382"/>
      <c r="E148" s="358" t="s">
        <v>161</v>
      </c>
      <c r="F148" s="356">
        <v>25</v>
      </c>
      <c r="G148" s="356" t="s">
        <v>162</v>
      </c>
      <c r="H148" s="382"/>
      <c r="I148" s="382"/>
      <c r="J148" s="382"/>
      <c r="K148" s="358" t="s">
        <v>163</v>
      </c>
      <c r="L148" s="356">
        <v>4</v>
      </c>
      <c r="M148" s="383" t="s">
        <v>22</v>
      </c>
      <c r="N148" s="382"/>
      <c r="O148" s="382"/>
      <c r="P148" s="382"/>
      <c r="Q148" s="376"/>
      <c r="R148" s="376"/>
      <c r="S148" s="376"/>
      <c r="T148" s="376"/>
      <c r="U148" s="376"/>
      <c r="V148" s="376"/>
      <c r="W148" s="376"/>
      <c r="X148" s="376"/>
      <c r="Y148" s="376"/>
      <c r="Z148" s="376"/>
      <c r="AA148" s="376"/>
      <c r="AB148" s="376"/>
      <c r="AC148" s="376"/>
      <c r="AD148" s="376"/>
      <c r="AE148" s="376"/>
      <c r="AF148" s="376"/>
      <c r="AG148" s="376"/>
      <c r="AH148" s="381">
        <v>15</v>
      </c>
    </row>
    <row r="149" spans="1:34" ht="15" customHeight="1">
      <c r="A149" s="833"/>
      <c r="B149" s="376"/>
      <c r="C149" s="382"/>
      <c r="D149" s="382"/>
      <c r="E149" s="358" t="s">
        <v>164</v>
      </c>
      <c r="F149" s="356">
        <v>12</v>
      </c>
      <c r="G149" s="356" t="s">
        <v>150</v>
      </c>
      <c r="H149" s="382"/>
      <c r="I149" s="382"/>
      <c r="J149" s="382"/>
      <c r="K149" s="382"/>
      <c r="L149" s="382"/>
      <c r="M149" s="382"/>
      <c r="N149" s="382"/>
      <c r="O149" s="382"/>
      <c r="P149" s="382"/>
      <c r="Q149" s="376"/>
      <c r="R149" s="376"/>
      <c r="S149" s="376"/>
      <c r="T149" s="376"/>
      <c r="U149" s="376"/>
      <c r="V149" s="376"/>
      <c r="W149" s="376"/>
      <c r="X149" s="376"/>
      <c r="Y149" s="376"/>
      <c r="Z149" s="376"/>
      <c r="AA149" s="376"/>
      <c r="AB149" s="376"/>
      <c r="AC149" s="376"/>
      <c r="AD149" s="376"/>
      <c r="AE149" s="376"/>
      <c r="AF149" s="376"/>
      <c r="AG149" s="376"/>
      <c r="AH149" s="381">
        <v>15</v>
      </c>
    </row>
    <row r="150" spans="1:34" ht="15" customHeight="1">
      <c r="A150" s="833"/>
      <c r="B150" s="376"/>
      <c r="C150" s="382"/>
      <c r="D150" s="382"/>
      <c r="E150" s="382"/>
      <c r="F150" s="382"/>
      <c r="G150" s="382"/>
      <c r="H150" s="382"/>
      <c r="I150" s="382"/>
      <c r="J150" s="382"/>
      <c r="K150" s="382"/>
      <c r="L150" s="382"/>
      <c r="M150" s="382"/>
      <c r="N150" s="382"/>
      <c r="O150" s="382"/>
      <c r="P150" s="382"/>
      <c r="Q150" s="376"/>
      <c r="R150" s="376"/>
      <c r="S150" s="376"/>
      <c r="T150" s="376"/>
      <c r="U150" s="376"/>
      <c r="V150" s="376"/>
      <c r="W150" s="376"/>
      <c r="X150" s="376"/>
      <c r="Y150" s="376"/>
      <c r="Z150" s="376"/>
      <c r="AA150" s="376"/>
      <c r="AB150" s="376"/>
      <c r="AC150" s="376"/>
      <c r="AD150" s="376"/>
      <c r="AE150" s="376"/>
      <c r="AF150" s="376"/>
      <c r="AG150" s="376"/>
      <c r="AH150" s="381">
        <v>15</v>
      </c>
    </row>
    <row r="151" spans="1:34" ht="15" customHeight="1">
      <c r="A151" s="833"/>
      <c r="B151" s="376"/>
      <c r="C151" s="361" t="s">
        <v>165</v>
      </c>
      <c r="D151" s="357"/>
      <c r="E151" s="382"/>
      <c r="F151" s="382"/>
      <c r="G151" s="382"/>
      <c r="H151" s="382"/>
      <c r="I151" s="382"/>
      <c r="J151" s="382"/>
      <c r="K151" s="382"/>
      <c r="L151" s="382"/>
      <c r="M151" s="382"/>
      <c r="N151" s="382"/>
      <c r="O151" s="382"/>
      <c r="P151" s="382"/>
      <c r="Q151" s="376"/>
      <c r="R151" s="376"/>
      <c r="S151" s="376"/>
      <c r="T151" s="376"/>
      <c r="U151" s="376"/>
      <c r="V151" s="376"/>
      <c r="W151" s="376"/>
      <c r="X151" s="376"/>
      <c r="Y151" s="376"/>
      <c r="Z151" s="376"/>
      <c r="AA151" s="376"/>
      <c r="AB151" s="376"/>
      <c r="AC151" s="376"/>
      <c r="AD151" s="376"/>
      <c r="AE151" s="376"/>
      <c r="AF151" s="376"/>
      <c r="AG151" s="376"/>
      <c r="AH151" s="381">
        <v>15</v>
      </c>
    </row>
    <row r="152" spans="1:34" ht="15" customHeight="1">
      <c r="A152" s="833"/>
      <c r="B152" s="376"/>
      <c r="C152" s="361" t="s">
        <v>166</v>
      </c>
      <c r="D152" s="359"/>
      <c r="E152" s="382"/>
      <c r="F152" s="382"/>
      <c r="G152" s="382"/>
      <c r="H152" s="382"/>
      <c r="I152" s="382"/>
      <c r="J152" s="382"/>
      <c r="K152" s="382"/>
      <c r="L152" s="382"/>
      <c r="M152" s="382"/>
      <c r="N152" s="382"/>
      <c r="O152" s="382"/>
      <c r="P152" s="382"/>
      <c r="Q152" s="376"/>
      <c r="R152" s="376"/>
      <c r="S152" s="376"/>
      <c r="T152" s="376"/>
      <c r="U152" s="376"/>
      <c r="V152" s="376"/>
      <c r="W152" s="376"/>
      <c r="X152" s="376"/>
      <c r="Y152" s="376"/>
      <c r="Z152" s="376"/>
      <c r="AA152" s="376"/>
      <c r="AB152" s="376"/>
      <c r="AC152" s="376"/>
      <c r="AD152" s="376"/>
      <c r="AE152" s="376"/>
      <c r="AF152" s="376"/>
      <c r="AG152" s="376"/>
      <c r="AH152" s="381">
        <v>15</v>
      </c>
    </row>
    <row r="153" spans="1:34" ht="15" customHeight="1">
      <c r="A153" s="833"/>
      <c r="B153" s="376"/>
      <c r="C153" s="361" t="s">
        <v>167</v>
      </c>
      <c r="D153" s="382"/>
      <c r="E153" s="382"/>
      <c r="F153" s="382"/>
      <c r="G153" s="382"/>
      <c r="H153" s="382"/>
      <c r="I153" s="382"/>
      <c r="J153" s="382"/>
      <c r="K153" s="382"/>
      <c r="L153" s="382"/>
      <c r="M153" s="382"/>
      <c r="N153" s="382"/>
      <c r="O153" s="382"/>
      <c r="P153" s="382"/>
      <c r="Q153" s="376"/>
      <c r="R153" s="376"/>
      <c r="S153" s="376"/>
      <c r="T153" s="376"/>
      <c r="U153" s="376"/>
      <c r="V153" s="376"/>
      <c r="W153" s="376"/>
      <c r="X153" s="376"/>
      <c r="Y153" s="376"/>
      <c r="Z153" s="376"/>
      <c r="AA153" s="376"/>
      <c r="AB153" s="376"/>
      <c r="AC153" s="376"/>
      <c r="AD153" s="376"/>
      <c r="AE153" s="376"/>
      <c r="AF153" s="376"/>
      <c r="AG153" s="376"/>
      <c r="AH153" s="381">
        <v>15</v>
      </c>
    </row>
    <row r="154" spans="1:34">
      <c r="A154" s="833"/>
      <c r="B154" s="376"/>
      <c r="C154" s="380"/>
      <c r="D154" s="380"/>
      <c r="E154" s="380"/>
      <c r="F154" s="380"/>
      <c r="G154" s="380"/>
      <c r="H154" s="380"/>
      <c r="I154" s="380"/>
      <c r="J154" s="380"/>
      <c r="K154" s="380"/>
      <c r="L154" s="380"/>
      <c r="M154" s="380"/>
      <c r="N154" s="380"/>
      <c r="O154" s="380"/>
      <c r="P154" s="380"/>
      <c r="Q154" s="376"/>
      <c r="R154" s="376"/>
      <c r="S154" s="376"/>
      <c r="T154" s="376"/>
      <c r="U154" s="376"/>
      <c r="V154" s="376"/>
      <c r="W154" s="376"/>
      <c r="X154" s="376"/>
      <c r="Y154" s="376"/>
      <c r="Z154" s="376"/>
      <c r="AA154" s="376"/>
      <c r="AB154" s="376"/>
      <c r="AC154" s="376"/>
      <c r="AD154" s="376"/>
      <c r="AE154" s="376"/>
      <c r="AF154" s="376"/>
      <c r="AG154" s="376"/>
      <c r="AH154" s="832" t="s">
        <v>168</v>
      </c>
    </row>
  </sheetData>
  <mergeCells count="124">
    <mergeCell ref="AD13:AD14"/>
    <mergeCell ref="AD4:AF4"/>
    <mergeCell ref="J5:L5"/>
    <mergeCell ref="M5:P6"/>
    <mergeCell ref="AD5:AF5"/>
    <mergeCell ref="Y6:Y7"/>
    <mergeCell ref="Z6:Z7"/>
    <mergeCell ref="U6:U7"/>
    <mergeCell ref="V6:V7"/>
    <mergeCell ref="AF7:AF8"/>
    <mergeCell ref="S115:V117"/>
    <mergeCell ref="S118:V118"/>
    <mergeCell ref="S119:V119"/>
    <mergeCell ref="S120:V123"/>
    <mergeCell ref="A4:A67"/>
    <mergeCell ref="Q4:Q62"/>
    <mergeCell ref="U15:U16"/>
    <mergeCell ref="V15:V16"/>
    <mergeCell ref="T19:AB19"/>
    <mergeCell ref="O8:P8"/>
    <mergeCell ref="AA8:AB9"/>
    <mergeCell ref="W6:W7"/>
    <mergeCell ref="X6:X7"/>
    <mergeCell ref="S110:V112"/>
    <mergeCell ref="T39:V39"/>
    <mergeCell ref="X39:X42"/>
    <mergeCell ref="T40:T41"/>
    <mergeCell ref="U40:U41"/>
    <mergeCell ref="V40:V41"/>
    <mergeCell ref="Q63:Q67"/>
    <mergeCell ref="H116:I116"/>
    <mergeCell ref="H117:I117"/>
    <mergeCell ref="G11:I11"/>
    <mergeCell ref="AD25:AF26"/>
    <mergeCell ref="AD27:AF29"/>
    <mergeCell ref="AD31:AE31"/>
    <mergeCell ref="AD54:AF56"/>
    <mergeCell ref="AD57:AF58"/>
    <mergeCell ref="AD33:AF34"/>
    <mergeCell ref="T2:AB2"/>
    <mergeCell ref="AD2:AF3"/>
    <mergeCell ref="N3:O3"/>
    <mergeCell ref="Z3:AA3"/>
    <mergeCell ref="AE6:AF6"/>
    <mergeCell ref="M7:P7"/>
    <mergeCell ref="AD7:AE8"/>
    <mergeCell ref="AE13:AE14"/>
    <mergeCell ref="AF13:AF14"/>
    <mergeCell ref="AD45:AF46"/>
    <mergeCell ref="AD47:AF48"/>
    <mergeCell ref="AD49:AF49"/>
    <mergeCell ref="AD50:AF53"/>
    <mergeCell ref="U35:AA35"/>
    <mergeCell ref="AD35:AF36"/>
    <mergeCell ref="U36:AA36"/>
    <mergeCell ref="U37:AA37"/>
    <mergeCell ref="AD38:AF39"/>
    <mergeCell ref="P113:P114"/>
    <mergeCell ref="AD64:AF67"/>
    <mergeCell ref="C70:E71"/>
    <mergeCell ref="F70:F71"/>
    <mergeCell ref="I70:J71"/>
    <mergeCell ref="K70:K71"/>
    <mergeCell ref="AF70:AF71"/>
    <mergeCell ref="AD72:AF74"/>
    <mergeCell ref="AD75:AF77"/>
    <mergeCell ref="AD81:AF83"/>
    <mergeCell ref="S113:V114"/>
    <mergeCell ref="C130:C131"/>
    <mergeCell ref="D130:D131"/>
    <mergeCell ref="E130:E131"/>
    <mergeCell ref="F130:G131"/>
    <mergeCell ref="H130:H131"/>
    <mergeCell ref="I130:J131"/>
    <mergeCell ref="M130:N131"/>
    <mergeCell ref="O130:O131"/>
    <mergeCell ref="AD86:AF87"/>
    <mergeCell ref="C104:G104"/>
    <mergeCell ref="I105:K105"/>
    <mergeCell ref="C110:L111"/>
    <mergeCell ref="M110:N111"/>
    <mergeCell ref="O110:O111"/>
    <mergeCell ref="P110:P111"/>
    <mergeCell ref="C113:C114"/>
    <mergeCell ref="D113:D114"/>
    <mergeCell ref="E113:E114"/>
    <mergeCell ref="F113:G114"/>
    <mergeCell ref="H113:H114"/>
    <mergeCell ref="I113:J114"/>
    <mergeCell ref="K113:K114"/>
    <mergeCell ref="M113:N114"/>
    <mergeCell ref="O113:O114"/>
    <mergeCell ref="P130:P131"/>
    <mergeCell ref="H133:I133"/>
    <mergeCell ref="H134:I134"/>
    <mergeCell ref="H135:I135"/>
    <mergeCell ref="P140:P141"/>
    <mergeCell ref="H142:I142"/>
    <mergeCell ref="H136:I136"/>
    <mergeCell ref="H137:I137"/>
    <mergeCell ref="H138:I138"/>
    <mergeCell ref="H140:I141"/>
    <mergeCell ref="J140:J141"/>
    <mergeCell ref="K140:K141"/>
    <mergeCell ref="L140:L141"/>
    <mergeCell ref="M140:N141"/>
    <mergeCell ref="O140:O141"/>
    <mergeCell ref="S125:V126"/>
    <mergeCell ref="S128:V129"/>
    <mergeCell ref="P123:P124"/>
    <mergeCell ref="P127:P128"/>
    <mergeCell ref="H118:I118"/>
    <mergeCell ref="H119:I119"/>
    <mergeCell ref="K123:K124"/>
    <mergeCell ref="M123:N124"/>
    <mergeCell ref="O123:O124"/>
    <mergeCell ref="H125:I125"/>
    <mergeCell ref="C127:L128"/>
    <mergeCell ref="M127:N128"/>
    <mergeCell ref="O127:O128"/>
    <mergeCell ref="H120:I120"/>
    <mergeCell ref="H121:I121"/>
    <mergeCell ref="H123:I124"/>
    <mergeCell ref="J123:J124"/>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91546D-1FD2-4367-9E5A-17668F5683D3}">
  <dimension ref="A1:AT100"/>
  <sheetViews>
    <sheetView showZeros="0" workbookViewId="0">
      <selection activeCell="Z66" sqref="Z66"/>
    </sheetView>
  </sheetViews>
  <sheetFormatPr baseColWidth="10" defaultRowHeight="15"/>
  <cols>
    <col min="1" max="1" width="4.42578125" customWidth="1"/>
    <col min="2" max="5" width="11.7109375" customWidth="1"/>
    <col min="6" max="6" width="10.7109375" customWidth="1"/>
    <col min="7" max="7" width="30.7109375" customWidth="1"/>
    <col min="8" max="19" width="11.7109375" hidden="1" customWidth="1"/>
    <col min="20" max="20" width="7.7109375" customWidth="1"/>
    <col min="21" max="36" width="11.7109375" customWidth="1"/>
    <col min="37" max="37" width="9.5703125" customWidth="1"/>
    <col min="39" max="41" width="15.7109375" customWidth="1"/>
  </cols>
  <sheetData>
    <row r="1" spans="1:46" ht="24" customHeight="1" thickBot="1">
      <c r="A1" s="1" t="s">
        <v>0</v>
      </c>
      <c r="B1" s="2">
        <f ca="1">CELL("largeur",B1)</f>
        <v>11</v>
      </c>
      <c r="C1" s="3" t="s">
        <v>1</v>
      </c>
      <c r="D1" s="4"/>
      <c r="E1" s="4"/>
      <c r="F1" s="4"/>
      <c r="G1" s="4"/>
      <c r="H1" s="4"/>
      <c r="I1" s="4"/>
      <c r="J1" s="4"/>
      <c r="K1" s="4"/>
      <c r="L1" s="5"/>
      <c r="M1" s="5"/>
      <c r="N1" s="5"/>
      <c r="O1" s="5"/>
      <c r="P1" s="5"/>
      <c r="Q1" s="2">
        <f ca="1">CELL("largeur",Q1)</f>
        <v>0</v>
      </c>
      <c r="R1" s="6"/>
      <c r="S1" s="7"/>
      <c r="T1" s="7"/>
      <c r="U1" s="7"/>
      <c r="V1" s="7"/>
      <c r="W1" s="7"/>
      <c r="X1" s="7"/>
      <c r="Y1" s="7"/>
      <c r="Z1" s="7"/>
      <c r="AA1" s="7"/>
      <c r="AB1" s="7"/>
      <c r="AC1" s="7"/>
      <c r="AD1" s="7"/>
      <c r="AE1" s="7"/>
      <c r="AF1" s="7"/>
      <c r="AG1" s="7"/>
      <c r="AH1" s="7"/>
      <c r="AI1" s="7"/>
      <c r="AJ1" s="7"/>
      <c r="AK1" s="7"/>
      <c r="AL1" s="7"/>
      <c r="AM1" s="7"/>
      <c r="AN1" s="7"/>
      <c r="AO1" s="7"/>
      <c r="AP1" s="7"/>
      <c r="AQ1" s="8"/>
      <c r="AR1" s="8"/>
      <c r="AS1" s="373" t="s">
        <v>170</v>
      </c>
      <c r="AT1" s="9">
        <v>24</v>
      </c>
    </row>
    <row r="2" spans="1:46" ht="30" customHeight="1">
      <c r="A2" s="10" t="str">
        <f>SUBSTITUTE(ADDRESS(1,COLUMN(),4),"1","")</f>
        <v>A</v>
      </c>
      <c r="B2" s="11" t="s">
        <v>3</v>
      </c>
      <c r="C2" s="12" t="s">
        <v>4</v>
      </c>
      <c r="D2" s="13"/>
      <c r="E2" s="13"/>
      <c r="F2" s="13"/>
      <c r="G2" s="13"/>
      <c r="H2" s="13"/>
      <c r="I2" s="13"/>
      <c r="J2" s="13"/>
      <c r="K2" s="13"/>
      <c r="L2" s="13"/>
      <c r="M2" s="13"/>
      <c r="N2" s="13"/>
      <c r="O2" s="13"/>
      <c r="P2" s="13"/>
      <c r="Q2" s="14"/>
      <c r="R2" s="14"/>
      <c r="S2" s="14"/>
      <c r="T2" s="14"/>
      <c r="U2" s="14"/>
      <c r="V2" s="14"/>
      <c r="W2" s="14"/>
      <c r="X2" s="14"/>
      <c r="Y2" s="14"/>
      <c r="Z2" s="14"/>
      <c r="AA2" s="14"/>
      <c r="AB2" s="14"/>
      <c r="AC2" s="14"/>
      <c r="AD2" s="14"/>
      <c r="AE2" s="14"/>
      <c r="AF2" s="14"/>
      <c r="AG2" s="15"/>
      <c r="AH2" s="3740" t="s">
        <v>169</v>
      </c>
      <c r="AI2" s="3740"/>
      <c r="AJ2" s="16"/>
      <c r="AK2" s="3741" t="s">
        <v>5</v>
      </c>
      <c r="AL2" s="17"/>
      <c r="AM2" s="3636" t="s">
        <v>6</v>
      </c>
      <c r="AN2" s="3744"/>
      <c r="AO2" s="3745"/>
      <c r="AP2" s="7"/>
      <c r="AQ2" s="17"/>
      <c r="AR2" s="17"/>
      <c r="AS2" s="17"/>
      <c r="AT2" s="9">
        <v>30</v>
      </c>
    </row>
    <row r="3" spans="1:46" ht="30" customHeight="1">
      <c r="A3" s="3747" t="str">
        <f>C2</f>
        <v>SAISISSEZ LE NOM DE VOTRE PLAT cellule C 2</v>
      </c>
      <c r="B3" s="18" t="s">
        <v>7</v>
      </c>
      <c r="C3" s="19" t="s">
        <v>8</v>
      </c>
      <c r="D3" s="20"/>
      <c r="E3" s="20"/>
      <c r="F3" s="21"/>
      <c r="G3" s="21"/>
      <c r="H3" s="21"/>
      <c r="I3" s="21"/>
      <c r="J3" s="21"/>
      <c r="K3" s="21"/>
      <c r="L3" s="21"/>
      <c r="M3" s="21"/>
      <c r="N3" s="21"/>
      <c r="O3" s="21"/>
      <c r="P3" s="21"/>
      <c r="Q3" s="21"/>
      <c r="R3" s="21"/>
      <c r="S3" s="21"/>
      <c r="T3" s="21"/>
      <c r="U3" s="21"/>
      <c r="V3" s="21"/>
      <c r="W3" s="21"/>
      <c r="X3" s="21"/>
      <c r="Y3" s="21"/>
      <c r="Z3" s="21"/>
      <c r="AA3" s="21"/>
      <c r="AB3" s="21"/>
      <c r="AC3" s="21"/>
      <c r="AD3" s="21"/>
      <c r="AE3" s="21"/>
      <c r="AF3" s="21"/>
      <c r="AG3" s="22"/>
      <c r="AH3" s="22"/>
      <c r="AI3" s="23"/>
      <c r="AJ3" s="24" t="s">
        <v>9</v>
      </c>
      <c r="AK3" s="3742"/>
      <c r="AL3" s="17"/>
      <c r="AM3" s="3639"/>
      <c r="AN3" s="3640"/>
      <c r="AO3" s="3746"/>
      <c r="AP3" s="7"/>
      <c r="AQ3" s="17"/>
      <c r="AR3" s="17"/>
      <c r="AS3" s="17"/>
      <c r="AT3" s="9">
        <v>30</v>
      </c>
    </row>
    <row r="4" spans="1:46" ht="15.75" customHeight="1">
      <c r="A4" s="3747"/>
      <c r="B4" s="25"/>
      <c r="C4" s="25"/>
      <c r="D4" s="25"/>
      <c r="E4" s="25"/>
      <c r="F4" s="17"/>
      <c r="G4" s="17"/>
      <c r="H4" s="17"/>
      <c r="I4" s="17"/>
      <c r="J4" s="17"/>
      <c r="K4" s="17"/>
      <c r="L4" s="17"/>
      <c r="M4" s="17"/>
      <c r="N4" s="17"/>
      <c r="O4" s="17"/>
      <c r="P4" s="17"/>
      <c r="Q4" s="26"/>
      <c r="R4" s="26"/>
      <c r="S4" s="26"/>
      <c r="T4" s="26"/>
      <c r="U4" s="21"/>
      <c r="V4" s="21"/>
      <c r="W4" s="21"/>
      <c r="X4" s="21"/>
      <c r="Y4" s="21"/>
      <c r="Z4" s="21"/>
      <c r="AA4" s="21"/>
      <c r="AB4" s="21"/>
      <c r="AC4" s="21"/>
      <c r="AD4" s="21"/>
      <c r="AE4" s="21"/>
      <c r="AF4" s="21"/>
      <c r="AG4" s="27"/>
      <c r="AH4" s="3749" t="s">
        <v>10</v>
      </c>
      <c r="AI4" s="3750">
        <v>7</v>
      </c>
      <c r="AJ4" s="3751"/>
      <c r="AK4" s="3742"/>
      <c r="AL4" s="17"/>
      <c r="AM4" s="3720" t="s">
        <v>11</v>
      </c>
      <c r="AN4" s="3721"/>
      <c r="AO4" s="3722"/>
      <c r="AP4" s="7"/>
      <c r="AQ4" s="17"/>
      <c r="AR4" s="17"/>
      <c r="AS4" s="17"/>
      <c r="AT4" s="9">
        <v>15.75</v>
      </c>
    </row>
    <row r="5" spans="1:46" ht="15.75" customHeight="1">
      <c r="A5" s="3747"/>
      <c r="B5" s="28" t="s">
        <v>12</v>
      </c>
      <c r="C5" s="29" t="s">
        <v>0</v>
      </c>
      <c r="D5" s="29"/>
      <c r="E5" s="29" t="s">
        <v>0</v>
      </c>
      <c r="F5" s="30"/>
      <c r="G5" s="25"/>
      <c r="H5" s="25"/>
      <c r="I5" s="25"/>
      <c r="J5" s="25"/>
      <c r="K5" s="26"/>
      <c r="L5" s="26"/>
      <c r="M5" s="26"/>
      <c r="N5" s="26"/>
      <c r="O5" s="26"/>
      <c r="P5" s="26"/>
      <c r="Q5" s="26"/>
      <c r="R5" s="26"/>
      <c r="S5" s="26"/>
      <c r="T5" s="26"/>
      <c r="U5" s="21"/>
      <c r="V5" s="21"/>
      <c r="W5" s="21"/>
      <c r="X5" s="21"/>
      <c r="Y5" s="21"/>
      <c r="Z5" s="21"/>
      <c r="AA5" s="21"/>
      <c r="AB5" s="21"/>
      <c r="AC5" s="21"/>
      <c r="AD5" s="21"/>
      <c r="AE5" s="21"/>
      <c r="AF5" s="21"/>
      <c r="AG5" s="31"/>
      <c r="AH5" s="3749"/>
      <c r="AI5" s="3750"/>
      <c r="AJ5" s="3751"/>
      <c r="AK5" s="3742"/>
      <c r="AL5" s="17"/>
      <c r="AM5" s="3732" t="s">
        <v>13</v>
      </c>
      <c r="AN5" s="3733"/>
      <c r="AO5" s="3752"/>
      <c r="AP5" s="7"/>
      <c r="AQ5" s="17"/>
      <c r="AR5" s="17"/>
      <c r="AS5" s="17"/>
      <c r="AT5" s="9">
        <v>15.75</v>
      </c>
    </row>
    <row r="6" spans="1:46" ht="15.75" customHeight="1">
      <c r="A6" s="3747"/>
      <c r="B6" s="25"/>
      <c r="C6" s="25"/>
      <c r="D6" s="25"/>
      <c r="E6" s="25"/>
      <c r="F6" s="32"/>
      <c r="G6" s="32"/>
      <c r="H6" s="26"/>
      <c r="I6" s="26"/>
      <c r="J6" s="26"/>
      <c r="K6" s="26"/>
      <c r="L6" s="26"/>
      <c r="M6" s="26"/>
      <c r="N6" s="26"/>
      <c r="O6" s="26"/>
      <c r="P6" s="26"/>
      <c r="Q6" s="26"/>
      <c r="R6" s="26"/>
      <c r="S6" s="26"/>
      <c r="T6" s="26"/>
      <c r="U6" s="21"/>
      <c r="V6" s="21"/>
      <c r="W6" s="21"/>
      <c r="X6" s="21"/>
      <c r="Y6" s="21"/>
      <c r="Z6" s="33"/>
      <c r="AA6" s="21"/>
      <c r="AB6" s="21"/>
      <c r="AC6" s="21"/>
      <c r="AD6" s="21"/>
      <c r="AE6" s="21"/>
      <c r="AF6" s="21"/>
      <c r="AG6" s="31"/>
      <c r="AH6" s="31"/>
      <c r="AI6" s="31"/>
      <c r="AJ6" s="34"/>
      <c r="AK6" s="3742"/>
      <c r="AL6" s="17"/>
      <c r="AM6" s="35" t="s">
        <v>14</v>
      </c>
      <c r="AN6" s="3753" t="s">
        <v>15</v>
      </c>
      <c r="AO6" s="3754"/>
      <c r="AP6" s="7"/>
      <c r="AQ6" s="17"/>
      <c r="AR6" s="17"/>
      <c r="AS6" s="17"/>
      <c r="AT6" s="9">
        <v>15.75</v>
      </c>
    </row>
    <row r="7" spans="1:46" ht="15.75" customHeight="1">
      <c r="A7" s="3747"/>
      <c r="B7" s="25"/>
      <c r="C7" s="25"/>
      <c r="D7" s="25"/>
      <c r="E7" s="25"/>
      <c r="F7" s="36"/>
      <c r="G7" s="36"/>
      <c r="H7" s="21"/>
      <c r="I7" s="21"/>
      <c r="J7" s="21"/>
      <c r="K7" s="21"/>
      <c r="L7" s="21"/>
      <c r="M7" s="21"/>
      <c r="N7" s="21"/>
      <c r="O7" s="21"/>
      <c r="P7" s="21"/>
      <c r="Q7" s="21"/>
      <c r="R7" s="21"/>
      <c r="S7" s="21"/>
      <c r="T7" s="21"/>
      <c r="U7" s="21"/>
      <c r="V7" s="21"/>
      <c r="W7" s="37">
        <f>AC8</f>
        <v>722</v>
      </c>
      <c r="X7" s="38" t="s">
        <v>16</v>
      </c>
      <c r="Y7" s="21"/>
      <c r="Z7" s="33"/>
      <c r="AA7" s="21"/>
      <c r="AB7" s="21"/>
      <c r="AC7" s="21"/>
      <c r="AD7" s="21"/>
      <c r="AE7" s="21"/>
      <c r="AF7" s="21"/>
      <c r="AG7" s="31"/>
      <c r="AH7" s="31"/>
      <c r="AI7" s="31"/>
      <c r="AJ7" s="39"/>
      <c r="AK7" s="3742"/>
      <c r="AL7" s="17"/>
      <c r="AM7" s="3755" t="s">
        <v>17</v>
      </c>
      <c r="AN7" s="3756"/>
      <c r="AO7" s="3757" t="str">
        <f>LEFT(ADDRESS(1,COLUMN(G14),4),LEN(ADDRESS(1,COLUMN(G14),4))-1)</f>
        <v>G</v>
      </c>
      <c r="AP7" s="7"/>
      <c r="AQ7" s="17"/>
      <c r="AR7" s="17"/>
      <c r="AS7" s="17"/>
      <c r="AT7" s="9">
        <v>15.75</v>
      </c>
    </row>
    <row r="8" spans="1:46" ht="15.75" customHeight="1">
      <c r="A8" s="3747"/>
      <c r="B8" s="40" t="s">
        <v>19</v>
      </c>
      <c r="C8" s="40"/>
      <c r="D8" s="41"/>
      <c r="E8" s="42" t="s">
        <v>20</v>
      </c>
      <c r="F8" s="36"/>
      <c r="G8" s="36"/>
      <c r="H8" s="21"/>
      <c r="I8" s="21"/>
      <c r="J8" s="21"/>
      <c r="K8" s="21"/>
      <c r="L8" s="21"/>
      <c r="M8" s="21"/>
      <c r="N8" s="21"/>
      <c r="O8" s="21"/>
      <c r="P8" s="21"/>
      <c r="Q8" s="21"/>
      <c r="R8" s="21"/>
      <c r="S8" s="21"/>
      <c r="T8" s="3758" t="s">
        <v>21</v>
      </c>
      <c r="U8" s="3758"/>
      <c r="V8" s="3758"/>
      <c r="W8" s="3759">
        <f>AJ18</f>
        <v>12.015000000000001</v>
      </c>
      <c r="X8" s="3759"/>
      <c r="Y8" s="3760" t="str">
        <f>C9</f>
        <v>Kg</v>
      </c>
      <c r="Z8" s="3761"/>
      <c r="AA8" s="3762" t="s">
        <v>23</v>
      </c>
      <c r="AB8" s="3763"/>
      <c r="AC8" s="3766">
        <f>AJ13</f>
        <v>722</v>
      </c>
      <c r="AD8" s="3768" t="s">
        <v>16</v>
      </c>
      <c r="AE8" s="3768"/>
      <c r="AF8" s="3770" t="s">
        <v>24</v>
      </c>
      <c r="AG8" s="3770"/>
      <c r="AH8" s="3772">
        <f>AJ18</f>
        <v>12.015000000000001</v>
      </c>
      <c r="AI8" s="3773"/>
      <c r="AJ8" s="43"/>
      <c r="AK8" s="3742"/>
      <c r="AL8" s="17"/>
      <c r="AM8" s="3755"/>
      <c r="AN8" s="3756"/>
      <c r="AO8" s="3757"/>
      <c r="AP8" s="7"/>
      <c r="AQ8" s="17"/>
      <c r="AR8" s="17"/>
      <c r="AS8" s="17"/>
      <c r="AT8" s="9">
        <v>15.75</v>
      </c>
    </row>
    <row r="9" spans="1:46" ht="15.75" customHeight="1">
      <c r="A9" s="3747"/>
      <c r="B9" s="3776">
        <f>E54</f>
        <v>3</v>
      </c>
      <c r="C9" s="3777" t="s">
        <v>22</v>
      </c>
      <c r="D9" s="367">
        <v>100</v>
      </c>
      <c r="E9" s="44" t="s">
        <v>25</v>
      </c>
      <c r="F9" s="36"/>
      <c r="G9" s="36"/>
      <c r="H9" s="21"/>
      <c r="I9" s="21"/>
      <c r="J9" s="21"/>
      <c r="K9" s="21"/>
      <c r="L9" s="21"/>
      <c r="M9" s="21"/>
      <c r="N9" s="21"/>
      <c r="O9" s="21"/>
      <c r="P9" s="21"/>
      <c r="Q9" s="21"/>
      <c r="R9" s="21"/>
      <c r="S9" s="21"/>
      <c r="T9" s="3758"/>
      <c r="U9" s="3758"/>
      <c r="V9" s="3758"/>
      <c r="W9" s="3759"/>
      <c r="X9" s="3759"/>
      <c r="Y9" s="3760"/>
      <c r="Z9" s="3761"/>
      <c r="AA9" s="3764"/>
      <c r="AB9" s="3765"/>
      <c r="AC9" s="3767"/>
      <c r="AD9" s="3769"/>
      <c r="AE9" s="3769"/>
      <c r="AF9" s="3771"/>
      <c r="AG9" s="3771"/>
      <c r="AH9" s="3774"/>
      <c r="AI9" s="3775"/>
      <c r="AJ9" s="45"/>
      <c r="AK9" s="3742"/>
      <c r="AL9" s="17"/>
      <c r="AM9" s="46"/>
      <c r="AN9" s="47" t="s">
        <v>26</v>
      </c>
      <c r="AO9" s="48" t="str">
        <f>LEFT(ADDRESS(1,COLUMN(B11),4),LEN(ADDRESS(1,COLUMN(B11),4))-1)</f>
        <v>B</v>
      </c>
      <c r="AP9" s="7"/>
      <c r="AQ9" s="17"/>
      <c r="AR9" s="17"/>
      <c r="AS9" s="17"/>
      <c r="AT9" s="9">
        <v>15.75</v>
      </c>
    </row>
    <row r="10" spans="1:46" ht="15.75" customHeight="1">
      <c r="A10" s="3747"/>
      <c r="B10" s="3776"/>
      <c r="C10" s="3777"/>
      <c r="D10" s="368" t="s">
        <v>28</v>
      </c>
      <c r="E10" s="49">
        <f>(B9/D9)*1000</f>
        <v>30</v>
      </c>
      <c r="F10" s="50" t="s">
        <v>29</v>
      </c>
      <c r="G10" s="51"/>
      <c r="H10" s="52" t="str">
        <f>SUBSTITUTE(ADDRESS(1,COLUMN(),4),"1","")</f>
        <v>H</v>
      </c>
      <c r="I10" s="21"/>
      <c r="J10" s="21"/>
      <c r="K10" s="21"/>
      <c r="L10" s="21"/>
      <c r="M10" s="21"/>
      <c r="N10" s="21"/>
      <c r="O10" s="21"/>
      <c r="P10" s="21"/>
      <c r="Q10" s="21"/>
      <c r="R10" s="21"/>
      <c r="S10" s="52" t="str">
        <f>SUBSTITUTE(ADDRESS(1,COLUMN(),4),"1","")</f>
        <v>S</v>
      </c>
      <c r="T10" s="3778" t="s">
        <v>32</v>
      </c>
      <c r="U10" s="3778"/>
      <c r="V10" s="51" t="str">
        <f>H10</f>
        <v>H</v>
      </c>
      <c r="W10" s="51" t="s">
        <v>33</v>
      </c>
      <c r="X10" s="51" t="str">
        <f>S10</f>
        <v>S</v>
      </c>
      <c r="Y10" s="51" t="s">
        <v>34</v>
      </c>
      <c r="Z10" s="51"/>
      <c r="AA10" s="53"/>
      <c r="AB10" s="17"/>
      <c r="AC10" s="17"/>
      <c r="AD10" s="17"/>
      <c r="AE10" s="54" t="s">
        <v>35</v>
      </c>
      <c r="AF10" s="55">
        <f>(AJ15/AC8)*1000</f>
        <v>16.641274238227147</v>
      </c>
      <c r="AG10" s="56" t="s">
        <v>36</v>
      </c>
      <c r="AH10" s="55">
        <f>(AJ18/AC8)*1000</f>
        <v>16.641274238227147</v>
      </c>
      <c r="AI10" s="57" t="s">
        <v>37</v>
      </c>
      <c r="AJ10" s="58"/>
      <c r="AK10" s="3742"/>
      <c r="AL10" s="17"/>
      <c r="AM10" s="59"/>
      <c r="AN10" s="60" t="s">
        <v>38</v>
      </c>
      <c r="AO10" s="48" t="str">
        <f>LEFT(ADDRESS(1,COLUMN(C11),4),LEN(ADDRESS(1,COLUMN(C11),4))-1)</f>
        <v>C</v>
      </c>
      <c r="AP10" s="7"/>
      <c r="AQ10" s="17"/>
      <c r="AR10" s="17"/>
      <c r="AS10" s="17"/>
      <c r="AT10" s="9">
        <v>15.75</v>
      </c>
    </row>
    <row r="11" spans="1:46" ht="15.75" customHeight="1">
      <c r="A11" s="3747"/>
      <c r="B11" s="3779" t="s">
        <v>40</v>
      </c>
      <c r="C11" s="3779" t="s">
        <v>41</v>
      </c>
      <c r="D11" s="3780" t="s">
        <v>42</v>
      </c>
      <c r="E11" s="3781" t="s">
        <v>43</v>
      </c>
      <c r="F11" s="61"/>
      <c r="G11" s="3784" t="s">
        <v>44</v>
      </c>
      <c r="H11" s="62" t="s">
        <v>45</v>
      </c>
      <c r="I11" s="62"/>
      <c r="J11" s="62"/>
      <c r="K11" s="62"/>
      <c r="L11" s="62"/>
      <c r="M11" s="62"/>
      <c r="N11" s="62"/>
      <c r="O11" s="62"/>
      <c r="P11" s="62"/>
      <c r="Q11" s="62"/>
      <c r="R11" s="62"/>
      <c r="S11" s="63"/>
      <c r="T11" s="3785" t="s">
        <v>46</v>
      </c>
      <c r="U11" s="3786" t="s">
        <v>47</v>
      </c>
      <c r="V11" s="3793" t="s">
        <v>48</v>
      </c>
      <c r="W11" s="3794"/>
      <c r="X11" s="3794"/>
      <c r="Y11" s="3793" t="s">
        <v>49</v>
      </c>
      <c r="Z11" s="3795"/>
      <c r="AA11" s="3796" t="s">
        <v>50</v>
      </c>
      <c r="AB11" s="3797"/>
      <c r="AC11" s="3797"/>
      <c r="AD11" s="3797"/>
      <c r="AE11" s="3797"/>
      <c r="AF11" s="3797"/>
      <c r="AG11" s="3797"/>
      <c r="AH11" s="3797"/>
      <c r="AI11" s="3797"/>
      <c r="AJ11" s="3798"/>
      <c r="AK11" s="3742"/>
      <c r="AL11" s="17"/>
      <c r="AM11" s="59"/>
      <c r="AN11" s="60" t="s">
        <v>51</v>
      </c>
      <c r="AO11" s="48" t="str">
        <f>LEFT(ADDRESS(1,COLUMN(D11),4),LEN(ADDRESS(1,COLUMN(D11),4))-1)</f>
        <v>D</v>
      </c>
      <c r="AP11" s="7"/>
      <c r="AQ11" s="17"/>
      <c r="AR11" s="17"/>
      <c r="AS11" s="17"/>
      <c r="AT11" s="9">
        <v>15.75</v>
      </c>
    </row>
    <row r="12" spans="1:46" ht="18.75" customHeight="1">
      <c r="A12" s="3747"/>
      <c r="B12" s="3779"/>
      <c r="C12" s="3779"/>
      <c r="D12" s="3780"/>
      <c r="E12" s="3782"/>
      <c r="F12" s="61"/>
      <c r="G12" s="3784"/>
      <c r="H12" s="64" t="s">
        <v>53</v>
      </c>
      <c r="I12" s="65">
        <f>AD13</f>
        <v>250</v>
      </c>
      <c r="J12" s="66" t="s">
        <v>54</v>
      </c>
      <c r="K12" s="67">
        <f>AE13</f>
        <v>260</v>
      </c>
      <c r="L12" s="66" t="s">
        <v>2</v>
      </c>
      <c r="M12" s="67">
        <f>AF13</f>
        <v>120</v>
      </c>
      <c r="N12" s="66" t="s">
        <v>55</v>
      </c>
      <c r="O12" s="67">
        <f>AG13</f>
        <v>60</v>
      </c>
      <c r="P12" s="66" t="s">
        <v>56</v>
      </c>
      <c r="Q12" s="67">
        <f>AH13</f>
        <v>20</v>
      </c>
      <c r="R12" s="66" t="s">
        <v>57</v>
      </c>
      <c r="S12" s="68">
        <f>AI13</f>
        <v>12</v>
      </c>
      <c r="T12" s="3785"/>
      <c r="U12" s="3786"/>
      <c r="V12" s="3793" t="s">
        <v>40</v>
      </c>
      <c r="W12" s="3794" t="s">
        <v>41</v>
      </c>
      <c r="X12" s="3794" t="s">
        <v>20</v>
      </c>
      <c r="Y12" s="3801">
        <f>SUM(Z15:Z53)</f>
        <v>12.015000000000001</v>
      </c>
      <c r="Z12" s="3802"/>
      <c r="AA12" s="53"/>
      <c r="AB12" s="17"/>
      <c r="AC12" s="69" t="s">
        <v>58</v>
      </c>
      <c r="AD12" s="70" t="s">
        <v>53</v>
      </c>
      <c r="AE12" s="71" t="s">
        <v>54</v>
      </c>
      <c r="AF12" s="72" t="s">
        <v>2</v>
      </c>
      <c r="AG12" s="72" t="s">
        <v>55</v>
      </c>
      <c r="AH12" s="71" t="s">
        <v>56</v>
      </c>
      <c r="AI12" s="71" t="s">
        <v>57</v>
      </c>
      <c r="AJ12" s="73" t="s">
        <v>23</v>
      </c>
      <c r="AK12" s="3742"/>
      <c r="AL12" s="17"/>
      <c r="AM12" s="74" t="s">
        <v>59</v>
      </c>
      <c r="AN12" s="75" t="s">
        <v>60</v>
      </c>
      <c r="AO12" s="76" t="s">
        <v>61</v>
      </c>
      <c r="AP12" s="7"/>
      <c r="AQ12" s="17"/>
      <c r="AR12" s="17"/>
      <c r="AS12" s="17"/>
      <c r="AT12" s="9">
        <v>18.75</v>
      </c>
    </row>
    <row r="13" spans="1:46" ht="18" customHeight="1">
      <c r="A13" s="3747"/>
      <c r="B13" s="3779"/>
      <c r="C13" s="3779"/>
      <c r="D13" s="3780"/>
      <c r="E13" s="3783"/>
      <c r="F13" s="61"/>
      <c r="G13" s="3784"/>
      <c r="H13" s="77">
        <f>I13/I12</f>
        <v>0.01</v>
      </c>
      <c r="I13" s="78">
        <f>(Y12/W8)*AD18</f>
        <v>2.5</v>
      </c>
      <c r="J13" s="79">
        <f>K13/K12</f>
        <v>1.4999999999999999E-2</v>
      </c>
      <c r="K13" s="80">
        <f>(Y12/W8)*AE18</f>
        <v>3.9</v>
      </c>
      <c r="L13" s="79">
        <f>M13/M12</f>
        <v>2.5000000000000001E-2</v>
      </c>
      <c r="M13" s="80">
        <f>(Y12/W8)*AF18</f>
        <v>3</v>
      </c>
      <c r="N13" s="79">
        <f>O13/O12</f>
        <v>3.125E-2</v>
      </c>
      <c r="O13" s="80">
        <f>(Y12/W8)*AG18</f>
        <v>1.875</v>
      </c>
      <c r="P13" s="79">
        <f>Q13/Q12</f>
        <v>2.5000000000000001E-2</v>
      </c>
      <c r="Q13" s="80">
        <f>(Y12/W8)*AH18</f>
        <v>0.5</v>
      </c>
      <c r="R13" s="79">
        <f>S13/S12</f>
        <v>0.02</v>
      </c>
      <c r="S13" s="81">
        <f>(Y12/W8)*AI18</f>
        <v>0.24</v>
      </c>
      <c r="T13" s="3785"/>
      <c r="U13" s="3786"/>
      <c r="V13" s="3799"/>
      <c r="W13" s="3800"/>
      <c r="X13" s="3800"/>
      <c r="Y13" s="82" t="s">
        <v>62</v>
      </c>
      <c r="Z13" s="371">
        <f>(Y12/W8)*1</f>
        <v>1</v>
      </c>
      <c r="AA13" s="53"/>
      <c r="AB13" s="17"/>
      <c r="AC13" s="69" t="s">
        <v>63</v>
      </c>
      <c r="AD13" s="83">
        <v>250</v>
      </c>
      <c r="AE13" s="84">
        <v>260</v>
      </c>
      <c r="AF13" s="85">
        <v>120</v>
      </c>
      <c r="AG13" s="85">
        <v>60</v>
      </c>
      <c r="AH13" s="86">
        <v>20</v>
      </c>
      <c r="AI13" s="84">
        <v>12</v>
      </c>
      <c r="AJ13" s="87">
        <f>SUM(AD13:AI13)</f>
        <v>722</v>
      </c>
      <c r="AK13" s="3742"/>
      <c r="AL13" s="17"/>
      <c r="AM13" s="3718" t="s">
        <v>64</v>
      </c>
      <c r="AN13" s="3650" t="s">
        <v>41</v>
      </c>
      <c r="AO13" s="3803" t="s">
        <v>65</v>
      </c>
      <c r="AP13" s="7"/>
      <c r="AQ13" s="17"/>
      <c r="AR13" s="17"/>
      <c r="AS13" s="17"/>
      <c r="AT13" s="9">
        <v>18</v>
      </c>
    </row>
    <row r="14" spans="1:46" ht="18" customHeight="1">
      <c r="A14" s="3747"/>
      <c r="B14" s="88"/>
      <c r="C14" s="89"/>
      <c r="D14" s="90"/>
      <c r="E14" s="90"/>
      <c r="F14" s="91">
        <v>0</v>
      </c>
      <c r="G14" s="92" t="s">
        <v>66</v>
      </c>
      <c r="H14" s="93" t="s">
        <v>36</v>
      </c>
      <c r="I14" s="94" t="s">
        <v>37</v>
      </c>
      <c r="J14" s="95" t="s">
        <v>36</v>
      </c>
      <c r="K14" s="94" t="s">
        <v>37</v>
      </c>
      <c r="L14" s="95" t="s">
        <v>36</v>
      </c>
      <c r="M14" s="94" t="s">
        <v>37</v>
      </c>
      <c r="N14" s="95" t="s">
        <v>36</v>
      </c>
      <c r="O14" s="94" t="s">
        <v>37</v>
      </c>
      <c r="P14" s="95" t="s">
        <v>36</v>
      </c>
      <c r="Q14" s="94" t="s">
        <v>37</v>
      </c>
      <c r="R14" s="95" t="s">
        <v>36</v>
      </c>
      <c r="S14" s="96" t="s">
        <v>37</v>
      </c>
      <c r="T14" s="97"/>
      <c r="U14" s="98"/>
      <c r="V14" s="99"/>
      <c r="W14" s="100"/>
      <c r="X14" s="101"/>
      <c r="Y14" s="102"/>
      <c r="Z14" s="102"/>
      <c r="AA14" s="53"/>
      <c r="AB14" s="17"/>
      <c r="AC14" s="103" t="s">
        <v>67</v>
      </c>
      <c r="AD14" s="104">
        <v>10</v>
      </c>
      <c r="AE14" s="104">
        <v>15</v>
      </c>
      <c r="AF14" s="104">
        <v>25</v>
      </c>
      <c r="AG14" s="104">
        <v>31.25</v>
      </c>
      <c r="AH14" s="104">
        <v>25</v>
      </c>
      <c r="AI14" s="104">
        <v>20</v>
      </c>
      <c r="AJ14" s="105" t="s">
        <v>68</v>
      </c>
      <c r="AK14" s="3742"/>
      <c r="AL14" s="17"/>
      <c r="AM14" s="3719"/>
      <c r="AN14" s="3651"/>
      <c r="AO14" s="3653"/>
      <c r="AP14" s="7"/>
      <c r="AQ14" s="17"/>
      <c r="AR14" s="17"/>
      <c r="AS14" s="17"/>
      <c r="AT14" s="9">
        <v>18</v>
      </c>
    </row>
    <row r="15" spans="1:46" ht="15.95" customHeight="1">
      <c r="A15" s="3747"/>
      <c r="B15" s="106"/>
      <c r="C15" s="365"/>
      <c r="D15" s="107">
        <v>3</v>
      </c>
      <c r="E15" s="108">
        <f t="shared" ref="E15:E18" si="0">IF(ISTEXT(B15),0,IF(ISBLANK(B15),D15,(D15*B15)))</f>
        <v>3</v>
      </c>
      <c r="F15" s="109">
        <f>IF(ISBLANK(G15),"",LARGE(F14:F14,1)+1)</f>
        <v>1</v>
      </c>
      <c r="G15" s="110" t="s">
        <v>69</v>
      </c>
      <c r="H15" s="111">
        <f>(U15/AJ15)*AD15</f>
        <v>2.5</v>
      </c>
      <c r="I15" s="112">
        <f>(X15/AJ18)*AD18</f>
        <v>2.5</v>
      </c>
      <c r="J15" s="113">
        <f>(U15/AJ15)*AE15</f>
        <v>3.9</v>
      </c>
      <c r="K15" s="114">
        <f>(X15/AJ18)*AE18</f>
        <v>3.9</v>
      </c>
      <c r="L15" s="113">
        <f>(U15/AJ15)*AF15</f>
        <v>3</v>
      </c>
      <c r="M15" s="114">
        <f>(X15/AJ18)*AF18</f>
        <v>3</v>
      </c>
      <c r="N15" s="113">
        <f>(U15/AJ15)*AG15</f>
        <v>1.875</v>
      </c>
      <c r="O15" s="114">
        <f>(X15/AJ18)*AG18</f>
        <v>1.875</v>
      </c>
      <c r="P15" s="113">
        <f>(U15/AJ15)*AH15</f>
        <v>0.5</v>
      </c>
      <c r="Q15" s="114">
        <f>(X15/AJ18)*AH18</f>
        <v>0.5</v>
      </c>
      <c r="R15" s="112">
        <f>(U15/AJ15)*AI15</f>
        <v>0.24</v>
      </c>
      <c r="S15" s="115">
        <f>(X15/AJ18)*AI18</f>
        <v>0.24</v>
      </c>
      <c r="T15" s="116"/>
      <c r="U15" s="369">
        <f t="shared" ref="U15:U52" si="1">IF(E15=0,0,((X15-(X15*T15%))))</f>
        <v>12.015000000000001</v>
      </c>
      <c r="V15" s="148">
        <f>IF(ISTEXT(B15),B15,(B15/B9)*W8)</f>
        <v>0</v>
      </c>
      <c r="W15" s="119">
        <f t="shared" ref="W15:W52" si="2">C15</f>
        <v>0</v>
      </c>
      <c r="X15" s="117">
        <f>(E15/B9)*W8</f>
        <v>12.015000000000001</v>
      </c>
      <c r="Y15" s="120">
        <v>1</v>
      </c>
      <c r="Z15" s="372">
        <f t="shared" ref="Z15:Z52" si="3">IF(ISBLANK(D15),V15*Y15,X15*Y15)</f>
        <v>12.015000000000001</v>
      </c>
      <c r="AA15" s="122"/>
      <c r="AB15" s="110"/>
      <c r="AC15" s="123" t="s">
        <v>70</v>
      </c>
      <c r="AD15" s="124">
        <f>(AD14*AD13)/1000</f>
        <v>2.5</v>
      </c>
      <c r="AE15" s="124">
        <f t="shared" ref="AE15:AI15" si="4">(AE14*AE13)/1000</f>
        <v>3.9</v>
      </c>
      <c r="AF15" s="124">
        <f t="shared" si="4"/>
        <v>3</v>
      </c>
      <c r="AG15" s="124">
        <f t="shared" si="4"/>
        <v>1.875</v>
      </c>
      <c r="AH15" s="124">
        <f t="shared" si="4"/>
        <v>0.5</v>
      </c>
      <c r="AI15" s="124">
        <f t="shared" si="4"/>
        <v>0.24</v>
      </c>
      <c r="AJ15" s="125">
        <f>SUM(AD15:AI15)</f>
        <v>12.015000000000001</v>
      </c>
      <c r="AK15" s="3742"/>
      <c r="AL15" s="17"/>
      <c r="AM15" s="126">
        <v>2</v>
      </c>
      <c r="AN15" s="127" t="s">
        <v>71</v>
      </c>
      <c r="AO15" s="128">
        <v>0.05</v>
      </c>
      <c r="AP15" s="7"/>
      <c r="AQ15" s="17"/>
      <c r="AR15" s="17"/>
      <c r="AS15" s="17"/>
      <c r="AT15" s="9">
        <v>16</v>
      </c>
    </row>
    <row r="16" spans="1:46" ht="15.95" customHeight="1">
      <c r="A16" s="3747"/>
      <c r="B16" s="364"/>
      <c r="C16" s="366"/>
      <c r="D16" s="129"/>
      <c r="E16" s="130">
        <f t="shared" si="0"/>
        <v>0</v>
      </c>
      <c r="F16" s="131" t="str">
        <f>IF(ISBLANK(G16),"",LARGE(F14:F15,1)+1)</f>
        <v/>
      </c>
      <c r="G16" s="110"/>
      <c r="H16" s="132">
        <f>(U16/AJ15)*AD15</f>
        <v>0</v>
      </c>
      <c r="I16" s="133">
        <f>(X16/AJ18)*AD18</f>
        <v>0</v>
      </c>
      <c r="J16" s="134">
        <f>(U16/AJ15)*AE15</f>
        <v>0</v>
      </c>
      <c r="K16" s="135">
        <f>(X16/AJ18)*AE18</f>
        <v>0</v>
      </c>
      <c r="L16" s="134">
        <f>(U16/AJ15)*AF15</f>
        <v>0</v>
      </c>
      <c r="M16" s="135">
        <f>(X16/AJ18)*AF18</f>
        <v>0</v>
      </c>
      <c r="N16" s="134">
        <f>(U16/AJ15)*AG15</f>
        <v>0</v>
      </c>
      <c r="O16" s="135">
        <f>(X16/AJ18)*AG18</f>
        <v>0</v>
      </c>
      <c r="P16" s="134">
        <f>(U16/AJ15)*AH15</f>
        <v>0</v>
      </c>
      <c r="Q16" s="135">
        <f>(X16/AJ18)*AH18</f>
        <v>0</v>
      </c>
      <c r="R16" s="133">
        <f>(U16/AJ15)*AI15</f>
        <v>0</v>
      </c>
      <c r="S16" s="136">
        <f>(X16/AJ18)*AI18</f>
        <v>0</v>
      </c>
      <c r="T16" s="116"/>
      <c r="U16" s="370">
        <f t="shared" si="1"/>
        <v>0</v>
      </c>
      <c r="V16" s="138">
        <f>IF(ISTEXT(B16),B16,(B16/B9)*W8)</f>
        <v>0</v>
      </c>
      <c r="W16" s="139">
        <f t="shared" si="2"/>
        <v>0</v>
      </c>
      <c r="X16" s="137">
        <f>(E16/B9)*W8</f>
        <v>0</v>
      </c>
      <c r="Y16" s="120"/>
      <c r="Z16" s="372">
        <f t="shared" si="3"/>
        <v>0</v>
      </c>
      <c r="AA16" s="140"/>
      <c r="AB16" s="141">
        <v>0</v>
      </c>
      <c r="AC16" s="142" t="s">
        <v>72</v>
      </c>
      <c r="AD16" s="143"/>
      <c r="AE16" s="17"/>
      <c r="AF16" s="17"/>
      <c r="AG16" s="17"/>
      <c r="AH16" s="17"/>
      <c r="AI16" s="17"/>
      <c r="AJ16" s="144"/>
      <c r="AK16" s="3742"/>
      <c r="AL16" s="17"/>
      <c r="AM16" s="145"/>
      <c r="AN16" s="146" t="s">
        <v>73</v>
      </c>
      <c r="AO16" s="147"/>
      <c r="AP16" s="7"/>
      <c r="AQ16" s="17"/>
      <c r="AR16" s="17"/>
      <c r="AS16" s="17"/>
      <c r="AT16" s="9">
        <v>16</v>
      </c>
    </row>
    <row r="17" spans="1:46" ht="15.95" customHeight="1">
      <c r="A17" s="3747"/>
      <c r="B17" s="106"/>
      <c r="C17" s="365"/>
      <c r="D17" s="107"/>
      <c r="E17" s="108">
        <f t="shared" si="0"/>
        <v>0</v>
      </c>
      <c r="F17" s="109" t="str">
        <f>IF(ISBLANK(G17),"",LARGE(F14:F16,1)+1)</f>
        <v/>
      </c>
      <c r="G17" s="110"/>
      <c r="H17" s="111">
        <f>(U17/AJ15)*AD15</f>
        <v>0</v>
      </c>
      <c r="I17" s="112">
        <f>(X17/AJ18)*AD18</f>
        <v>0</v>
      </c>
      <c r="J17" s="113">
        <f>(U17/AJ15)*AE15</f>
        <v>0</v>
      </c>
      <c r="K17" s="114">
        <f>(X17/AJ18)*AE18</f>
        <v>0</v>
      </c>
      <c r="L17" s="113">
        <f>(U17/AJ15)*AF15</f>
        <v>0</v>
      </c>
      <c r="M17" s="114">
        <f>(X17/AJ18)*AF18</f>
        <v>0</v>
      </c>
      <c r="N17" s="113">
        <f>(U17/AJ15)*AG15</f>
        <v>0</v>
      </c>
      <c r="O17" s="114">
        <f>(X17/AJ18)*AG18</f>
        <v>0</v>
      </c>
      <c r="P17" s="113">
        <f>(U17/AJ15)*AH15</f>
        <v>0</v>
      </c>
      <c r="Q17" s="114">
        <f>(X17/AJ18)*AH18</f>
        <v>0</v>
      </c>
      <c r="R17" s="112">
        <f>(U17/AJ15)*AI15</f>
        <v>0</v>
      </c>
      <c r="S17" s="115">
        <f>(X17/AJ18)*AI18</f>
        <v>0</v>
      </c>
      <c r="T17" s="116"/>
      <c r="U17" s="369">
        <f t="shared" si="1"/>
        <v>0</v>
      </c>
      <c r="V17" s="148">
        <f>IF(ISTEXT(B17),B17,(B17/B9)*W8)</f>
        <v>0</v>
      </c>
      <c r="W17" s="119">
        <f t="shared" si="2"/>
        <v>0</v>
      </c>
      <c r="X17" s="117">
        <f>(E17/B9)*W8</f>
        <v>0</v>
      </c>
      <c r="Y17" s="120"/>
      <c r="Z17" s="372">
        <f t="shared" si="3"/>
        <v>0</v>
      </c>
      <c r="AA17" s="53"/>
      <c r="AB17" s="17"/>
      <c r="AC17" s="123" t="s">
        <v>74</v>
      </c>
      <c r="AD17" s="149">
        <f>AD14/(100-AB16)*100</f>
        <v>10</v>
      </c>
      <c r="AE17" s="149">
        <f>AE14/(100-AB16)*100</f>
        <v>15</v>
      </c>
      <c r="AF17" s="149">
        <f>AF14/(100-AB16)*100</f>
        <v>25</v>
      </c>
      <c r="AG17" s="149">
        <f>AG14/(100-AB16)*100</f>
        <v>31.25</v>
      </c>
      <c r="AH17" s="149">
        <f>AH14/(100-AB16)*100</f>
        <v>25</v>
      </c>
      <c r="AI17" s="149">
        <f>AI14/(100-AB16)*100</f>
        <v>20</v>
      </c>
      <c r="AJ17" s="150" t="s">
        <v>75</v>
      </c>
      <c r="AK17" s="3742"/>
      <c r="AL17" s="17"/>
      <c r="AM17" s="126"/>
      <c r="AN17" s="127"/>
      <c r="AO17" s="128">
        <v>0.15</v>
      </c>
      <c r="AP17" s="151"/>
      <c r="AQ17" s="17"/>
      <c r="AR17" s="17"/>
      <c r="AS17" s="17"/>
      <c r="AT17" s="9">
        <v>16</v>
      </c>
    </row>
    <row r="18" spans="1:46" ht="15.95" customHeight="1">
      <c r="A18" s="3747"/>
      <c r="B18" s="364"/>
      <c r="C18" s="366"/>
      <c r="D18" s="129"/>
      <c r="E18" s="130">
        <f t="shared" si="0"/>
        <v>0</v>
      </c>
      <c r="F18" s="131" t="str">
        <f>IF(ISBLANK(G18),"",LARGE(F14:F17,1)+1)</f>
        <v/>
      </c>
      <c r="G18" s="110"/>
      <c r="H18" s="132">
        <f>(U18/AJ15)*AD15</f>
        <v>0</v>
      </c>
      <c r="I18" s="133">
        <f>(X18/AJ18)*AD18</f>
        <v>0</v>
      </c>
      <c r="J18" s="134">
        <f>(U18/AJ15)*AE15</f>
        <v>0</v>
      </c>
      <c r="K18" s="135">
        <f>(X18/AJ18)*AE18</f>
        <v>0</v>
      </c>
      <c r="L18" s="134">
        <f>(U18/AJ15)*AF15</f>
        <v>0</v>
      </c>
      <c r="M18" s="135">
        <f>(X18/AJ18)*AF18</f>
        <v>0</v>
      </c>
      <c r="N18" s="134">
        <f>(U18/AJ15)*AG15</f>
        <v>0</v>
      </c>
      <c r="O18" s="135">
        <f>(X18/AJ18)*AG18</f>
        <v>0</v>
      </c>
      <c r="P18" s="134">
        <f>(U18/AJ15)*AH15</f>
        <v>0</v>
      </c>
      <c r="Q18" s="135">
        <f>(X18/AJ18)*AH18</f>
        <v>0</v>
      </c>
      <c r="R18" s="133">
        <f>(U18/AJ15)*AI15</f>
        <v>0</v>
      </c>
      <c r="S18" s="136">
        <f>(X18/AJ18)*AI18</f>
        <v>0</v>
      </c>
      <c r="T18" s="116"/>
      <c r="U18" s="370">
        <f t="shared" si="1"/>
        <v>0</v>
      </c>
      <c r="V18" s="138">
        <f>IF(ISTEXT(B18),B18,(B18/B9)*W8)</f>
        <v>0</v>
      </c>
      <c r="W18" s="139">
        <f t="shared" si="2"/>
        <v>0</v>
      </c>
      <c r="X18" s="137">
        <f>(E18/B9)*W8</f>
        <v>0</v>
      </c>
      <c r="Y18" s="120"/>
      <c r="Z18" s="372">
        <f t="shared" si="3"/>
        <v>0</v>
      </c>
      <c r="AA18" s="53"/>
      <c r="AB18" s="17"/>
      <c r="AC18" s="123" t="s">
        <v>76</v>
      </c>
      <c r="AD18" s="153">
        <f>AD15/(100-AB16)*100</f>
        <v>2.5</v>
      </c>
      <c r="AE18" s="153">
        <f>AE15/(100-AB16)*100</f>
        <v>3.9</v>
      </c>
      <c r="AF18" s="153">
        <f>AF15/(100-AB16)*100</f>
        <v>3</v>
      </c>
      <c r="AG18" s="153">
        <f>AG15/(100-AB16)*100</f>
        <v>1.875</v>
      </c>
      <c r="AH18" s="153">
        <f>AH15/(100-AB16)*100</f>
        <v>0.5</v>
      </c>
      <c r="AI18" s="153">
        <f>AI15/(100-AB16)*100</f>
        <v>0.24</v>
      </c>
      <c r="AJ18" s="154">
        <f>SUM(AD18:AI18)</f>
        <v>12.015000000000001</v>
      </c>
      <c r="AK18" s="3742"/>
      <c r="AL18" s="17"/>
      <c r="AM18" s="145"/>
      <c r="AN18" s="146" t="s">
        <v>77</v>
      </c>
      <c r="AO18" s="147"/>
      <c r="AP18" s="151"/>
      <c r="AQ18" s="17"/>
      <c r="AR18" s="17"/>
      <c r="AS18" s="17"/>
      <c r="AT18" s="9">
        <v>16</v>
      </c>
    </row>
    <row r="19" spans="1:46" ht="15.95" customHeight="1">
      <c r="A19" s="3747"/>
      <c r="B19" s="106"/>
      <c r="C19" s="365"/>
      <c r="D19" s="107"/>
      <c r="E19" s="108">
        <f>IF(ISTEXT(B19),0,IF(ISBLANK(B19),D19,(D19*B19)))</f>
        <v>0</v>
      </c>
      <c r="F19" s="109" t="str">
        <f>IF(ISBLANK(G19),"",LARGE(F14:F18,1)+1)</f>
        <v/>
      </c>
      <c r="G19" s="110"/>
      <c r="H19" s="111">
        <f>(U19/AJ15)*AD15</f>
        <v>0</v>
      </c>
      <c r="I19" s="112">
        <f>(X19/AJ18)*AD18</f>
        <v>0</v>
      </c>
      <c r="J19" s="113">
        <f>(U19/AJ15)*AE15</f>
        <v>0</v>
      </c>
      <c r="K19" s="114">
        <f>(X19/AJ18)*AE18</f>
        <v>0</v>
      </c>
      <c r="L19" s="113">
        <f>(U19/AJ15)*AF15</f>
        <v>0</v>
      </c>
      <c r="M19" s="114">
        <f>(X19/AJ18)*AF18</f>
        <v>0</v>
      </c>
      <c r="N19" s="113">
        <f>(U19/AJ15)*AG15</f>
        <v>0</v>
      </c>
      <c r="O19" s="114">
        <f>(X19/AJ18)*AG18</f>
        <v>0</v>
      </c>
      <c r="P19" s="113">
        <f>(U19/AJ15)*AH15</f>
        <v>0</v>
      </c>
      <c r="Q19" s="114">
        <f>(X19/AJ18)*AH18</f>
        <v>0</v>
      </c>
      <c r="R19" s="112">
        <f>(U19/AJ15)*AI15</f>
        <v>0</v>
      </c>
      <c r="S19" s="115">
        <f>(X19/AJ18)*AI18</f>
        <v>0</v>
      </c>
      <c r="T19" s="116"/>
      <c r="U19" s="369">
        <f t="shared" si="1"/>
        <v>0</v>
      </c>
      <c r="V19" s="148">
        <f>IF(ISTEXT(B19),B19,(B19/B9)*W8)</f>
        <v>0</v>
      </c>
      <c r="W19" s="119">
        <f t="shared" si="2"/>
        <v>0</v>
      </c>
      <c r="X19" s="117">
        <f>(E19/B9)*W8</f>
        <v>0</v>
      </c>
      <c r="Y19" s="120"/>
      <c r="Z19" s="372">
        <f t="shared" si="3"/>
        <v>0</v>
      </c>
      <c r="AA19" s="122"/>
      <c r="AB19" s="110"/>
      <c r="AC19" s="123" t="s">
        <v>78</v>
      </c>
      <c r="AD19" s="155">
        <f t="shared" ref="AD19:AI19" si="5">IF(ISBLANK(AD17),0,1/AD17*1000)</f>
        <v>100</v>
      </c>
      <c r="AE19" s="155">
        <f t="shared" si="5"/>
        <v>66.666666666666671</v>
      </c>
      <c r="AF19" s="155">
        <f t="shared" si="5"/>
        <v>40</v>
      </c>
      <c r="AG19" s="155">
        <f t="shared" si="5"/>
        <v>32</v>
      </c>
      <c r="AH19" s="155">
        <f t="shared" si="5"/>
        <v>40</v>
      </c>
      <c r="AI19" s="155">
        <f t="shared" si="5"/>
        <v>50</v>
      </c>
      <c r="AJ19" s="156" t="str">
        <f>ADDRESS(ROW(AJ18),COLUMN(AJ18),4)</f>
        <v>AJ18</v>
      </c>
      <c r="AK19" s="3742"/>
      <c r="AL19" s="17"/>
      <c r="AM19" s="126">
        <v>3</v>
      </c>
      <c r="AN19" s="127" t="s">
        <v>79</v>
      </c>
      <c r="AO19" s="128">
        <v>0.02</v>
      </c>
      <c r="AP19" s="151"/>
      <c r="AQ19" s="17"/>
      <c r="AR19" s="17"/>
      <c r="AS19" s="17"/>
      <c r="AT19" s="9">
        <v>16</v>
      </c>
    </row>
    <row r="20" spans="1:46" ht="15.95" customHeight="1">
      <c r="A20" s="3747"/>
      <c r="B20" s="364"/>
      <c r="C20" s="366"/>
      <c r="D20" s="129"/>
      <c r="E20" s="130">
        <f t="shared" ref="E20:E52" si="6">IF(ISTEXT(B20),0,IF(ISBLANK(B20),D20,(D20*B20)))</f>
        <v>0</v>
      </c>
      <c r="F20" s="131" t="str">
        <f>IF(ISBLANK(G20),"",LARGE(F14:F19,1)+1)</f>
        <v/>
      </c>
      <c r="G20" s="110"/>
      <c r="H20" s="132">
        <f>(U20/AJ15)*AD15</f>
        <v>0</v>
      </c>
      <c r="I20" s="133">
        <f>(X20/AJ18)*AD18</f>
        <v>0</v>
      </c>
      <c r="J20" s="134">
        <f>(U20/AJ15)*AE15</f>
        <v>0</v>
      </c>
      <c r="K20" s="135">
        <f>(X20/AJ18)*AE18</f>
        <v>0</v>
      </c>
      <c r="L20" s="134">
        <f>(U20/AJ15)*AF15</f>
        <v>0</v>
      </c>
      <c r="M20" s="135">
        <f>(X20/AJ18)*AF18</f>
        <v>0</v>
      </c>
      <c r="N20" s="134">
        <f>(U20/AJ15)*AG15</f>
        <v>0</v>
      </c>
      <c r="O20" s="135">
        <f>(X20/AJ18)*AG18</f>
        <v>0</v>
      </c>
      <c r="P20" s="134">
        <f>(U20/AJ15)*AH15</f>
        <v>0</v>
      </c>
      <c r="Q20" s="135">
        <f>(X20/AJ18)*AH18</f>
        <v>0</v>
      </c>
      <c r="R20" s="133">
        <f>(U20/AJ15)*AI15</f>
        <v>0</v>
      </c>
      <c r="S20" s="136">
        <f>(X20/AJ18)*AI18</f>
        <v>0</v>
      </c>
      <c r="T20" s="116"/>
      <c r="U20" s="370">
        <f t="shared" si="1"/>
        <v>0</v>
      </c>
      <c r="V20" s="138">
        <f>IF(ISTEXT(B20),B20,(B20/B9)*W8)</f>
        <v>0</v>
      </c>
      <c r="W20" s="139">
        <f t="shared" si="2"/>
        <v>0</v>
      </c>
      <c r="X20" s="137">
        <f>(E20/B9)*W8</f>
        <v>0</v>
      </c>
      <c r="Y20" s="120"/>
      <c r="Z20" s="372">
        <f t="shared" si="3"/>
        <v>0</v>
      </c>
      <c r="AA20" s="157"/>
      <c r="AB20" s="158"/>
      <c r="AC20" s="159" t="s">
        <v>80</v>
      </c>
      <c r="AD20" s="160">
        <f>(AJ20/AJ18)*AD18</f>
        <v>2.5</v>
      </c>
      <c r="AE20" s="160">
        <f>(AJ20/AJ18)*AE18</f>
        <v>3.9</v>
      </c>
      <c r="AF20" s="160">
        <f>(AJ20/AJ18)*AF18</f>
        <v>3</v>
      </c>
      <c r="AG20" s="160">
        <f>(AJ20/AJ18)*AG18</f>
        <v>1.875</v>
      </c>
      <c r="AH20" s="160">
        <f>(AJ20/AJ18)*AH18</f>
        <v>0.5</v>
      </c>
      <c r="AI20" s="160">
        <f>(AJ20/AJ18)*AI18</f>
        <v>0.24</v>
      </c>
      <c r="AJ20" s="161">
        <f>Y12</f>
        <v>12.015000000000001</v>
      </c>
      <c r="AK20" s="3742"/>
      <c r="AL20" s="17"/>
      <c r="AM20" s="145"/>
      <c r="AN20" s="146" t="s">
        <v>81</v>
      </c>
      <c r="AO20" s="147"/>
      <c r="AP20" s="151"/>
      <c r="AQ20" s="17"/>
      <c r="AR20" s="17"/>
      <c r="AS20" s="17"/>
      <c r="AT20" s="9">
        <v>16</v>
      </c>
    </row>
    <row r="21" spans="1:46" ht="15.95" customHeight="1">
      <c r="A21" s="3747"/>
      <c r="B21" s="106"/>
      <c r="C21" s="365"/>
      <c r="D21" s="107"/>
      <c r="E21" s="108">
        <f t="shared" si="6"/>
        <v>0</v>
      </c>
      <c r="F21" s="109" t="str">
        <f>IF(ISBLANK(G21),"",LARGE(F14:F20,1)+1)</f>
        <v/>
      </c>
      <c r="G21" s="110"/>
      <c r="H21" s="111">
        <f>(U21/AJ15)*AD15</f>
        <v>0</v>
      </c>
      <c r="I21" s="112">
        <f>(X21/AJ18)*AD18</f>
        <v>0</v>
      </c>
      <c r="J21" s="113">
        <f>(U21/AJ15)*AE15</f>
        <v>0</v>
      </c>
      <c r="K21" s="114">
        <f>(X21/AJ18)*AE18</f>
        <v>0</v>
      </c>
      <c r="L21" s="113">
        <f>(U21/AJ15)*AF15</f>
        <v>0</v>
      </c>
      <c r="M21" s="114">
        <f>(X21/AJ18)*AF18</f>
        <v>0</v>
      </c>
      <c r="N21" s="113">
        <f>(U21/AJ15)*AG15</f>
        <v>0</v>
      </c>
      <c r="O21" s="114">
        <f>(X21/AJ18)*AG18</f>
        <v>0</v>
      </c>
      <c r="P21" s="113">
        <f>(U21/AJ15)*AH15</f>
        <v>0</v>
      </c>
      <c r="Q21" s="114">
        <f>(X21/AJ18)*AH18</f>
        <v>0</v>
      </c>
      <c r="R21" s="112">
        <f>(U21/AJ15)*AI15</f>
        <v>0</v>
      </c>
      <c r="S21" s="115">
        <f>(X21/AJ18)*AI18</f>
        <v>0</v>
      </c>
      <c r="T21" s="116"/>
      <c r="U21" s="369">
        <f t="shared" si="1"/>
        <v>0</v>
      </c>
      <c r="V21" s="148">
        <f>IF(ISTEXT(B21),B21,(B21/B9)*W8)</f>
        <v>0</v>
      </c>
      <c r="W21" s="119">
        <f t="shared" si="2"/>
        <v>0</v>
      </c>
      <c r="X21" s="117">
        <f>(E21/B9)*W8</f>
        <v>0</v>
      </c>
      <c r="Y21" s="120"/>
      <c r="Z21" s="372">
        <f t="shared" si="3"/>
        <v>0</v>
      </c>
      <c r="AA21" s="162">
        <v>0</v>
      </c>
      <c r="AB21" s="163" t="s">
        <v>82</v>
      </c>
      <c r="AC21" s="164"/>
      <c r="AD21" s="164"/>
      <c r="AE21" s="164"/>
      <c r="AF21" s="164"/>
      <c r="AG21" s="164"/>
      <c r="AH21" s="164"/>
      <c r="AI21" s="164"/>
      <c r="AJ21" s="165"/>
      <c r="AK21" s="3742"/>
      <c r="AL21" s="17"/>
      <c r="AM21" s="126">
        <v>5</v>
      </c>
      <c r="AN21" s="127" t="s">
        <v>83</v>
      </c>
      <c r="AO21" s="128">
        <v>0.05</v>
      </c>
      <c r="AP21" s="151"/>
      <c r="AQ21" s="17"/>
      <c r="AR21" s="17"/>
      <c r="AS21" s="17"/>
      <c r="AT21" s="9">
        <v>16</v>
      </c>
    </row>
    <row r="22" spans="1:46" ht="15.95" customHeight="1">
      <c r="A22" s="3747"/>
      <c r="B22" s="364"/>
      <c r="C22" s="366"/>
      <c r="D22" s="129"/>
      <c r="E22" s="130">
        <f t="shared" si="6"/>
        <v>0</v>
      </c>
      <c r="F22" s="131" t="str">
        <f>IF(ISBLANK(G22),"",LARGE(F14:F21,1)+1)</f>
        <v/>
      </c>
      <c r="G22" s="110"/>
      <c r="H22" s="132">
        <f>(U22/AJ15)*AD15</f>
        <v>0</v>
      </c>
      <c r="I22" s="133">
        <f>(X22/AJ18)*AD18</f>
        <v>0</v>
      </c>
      <c r="J22" s="134">
        <f>(U22/AJ15)*AE15</f>
        <v>0</v>
      </c>
      <c r="K22" s="135">
        <f>(X22/AJ18)*AE18</f>
        <v>0</v>
      </c>
      <c r="L22" s="134">
        <f>(U22/AJ15)*AF15</f>
        <v>0</v>
      </c>
      <c r="M22" s="135">
        <f>(X22/AJ18)*AF18</f>
        <v>0</v>
      </c>
      <c r="N22" s="134">
        <f>(U22/AJ15)*AG15</f>
        <v>0</v>
      </c>
      <c r="O22" s="135">
        <f>(X22/AJ18)*AG18</f>
        <v>0</v>
      </c>
      <c r="P22" s="134">
        <f>(U22/AJ15)*AH15</f>
        <v>0</v>
      </c>
      <c r="Q22" s="135">
        <f>(X22/AJ18)*AH18</f>
        <v>0</v>
      </c>
      <c r="R22" s="133">
        <f>(U22/AJ15)*AI15</f>
        <v>0</v>
      </c>
      <c r="S22" s="136">
        <f>(X22/AJ18)*AI18</f>
        <v>0</v>
      </c>
      <c r="T22" s="116"/>
      <c r="U22" s="370">
        <f t="shared" si="1"/>
        <v>0</v>
      </c>
      <c r="V22" s="138">
        <f>IF(ISTEXT(B22),B22,(B22/B9)*W8)</f>
        <v>0</v>
      </c>
      <c r="W22" s="139">
        <f t="shared" si="2"/>
        <v>0</v>
      </c>
      <c r="X22" s="137">
        <f>(E22/B9)*W8</f>
        <v>0</v>
      </c>
      <c r="Y22" s="120"/>
      <c r="Z22" s="372">
        <f t="shared" si="3"/>
        <v>0</v>
      </c>
      <c r="AA22" s="166" t="str">
        <f>IF(ISBLANK(AB22),"",LARGE(AA21:AA21,1)+1)</f>
        <v/>
      </c>
      <c r="AB22" s="110"/>
      <c r="AC22" s="110"/>
      <c r="AD22" s="110"/>
      <c r="AE22" s="110"/>
      <c r="AF22" s="110"/>
      <c r="AG22" s="110"/>
      <c r="AH22" s="110"/>
      <c r="AI22" s="110"/>
      <c r="AJ22" s="167"/>
      <c r="AK22" s="3742"/>
      <c r="AL22" s="17"/>
      <c r="AM22" s="168"/>
      <c r="AN22" s="169"/>
      <c r="AO22" s="170"/>
      <c r="AP22" s="151"/>
      <c r="AQ22" s="17"/>
      <c r="AR22" s="17"/>
      <c r="AS22" s="17"/>
      <c r="AT22" s="9">
        <v>16</v>
      </c>
    </row>
    <row r="23" spans="1:46" ht="15.95" customHeight="1">
      <c r="A23" s="3747"/>
      <c r="B23" s="106"/>
      <c r="C23" s="365"/>
      <c r="D23" s="107"/>
      <c r="E23" s="108">
        <f t="shared" si="6"/>
        <v>0</v>
      </c>
      <c r="F23" s="109" t="str">
        <f>IF(ISBLANK(G23),"",LARGE(F14:F22,1)+1)</f>
        <v/>
      </c>
      <c r="G23" s="110"/>
      <c r="H23" s="111">
        <f>(U23/AJ15)*AD15</f>
        <v>0</v>
      </c>
      <c r="I23" s="112">
        <f>(X23/AJ18)*AD18</f>
        <v>0</v>
      </c>
      <c r="J23" s="113">
        <f>(U23/AJ15)*AE15</f>
        <v>0</v>
      </c>
      <c r="K23" s="114">
        <f>(X23/AJ18)*AE18</f>
        <v>0</v>
      </c>
      <c r="L23" s="113">
        <f>(U23/AJ15)*AF15</f>
        <v>0</v>
      </c>
      <c r="M23" s="114">
        <f>(X23/AJ18)*AF18</f>
        <v>0</v>
      </c>
      <c r="N23" s="113">
        <f>(U23/AJ15)*AG15</f>
        <v>0</v>
      </c>
      <c r="O23" s="114">
        <f>(X23/AJ18)*AG18</f>
        <v>0</v>
      </c>
      <c r="P23" s="113">
        <f>(U23/AJ15)*AH15</f>
        <v>0</v>
      </c>
      <c r="Q23" s="114">
        <f>(X23/AJ18)*AH18</f>
        <v>0</v>
      </c>
      <c r="R23" s="112">
        <f>(U23/AJ15)*AI15</f>
        <v>0</v>
      </c>
      <c r="S23" s="115">
        <f>(X23/AJ18)*AI18</f>
        <v>0</v>
      </c>
      <c r="T23" s="116"/>
      <c r="U23" s="369">
        <f t="shared" si="1"/>
        <v>0</v>
      </c>
      <c r="V23" s="148">
        <f>IF(ISTEXT(B23),B23,(B23/B9)*W8)</f>
        <v>0</v>
      </c>
      <c r="W23" s="119">
        <f t="shared" si="2"/>
        <v>0</v>
      </c>
      <c r="X23" s="117">
        <f>(E23/B9)*W8</f>
        <v>0</v>
      </c>
      <c r="Y23" s="120"/>
      <c r="Z23" s="372">
        <f t="shared" si="3"/>
        <v>0</v>
      </c>
      <c r="AA23" s="166">
        <f>IF(ISBLANK(AB23),"",LARGE(AA21:AA22,1)+1)</f>
        <v>1</v>
      </c>
      <c r="AB23" s="110" t="s">
        <v>84</v>
      </c>
      <c r="AC23" s="110"/>
      <c r="AD23" s="110"/>
      <c r="AE23" s="110"/>
      <c r="AF23" s="110"/>
      <c r="AG23" s="110"/>
      <c r="AH23" s="110"/>
      <c r="AI23" s="110"/>
      <c r="AJ23" s="167"/>
      <c r="AK23" s="3742"/>
      <c r="AL23" s="17"/>
      <c r="AM23" s="171"/>
      <c r="AN23" s="172" t="s">
        <v>19</v>
      </c>
      <c r="AO23" s="173" t="str">
        <f>ADDRESS(ROW(D9),COLUMN(D9),4)</f>
        <v>D9</v>
      </c>
      <c r="AP23" s="151"/>
      <c r="AQ23" s="17"/>
      <c r="AR23" s="17"/>
      <c r="AS23" s="17"/>
      <c r="AT23" s="9">
        <v>16</v>
      </c>
    </row>
    <row r="24" spans="1:46" ht="15.95" customHeight="1">
      <c r="A24" s="3747"/>
      <c r="B24" s="364"/>
      <c r="C24" s="366"/>
      <c r="D24" s="129"/>
      <c r="E24" s="130">
        <f t="shared" si="6"/>
        <v>0</v>
      </c>
      <c r="F24" s="131" t="str">
        <f>IF(ISBLANK(G24),"",LARGE(F14:F23,1)+1)</f>
        <v/>
      </c>
      <c r="G24" s="110"/>
      <c r="H24" s="132">
        <f>(U24/AJ15)*AD15</f>
        <v>0</v>
      </c>
      <c r="I24" s="133">
        <f>(X24/AJ18)*AD18</f>
        <v>0</v>
      </c>
      <c r="J24" s="134">
        <f>(U24/AJ15)*AE15</f>
        <v>0</v>
      </c>
      <c r="K24" s="135">
        <f>(X24/AJ18)*AE18</f>
        <v>0</v>
      </c>
      <c r="L24" s="134">
        <f>(U24/AJ15)*AF15</f>
        <v>0</v>
      </c>
      <c r="M24" s="135">
        <f>(X24/AJ18)*AF18</f>
        <v>0</v>
      </c>
      <c r="N24" s="134">
        <f>(U24/AJ15)*AG15</f>
        <v>0</v>
      </c>
      <c r="O24" s="135">
        <f>(X24/AJ18)*AG18</f>
        <v>0</v>
      </c>
      <c r="P24" s="134">
        <f>(U24/AJ15)*AH15</f>
        <v>0</v>
      </c>
      <c r="Q24" s="135">
        <f>(X24/AJ18)*AH18</f>
        <v>0</v>
      </c>
      <c r="R24" s="133">
        <f>(U24/AJ15)*AI15</f>
        <v>0</v>
      </c>
      <c r="S24" s="136">
        <f>(X24/AJ18)*AI18</f>
        <v>0</v>
      </c>
      <c r="T24" s="116"/>
      <c r="U24" s="370">
        <f t="shared" si="1"/>
        <v>0</v>
      </c>
      <c r="V24" s="138">
        <f>IF(ISTEXT(B24),B24,(B24/B9)*W8)</f>
        <v>0</v>
      </c>
      <c r="W24" s="139">
        <f t="shared" si="2"/>
        <v>0</v>
      </c>
      <c r="X24" s="137">
        <f>(E24/B9)*W8</f>
        <v>0</v>
      </c>
      <c r="Y24" s="120"/>
      <c r="Z24" s="372">
        <f t="shared" si="3"/>
        <v>0</v>
      </c>
      <c r="AA24" s="166">
        <f>IF(ISBLANK(AB24),"",LARGE(AA21:AA23,1)+1)</f>
        <v>2</v>
      </c>
      <c r="AB24" s="110" t="s">
        <v>85</v>
      </c>
      <c r="AC24" s="110"/>
      <c r="AD24" s="110"/>
      <c r="AE24" s="110"/>
      <c r="AF24" s="110"/>
      <c r="AG24" s="110"/>
      <c r="AH24" s="110"/>
      <c r="AI24" s="110"/>
      <c r="AJ24" s="167"/>
      <c r="AK24" s="3742"/>
      <c r="AL24" s="17"/>
      <c r="AM24" s="168"/>
      <c r="AN24" s="169"/>
      <c r="AO24" s="174" t="str">
        <f>D10</f>
        <v>Adultes</v>
      </c>
      <c r="AP24" s="151"/>
      <c r="AQ24" s="17"/>
      <c r="AR24" s="17"/>
      <c r="AS24" s="17"/>
      <c r="AT24" s="9">
        <v>16</v>
      </c>
    </row>
    <row r="25" spans="1:46" ht="15.95" customHeight="1" thickBot="1">
      <c r="A25" s="3747"/>
      <c r="B25" s="106"/>
      <c r="C25" s="365"/>
      <c r="D25" s="107"/>
      <c r="E25" s="108">
        <f t="shared" si="6"/>
        <v>0</v>
      </c>
      <c r="F25" s="109" t="str">
        <f>IF(ISBLANK(G25),"",LARGE(F14:F24,1)+1)</f>
        <v/>
      </c>
      <c r="G25" s="110"/>
      <c r="H25" s="111">
        <f>(U25/AJ15)*AD15</f>
        <v>0</v>
      </c>
      <c r="I25" s="112">
        <f>(X25/AJ18)*AD18</f>
        <v>0</v>
      </c>
      <c r="J25" s="113">
        <f>(U25/AJ15)*AE15</f>
        <v>0</v>
      </c>
      <c r="K25" s="114">
        <f>(X25/AJ18)*AE18</f>
        <v>0</v>
      </c>
      <c r="L25" s="113">
        <f>(U25/AJ15)*AF15</f>
        <v>0</v>
      </c>
      <c r="M25" s="114">
        <f>(X25/AJ18)*AF18</f>
        <v>0</v>
      </c>
      <c r="N25" s="113">
        <f>(U25/AJ15)*AG15</f>
        <v>0</v>
      </c>
      <c r="O25" s="114">
        <f>(X25/AJ18)*AG18</f>
        <v>0</v>
      </c>
      <c r="P25" s="113">
        <f>(U25/AJ15)*AH15</f>
        <v>0</v>
      </c>
      <c r="Q25" s="114">
        <f>(X25/AJ18)*AH18</f>
        <v>0</v>
      </c>
      <c r="R25" s="112">
        <f>(U25/AJ15)*AI15</f>
        <v>0</v>
      </c>
      <c r="S25" s="115">
        <f>(X25/AJ18)*AI18</f>
        <v>0</v>
      </c>
      <c r="T25" s="116"/>
      <c r="U25" s="369">
        <f t="shared" si="1"/>
        <v>0</v>
      </c>
      <c r="V25" s="148">
        <f>IF(ISTEXT(B25),B25,(B25/B9)*W8)</f>
        <v>0</v>
      </c>
      <c r="W25" s="119">
        <f t="shared" si="2"/>
        <v>0</v>
      </c>
      <c r="X25" s="117">
        <f>(E25/B9)*W8</f>
        <v>0</v>
      </c>
      <c r="Y25" s="120"/>
      <c r="Z25" s="372">
        <f t="shared" si="3"/>
        <v>0</v>
      </c>
      <c r="AA25" s="166" t="str">
        <f>IF(ISBLANK(AB25),"",LARGE(AA21:AA24,1)+1)</f>
        <v/>
      </c>
      <c r="AB25" s="110"/>
      <c r="AC25" s="110" t="s">
        <v>86</v>
      </c>
      <c r="AD25" s="110"/>
      <c r="AE25" s="110"/>
      <c r="AF25" s="110"/>
      <c r="AG25" s="110"/>
      <c r="AH25" s="110"/>
      <c r="AI25" s="110"/>
      <c r="AJ25" s="167"/>
      <c r="AK25" s="3742"/>
      <c r="AL25" s="17"/>
      <c r="AM25" s="175"/>
      <c r="AN25" s="176"/>
      <c r="AO25" s="177"/>
      <c r="AP25" s="151"/>
      <c r="AQ25" s="17"/>
      <c r="AR25" s="17"/>
      <c r="AS25" s="17"/>
      <c r="AT25" s="9">
        <v>16</v>
      </c>
    </row>
    <row r="26" spans="1:46" ht="15.95" customHeight="1">
      <c r="A26" s="3747"/>
      <c r="B26" s="364"/>
      <c r="C26" s="366"/>
      <c r="D26" s="129"/>
      <c r="E26" s="130">
        <f t="shared" si="6"/>
        <v>0</v>
      </c>
      <c r="F26" s="131" t="str">
        <f>IF(ISBLANK(G26),"",LARGE(F14:F25,1)+1)</f>
        <v/>
      </c>
      <c r="G26" s="110"/>
      <c r="H26" s="132">
        <f>(U26/AJ15)*AD15</f>
        <v>0</v>
      </c>
      <c r="I26" s="133">
        <f>(X26/AJ18)*AD18</f>
        <v>0</v>
      </c>
      <c r="J26" s="134">
        <f>(U26/AJ15)*AE15</f>
        <v>0</v>
      </c>
      <c r="K26" s="135">
        <f>(X26/AJ18)*AE18</f>
        <v>0</v>
      </c>
      <c r="L26" s="134">
        <f>(U26/AJ15)*AF15</f>
        <v>0</v>
      </c>
      <c r="M26" s="135">
        <f>(X26/AJ18)*AF18</f>
        <v>0</v>
      </c>
      <c r="N26" s="134">
        <f>(U26/AJ15)*AG15</f>
        <v>0</v>
      </c>
      <c r="O26" s="135">
        <f>(X26/AJ18)*AG18</f>
        <v>0</v>
      </c>
      <c r="P26" s="134">
        <f>(U26/AJ15)*AH15</f>
        <v>0</v>
      </c>
      <c r="Q26" s="135">
        <f>(X26/AJ18)*AH18</f>
        <v>0</v>
      </c>
      <c r="R26" s="133">
        <f>(U26/AJ15)*AI15</f>
        <v>0</v>
      </c>
      <c r="S26" s="136">
        <f>(X26/AJ18)*AI18</f>
        <v>0</v>
      </c>
      <c r="T26" s="116"/>
      <c r="U26" s="370">
        <f t="shared" si="1"/>
        <v>0</v>
      </c>
      <c r="V26" s="138">
        <f>IF(ISTEXT(B26),B26,(B26/B9)*W8)</f>
        <v>0</v>
      </c>
      <c r="W26" s="139">
        <f t="shared" si="2"/>
        <v>0</v>
      </c>
      <c r="X26" s="137">
        <f>(E26/B9)*W8</f>
        <v>0</v>
      </c>
      <c r="Y26" s="120"/>
      <c r="Z26" s="372">
        <f t="shared" si="3"/>
        <v>0</v>
      </c>
      <c r="AA26" s="166" t="str">
        <f>IF(ISBLANK(AB26),"",LARGE(AA21:AA25,1)+1)</f>
        <v/>
      </c>
      <c r="AB26" s="110"/>
      <c r="AC26" s="110"/>
      <c r="AD26" s="110"/>
      <c r="AE26" s="110"/>
      <c r="AF26" s="110"/>
      <c r="AG26" s="110"/>
      <c r="AH26" s="110"/>
      <c r="AI26" s="110"/>
      <c r="AJ26" s="167"/>
      <c r="AK26" s="3742"/>
      <c r="AL26" s="17"/>
      <c r="AM26" s="3628" t="s">
        <v>87</v>
      </c>
      <c r="AN26" s="3629"/>
      <c r="AO26" s="178" t="s">
        <v>88</v>
      </c>
      <c r="AP26" s="151"/>
      <c r="AQ26" s="17"/>
      <c r="AR26" s="17"/>
      <c r="AS26" s="17"/>
      <c r="AT26" s="9">
        <v>16</v>
      </c>
    </row>
    <row r="27" spans="1:46" ht="15.95" customHeight="1">
      <c r="A27" s="3747"/>
      <c r="B27" s="106"/>
      <c r="C27" s="365"/>
      <c r="D27" s="107"/>
      <c r="E27" s="108">
        <f t="shared" si="6"/>
        <v>0</v>
      </c>
      <c r="F27" s="109" t="str">
        <f>IF(ISBLANK(G27),"",LARGE(F14:F26,1)+1)</f>
        <v/>
      </c>
      <c r="G27" s="110"/>
      <c r="H27" s="111">
        <f>(U27/AJ15)*AD15</f>
        <v>0</v>
      </c>
      <c r="I27" s="112">
        <f>(X27/AJ18)*AD18</f>
        <v>0</v>
      </c>
      <c r="J27" s="113">
        <f>(U27/AJ15)*AE15</f>
        <v>0</v>
      </c>
      <c r="K27" s="114">
        <f>(X27/AJ18)*AE18</f>
        <v>0</v>
      </c>
      <c r="L27" s="113">
        <f>(U27/AJ15)*AF15</f>
        <v>0</v>
      </c>
      <c r="M27" s="114">
        <f>(X27/AJ18)*AF18</f>
        <v>0</v>
      </c>
      <c r="N27" s="113">
        <f>(U27/AJ15)*AG15</f>
        <v>0</v>
      </c>
      <c r="O27" s="114">
        <f>(X27/AJ18)*AG18</f>
        <v>0</v>
      </c>
      <c r="P27" s="113">
        <f>(U27/AJ15)*AH15</f>
        <v>0</v>
      </c>
      <c r="Q27" s="114">
        <f>(X27/AJ18)*AH18</f>
        <v>0</v>
      </c>
      <c r="R27" s="112">
        <f>(U27/AJ15)*AI15</f>
        <v>0</v>
      </c>
      <c r="S27" s="115">
        <f>(X27/AJ18)*AI18</f>
        <v>0</v>
      </c>
      <c r="T27" s="116"/>
      <c r="U27" s="369">
        <f t="shared" si="1"/>
        <v>0</v>
      </c>
      <c r="V27" s="148">
        <f>IF(ISTEXT(B27),B27,(B27/B9)*W8)</f>
        <v>0</v>
      </c>
      <c r="W27" s="119">
        <f t="shared" si="2"/>
        <v>0</v>
      </c>
      <c r="X27" s="117">
        <f>(E27/B9)*W8</f>
        <v>0</v>
      </c>
      <c r="Y27" s="120"/>
      <c r="Z27" s="372">
        <f t="shared" si="3"/>
        <v>0</v>
      </c>
      <c r="AA27" s="166" t="str">
        <f>IF(ISBLANK(AB27),"",LARGE(AA21:AA26,1)+1)</f>
        <v/>
      </c>
      <c r="AB27" s="110"/>
      <c r="AC27" s="110"/>
      <c r="AD27" s="110"/>
      <c r="AE27" s="110"/>
      <c r="AF27" s="110"/>
      <c r="AG27" s="110"/>
      <c r="AH27" s="110"/>
      <c r="AI27" s="110"/>
      <c r="AJ27" s="167"/>
      <c r="AK27" s="3742"/>
      <c r="AL27" s="17"/>
      <c r="AM27" s="179"/>
      <c r="AN27" s="180"/>
      <c r="AO27" s="181" t="s">
        <v>89</v>
      </c>
      <c r="AP27" s="151"/>
      <c r="AQ27" s="17"/>
      <c r="AR27" s="17"/>
      <c r="AS27" s="17"/>
      <c r="AT27" s="9">
        <v>16</v>
      </c>
    </row>
    <row r="28" spans="1:46" ht="15.95" customHeight="1">
      <c r="A28" s="3747"/>
      <c r="B28" s="364"/>
      <c r="C28" s="366"/>
      <c r="D28" s="129"/>
      <c r="E28" s="130">
        <f t="shared" si="6"/>
        <v>0</v>
      </c>
      <c r="F28" s="131" t="str">
        <f>IF(ISBLANK(G28),"",LARGE(F14:F27,1)+1)</f>
        <v/>
      </c>
      <c r="G28" s="110"/>
      <c r="H28" s="132">
        <f>(U28/AJ15)*AD15</f>
        <v>0</v>
      </c>
      <c r="I28" s="133">
        <f>(X28/AJ18)*AD18</f>
        <v>0</v>
      </c>
      <c r="J28" s="134">
        <f>(U28/AJ15)*AE15</f>
        <v>0</v>
      </c>
      <c r="K28" s="135">
        <f>(X28/AJ18)*AE18</f>
        <v>0</v>
      </c>
      <c r="L28" s="134">
        <f>(U28/AJ15)*AF15</f>
        <v>0</v>
      </c>
      <c r="M28" s="135">
        <f>(X28/AJ18)*AF18</f>
        <v>0</v>
      </c>
      <c r="N28" s="134">
        <f>(U28/AJ15)*AG15</f>
        <v>0</v>
      </c>
      <c r="O28" s="135">
        <f>(X28/AJ18)*AG18</f>
        <v>0</v>
      </c>
      <c r="P28" s="134">
        <f>(U28/AJ15)*AH15</f>
        <v>0</v>
      </c>
      <c r="Q28" s="135">
        <f>(X28/AJ18)*AH18</f>
        <v>0</v>
      </c>
      <c r="R28" s="133">
        <f>(U28/AJ15)*AI15</f>
        <v>0</v>
      </c>
      <c r="S28" s="136">
        <f>(X28/AJ18)*AI18</f>
        <v>0</v>
      </c>
      <c r="T28" s="116"/>
      <c r="U28" s="370">
        <f t="shared" si="1"/>
        <v>0</v>
      </c>
      <c r="V28" s="138">
        <f>IF(ISTEXT(B28),B28,(B28/B9)*W8)</f>
        <v>0</v>
      </c>
      <c r="W28" s="139">
        <f t="shared" si="2"/>
        <v>0</v>
      </c>
      <c r="X28" s="137">
        <f>(E28/B9)*W8</f>
        <v>0</v>
      </c>
      <c r="Y28" s="120"/>
      <c r="Z28" s="372">
        <f t="shared" si="3"/>
        <v>0</v>
      </c>
      <c r="AA28" s="166" t="str">
        <f>IF(ISBLANK(AB28),"",LARGE(AA21:AA27,1)+1)</f>
        <v/>
      </c>
      <c r="AB28" s="110"/>
      <c r="AC28" s="110"/>
      <c r="AD28" s="110"/>
      <c r="AE28" s="110"/>
      <c r="AF28" s="110"/>
      <c r="AG28" s="110"/>
      <c r="AH28" s="110"/>
      <c r="AI28" s="110"/>
      <c r="AJ28" s="167"/>
      <c r="AK28" s="3742"/>
      <c r="AL28" s="17"/>
      <c r="AM28" s="182" t="s">
        <v>90</v>
      </c>
      <c r="AN28" s="183"/>
      <c r="AO28" s="184"/>
      <c r="AP28" s="151"/>
      <c r="AQ28" s="17"/>
      <c r="AR28" s="17"/>
      <c r="AS28" s="17"/>
      <c r="AT28" s="9">
        <v>16</v>
      </c>
    </row>
    <row r="29" spans="1:46" ht="15.95" customHeight="1">
      <c r="A29" s="3747"/>
      <c r="B29" s="106"/>
      <c r="C29" s="365"/>
      <c r="D29" s="107"/>
      <c r="E29" s="108">
        <f t="shared" si="6"/>
        <v>0</v>
      </c>
      <c r="F29" s="109" t="str">
        <f>IF(ISBLANK(G29),"",LARGE(F14:F28,1)+1)</f>
        <v/>
      </c>
      <c r="G29" s="110"/>
      <c r="H29" s="111">
        <f>(U29/AJ15)*AD15</f>
        <v>0</v>
      </c>
      <c r="I29" s="112">
        <f>(X29/AJ18)*AD18</f>
        <v>0</v>
      </c>
      <c r="J29" s="113">
        <f>(U29/AJ15)*AE15</f>
        <v>0</v>
      </c>
      <c r="K29" s="114">
        <f>(X29/AJ18)*AE18</f>
        <v>0</v>
      </c>
      <c r="L29" s="113">
        <f>(U29/AJ15)*AF15</f>
        <v>0</v>
      </c>
      <c r="M29" s="114">
        <f>(X29/AJ18)*AF18</f>
        <v>0</v>
      </c>
      <c r="N29" s="113">
        <f>(U29/AJ15)*AG15</f>
        <v>0</v>
      </c>
      <c r="O29" s="114">
        <f>(X29/AJ18)*AG18</f>
        <v>0</v>
      </c>
      <c r="P29" s="113">
        <f>(U29/AJ15)*AH15</f>
        <v>0</v>
      </c>
      <c r="Q29" s="114">
        <f>(X29/AJ18)*AH18</f>
        <v>0</v>
      </c>
      <c r="R29" s="112">
        <f>(U29/AJ15)*AI15</f>
        <v>0</v>
      </c>
      <c r="S29" s="115">
        <f>(X29/AJ18)*AI18</f>
        <v>0</v>
      </c>
      <c r="T29" s="116"/>
      <c r="U29" s="369">
        <f t="shared" si="1"/>
        <v>0</v>
      </c>
      <c r="V29" s="148">
        <f>IF(ISTEXT(B29),B29,(B29/B9)*W8)</f>
        <v>0</v>
      </c>
      <c r="W29" s="119">
        <f t="shared" si="2"/>
        <v>0</v>
      </c>
      <c r="X29" s="117">
        <f>(E29/B9)*W8</f>
        <v>0</v>
      </c>
      <c r="Y29" s="120"/>
      <c r="Z29" s="372">
        <f t="shared" si="3"/>
        <v>0</v>
      </c>
      <c r="AA29" s="166" t="str">
        <f>IF(ISBLANK(AB29),"",LARGE(AA21:AA28,1)+1)</f>
        <v/>
      </c>
      <c r="AB29" s="110"/>
      <c r="AC29" s="110"/>
      <c r="AD29" s="110"/>
      <c r="AE29" s="110"/>
      <c r="AF29" s="110"/>
      <c r="AG29" s="110"/>
      <c r="AH29" s="110"/>
      <c r="AI29" s="110"/>
      <c r="AJ29" s="167"/>
      <c r="AK29" s="3742"/>
      <c r="AL29" s="17"/>
      <c r="AM29" s="3804" t="s">
        <v>91</v>
      </c>
      <c r="AN29" s="3805"/>
      <c r="AO29" s="3806"/>
      <c r="AP29" s="151"/>
      <c r="AQ29" s="17"/>
      <c r="AR29" s="17"/>
      <c r="AS29" s="17"/>
      <c r="AT29" s="9">
        <v>16</v>
      </c>
    </row>
    <row r="30" spans="1:46" ht="15.95" customHeight="1" thickBot="1">
      <c r="A30" s="3747"/>
      <c r="B30" s="364"/>
      <c r="C30" s="366"/>
      <c r="D30" s="129"/>
      <c r="E30" s="130">
        <f t="shared" si="6"/>
        <v>0</v>
      </c>
      <c r="F30" s="131" t="str">
        <f>IF(ISBLANK(G30),"",LARGE(F14:F29,1)+1)</f>
        <v/>
      </c>
      <c r="G30" s="110"/>
      <c r="H30" s="132">
        <f>(U30/AJ15)*AD15</f>
        <v>0</v>
      </c>
      <c r="I30" s="133">
        <f>(X30/AJ18)*AD18</f>
        <v>0</v>
      </c>
      <c r="J30" s="134">
        <f>(U30/AJ15)*AE15</f>
        <v>0</v>
      </c>
      <c r="K30" s="135">
        <f>(X30/AJ18)*AE18</f>
        <v>0</v>
      </c>
      <c r="L30" s="134">
        <f>(U30/AJ15)*AF15</f>
        <v>0</v>
      </c>
      <c r="M30" s="135">
        <f>(X30/AJ18)*AF18</f>
        <v>0</v>
      </c>
      <c r="N30" s="134">
        <f>(U30/AJ15)*AG15</f>
        <v>0</v>
      </c>
      <c r="O30" s="135">
        <f>(X30/AJ18)*AG18</f>
        <v>0</v>
      </c>
      <c r="P30" s="134">
        <f>(U30/AJ15)*AH15</f>
        <v>0</v>
      </c>
      <c r="Q30" s="135">
        <f>(X30/AJ18)*AH18</f>
        <v>0</v>
      </c>
      <c r="R30" s="133">
        <f>(U30/AJ15)*AI15</f>
        <v>0</v>
      </c>
      <c r="S30" s="136">
        <f>(X30/AJ18)*AI18</f>
        <v>0</v>
      </c>
      <c r="T30" s="116"/>
      <c r="U30" s="370">
        <f t="shared" si="1"/>
        <v>0</v>
      </c>
      <c r="V30" s="138">
        <f>IF(ISTEXT(B30),B30,(B30/B9)*W8)</f>
        <v>0</v>
      </c>
      <c r="W30" s="139">
        <f t="shared" si="2"/>
        <v>0</v>
      </c>
      <c r="X30" s="137">
        <f>(E30/B9)*W8</f>
        <v>0</v>
      </c>
      <c r="Y30" s="120"/>
      <c r="Z30" s="372">
        <f t="shared" si="3"/>
        <v>0</v>
      </c>
      <c r="AA30" s="166" t="str">
        <f>IF(ISBLANK(AB30),"",LARGE(AA21:AA29,1)+1)</f>
        <v/>
      </c>
      <c r="AB30" s="110"/>
      <c r="AC30" s="110"/>
      <c r="AD30" s="110"/>
      <c r="AE30" s="110"/>
      <c r="AF30" s="110"/>
      <c r="AG30" s="110"/>
      <c r="AH30" s="110"/>
      <c r="AI30" s="110"/>
      <c r="AJ30" s="167"/>
      <c r="AK30" s="3742"/>
      <c r="AL30" s="17"/>
      <c r="AM30" s="171"/>
      <c r="AN30" s="185"/>
      <c r="AO30" s="186"/>
      <c r="AP30" s="151"/>
      <c r="AQ30" s="17"/>
      <c r="AR30" s="17"/>
      <c r="AS30" s="17"/>
      <c r="AT30" s="9">
        <v>16</v>
      </c>
    </row>
    <row r="31" spans="1:46" ht="15.95" customHeight="1">
      <c r="A31" s="3747"/>
      <c r="B31" s="106"/>
      <c r="C31" s="365"/>
      <c r="D31" s="107"/>
      <c r="E31" s="108">
        <f t="shared" si="6"/>
        <v>0</v>
      </c>
      <c r="F31" s="109" t="str">
        <f>IF(ISBLANK(G31),"",LARGE(F14:F30,1)+1)</f>
        <v/>
      </c>
      <c r="G31" s="110"/>
      <c r="H31" s="111">
        <f>(U31/AJ15)*AD15</f>
        <v>0</v>
      </c>
      <c r="I31" s="112">
        <f>(X31/AJ18)*AD18</f>
        <v>0</v>
      </c>
      <c r="J31" s="113">
        <f>(U31/AJ15)*AE15</f>
        <v>0</v>
      </c>
      <c r="K31" s="114">
        <f>(X31/AJ18)*AE18</f>
        <v>0</v>
      </c>
      <c r="L31" s="113">
        <f>(U31/AJ15)*AF15</f>
        <v>0</v>
      </c>
      <c r="M31" s="114">
        <f>(X31/AJ18)*AF18</f>
        <v>0</v>
      </c>
      <c r="N31" s="113">
        <f>(U31/AJ15)*AG15</f>
        <v>0</v>
      </c>
      <c r="O31" s="114">
        <f>(X31/AJ18)*AG18</f>
        <v>0</v>
      </c>
      <c r="P31" s="113">
        <f>(U31/AJ15)*AH15</f>
        <v>0</v>
      </c>
      <c r="Q31" s="114">
        <f>(X31/AJ18)*AH18</f>
        <v>0</v>
      </c>
      <c r="R31" s="112">
        <f>(U31/AJ15)*AI15</f>
        <v>0</v>
      </c>
      <c r="S31" s="115">
        <f>(X31/AJ18)*AI18</f>
        <v>0</v>
      </c>
      <c r="T31" s="116"/>
      <c r="U31" s="369">
        <f t="shared" si="1"/>
        <v>0</v>
      </c>
      <c r="V31" s="148">
        <f>IF(ISTEXT(B31),B31,(B31/B9)*W8)</f>
        <v>0</v>
      </c>
      <c r="W31" s="119">
        <f t="shared" si="2"/>
        <v>0</v>
      </c>
      <c r="X31" s="117">
        <f>(E31/B9)*W8</f>
        <v>0</v>
      </c>
      <c r="Y31" s="120"/>
      <c r="Z31" s="372">
        <f t="shared" si="3"/>
        <v>0</v>
      </c>
      <c r="AA31" s="166" t="str">
        <f>IF(ISBLANK(AB31),"",LARGE(AA21:AA30,1)+1)</f>
        <v/>
      </c>
      <c r="AB31" s="110"/>
      <c r="AC31" s="110"/>
      <c r="AD31" s="110"/>
      <c r="AE31" s="110"/>
      <c r="AF31" s="110"/>
      <c r="AG31" s="110"/>
      <c r="AH31" s="110"/>
      <c r="AI31" s="110"/>
      <c r="AJ31" s="167"/>
      <c r="AK31" s="3742"/>
      <c r="AL31" s="17"/>
      <c r="AM31" s="3787" t="s">
        <v>92</v>
      </c>
      <c r="AN31" s="3788"/>
      <c r="AO31" s="3789"/>
      <c r="AP31" s="151"/>
      <c r="AQ31" s="17"/>
      <c r="AR31" s="17"/>
      <c r="AS31" s="17"/>
      <c r="AT31" s="9">
        <v>16</v>
      </c>
    </row>
    <row r="32" spans="1:46" ht="15.95" customHeight="1">
      <c r="A32" s="3747"/>
      <c r="B32" s="364"/>
      <c r="C32" s="366"/>
      <c r="D32" s="129"/>
      <c r="E32" s="130">
        <f t="shared" si="6"/>
        <v>0</v>
      </c>
      <c r="F32" s="131" t="str">
        <f>IF(ISBLANK(G32),"",LARGE(F14:F31,1)+1)</f>
        <v/>
      </c>
      <c r="G32" s="110"/>
      <c r="H32" s="132">
        <f>(U32/AJ15)*AD15</f>
        <v>0</v>
      </c>
      <c r="I32" s="133">
        <f>(X32/AJ18)*AD18</f>
        <v>0</v>
      </c>
      <c r="J32" s="134">
        <f>(U32/AJ15)*AE15</f>
        <v>0</v>
      </c>
      <c r="K32" s="135">
        <f>(X32/AJ18)*AE18</f>
        <v>0</v>
      </c>
      <c r="L32" s="134">
        <f>(U32/AJ15)*AF15</f>
        <v>0</v>
      </c>
      <c r="M32" s="135">
        <f>(X32/AJ18)*AF18</f>
        <v>0</v>
      </c>
      <c r="N32" s="134">
        <f>(U32/AJ15)*AG15</f>
        <v>0</v>
      </c>
      <c r="O32" s="135">
        <f>(X32/AJ18)*AG18</f>
        <v>0</v>
      </c>
      <c r="P32" s="134">
        <f>(U32/AJ15)*AH15</f>
        <v>0</v>
      </c>
      <c r="Q32" s="135">
        <f>(X32/AJ18)*AH18</f>
        <v>0</v>
      </c>
      <c r="R32" s="133">
        <f>(U32/AJ15)*AI15</f>
        <v>0</v>
      </c>
      <c r="S32" s="136">
        <f>(X32/AJ18)*AI18</f>
        <v>0</v>
      </c>
      <c r="T32" s="116"/>
      <c r="U32" s="370">
        <f t="shared" si="1"/>
        <v>0</v>
      </c>
      <c r="V32" s="138">
        <f>IF(ISTEXT(B32),B32,(B32/B9)*W8)</f>
        <v>0</v>
      </c>
      <c r="W32" s="139">
        <f t="shared" si="2"/>
        <v>0</v>
      </c>
      <c r="X32" s="137">
        <f>(E32/B9)*W8</f>
        <v>0</v>
      </c>
      <c r="Y32" s="120"/>
      <c r="Z32" s="372">
        <f t="shared" si="3"/>
        <v>0</v>
      </c>
      <c r="AA32" s="166" t="str">
        <f>IF(ISBLANK(AB32),"",LARGE(AA21:AA31,1)+1)</f>
        <v/>
      </c>
      <c r="AB32" s="187"/>
      <c r="AC32" s="110"/>
      <c r="AD32" s="110"/>
      <c r="AE32" s="110"/>
      <c r="AF32" s="110"/>
      <c r="AG32" s="110"/>
      <c r="AH32" s="110"/>
      <c r="AI32" s="110"/>
      <c r="AJ32" s="167"/>
      <c r="AK32" s="3742"/>
      <c r="AL32" s="17"/>
      <c r="AM32" s="3790"/>
      <c r="AN32" s="3791"/>
      <c r="AO32" s="3792"/>
      <c r="AP32" s="151"/>
      <c r="AQ32" s="17"/>
      <c r="AR32" s="17"/>
      <c r="AS32" s="17"/>
      <c r="AT32" s="9">
        <v>16</v>
      </c>
    </row>
    <row r="33" spans="1:46" ht="15.95" customHeight="1">
      <c r="A33" s="3747"/>
      <c r="B33" s="106"/>
      <c r="C33" s="365"/>
      <c r="D33" s="107"/>
      <c r="E33" s="108">
        <f t="shared" si="6"/>
        <v>0</v>
      </c>
      <c r="F33" s="109" t="str">
        <f>IF(ISBLANK(G33),"",LARGE(F14:F32,1)+1)</f>
        <v/>
      </c>
      <c r="G33" s="110"/>
      <c r="H33" s="111">
        <f>(U33/AJ15)*AD15</f>
        <v>0</v>
      </c>
      <c r="I33" s="112">
        <f>(X33/AJ18)*AD18</f>
        <v>0</v>
      </c>
      <c r="J33" s="113">
        <f>(U33/AJ15)*AE15</f>
        <v>0</v>
      </c>
      <c r="K33" s="114">
        <f>(X33/AJ18)*AE18</f>
        <v>0</v>
      </c>
      <c r="L33" s="113">
        <f>(U33/AJ15)*AF15</f>
        <v>0</v>
      </c>
      <c r="M33" s="114">
        <f>(X33/AJ18)*AF18</f>
        <v>0</v>
      </c>
      <c r="N33" s="113">
        <f>(U33/AJ15)*AG15</f>
        <v>0</v>
      </c>
      <c r="O33" s="114">
        <f>(X33/AJ18)*AG18</f>
        <v>0</v>
      </c>
      <c r="P33" s="113">
        <f>(U33/AJ15)*AH15</f>
        <v>0</v>
      </c>
      <c r="Q33" s="114">
        <f>(X33/AJ18)*AH18</f>
        <v>0</v>
      </c>
      <c r="R33" s="112">
        <f>(U33/AJ15)*AI15</f>
        <v>0</v>
      </c>
      <c r="S33" s="115">
        <f>(X33/AJ18)*AI18</f>
        <v>0</v>
      </c>
      <c r="T33" s="116"/>
      <c r="U33" s="369">
        <f t="shared" si="1"/>
        <v>0</v>
      </c>
      <c r="V33" s="148">
        <f>IF(ISTEXT(B33),B33,(B33/B9)*W8)</f>
        <v>0</v>
      </c>
      <c r="W33" s="119">
        <f t="shared" si="2"/>
        <v>0</v>
      </c>
      <c r="X33" s="117">
        <f>(E33/B9)*W8</f>
        <v>0</v>
      </c>
      <c r="Y33" s="120"/>
      <c r="Z33" s="372">
        <f t="shared" si="3"/>
        <v>0</v>
      </c>
      <c r="AA33" s="166" t="str">
        <f>IF(ISBLANK(AB33),"",LARGE(AA21:AA32,1)+1)</f>
        <v/>
      </c>
      <c r="AB33" s="187"/>
      <c r="AC33" s="110"/>
      <c r="AD33" s="110"/>
      <c r="AE33" s="110"/>
      <c r="AF33" s="110"/>
      <c r="AG33" s="110"/>
      <c r="AH33" s="110"/>
      <c r="AI33" s="110"/>
      <c r="AJ33" s="167"/>
      <c r="AK33" s="3742"/>
      <c r="AL33" s="17"/>
      <c r="AM33" s="3809" t="s">
        <v>93</v>
      </c>
      <c r="AN33" s="3810"/>
      <c r="AO33" s="3811"/>
      <c r="AP33" s="151"/>
      <c r="AQ33" s="17"/>
      <c r="AR33" s="17"/>
      <c r="AS33" s="17"/>
      <c r="AT33" s="9">
        <v>16</v>
      </c>
    </row>
    <row r="34" spans="1:46" ht="15.95" customHeight="1">
      <c r="A34" s="3747"/>
      <c r="B34" s="364"/>
      <c r="C34" s="366"/>
      <c r="D34" s="129"/>
      <c r="E34" s="130">
        <f t="shared" si="6"/>
        <v>0</v>
      </c>
      <c r="F34" s="131" t="str">
        <f>IF(ISBLANK(G34),"",LARGE(F14:F33,1)+1)</f>
        <v/>
      </c>
      <c r="G34" s="110"/>
      <c r="H34" s="132">
        <f>(U34/AJ15)*AD15</f>
        <v>0</v>
      </c>
      <c r="I34" s="133">
        <f>(X34/AJ18)*AD18</f>
        <v>0</v>
      </c>
      <c r="J34" s="134">
        <f>(U34/AJ15)*AE15</f>
        <v>0</v>
      </c>
      <c r="K34" s="135">
        <f>(X34/AJ18)*AE18</f>
        <v>0</v>
      </c>
      <c r="L34" s="134">
        <f>(U34/AJ15)*AF15</f>
        <v>0</v>
      </c>
      <c r="M34" s="135">
        <f>(X34/AJ18)*AF18</f>
        <v>0</v>
      </c>
      <c r="N34" s="134">
        <f>(U34/AJ15)*AG15</f>
        <v>0</v>
      </c>
      <c r="O34" s="135">
        <f>(X34/AJ18)*AG18</f>
        <v>0</v>
      </c>
      <c r="P34" s="134">
        <f>(U34/AJ15)*AH15</f>
        <v>0</v>
      </c>
      <c r="Q34" s="135">
        <f>(X34/AJ18)*AH18</f>
        <v>0</v>
      </c>
      <c r="R34" s="133">
        <f>(U34/AJ15)*AI15</f>
        <v>0</v>
      </c>
      <c r="S34" s="136">
        <f>(X34/AJ18)*AI18</f>
        <v>0</v>
      </c>
      <c r="T34" s="116"/>
      <c r="U34" s="370">
        <f t="shared" si="1"/>
        <v>0</v>
      </c>
      <c r="V34" s="138">
        <f>IF(ISTEXT(B34),B34,(B34/B9)*W8)</f>
        <v>0</v>
      </c>
      <c r="W34" s="139">
        <f t="shared" si="2"/>
        <v>0</v>
      </c>
      <c r="X34" s="137">
        <f>(E34/B9)*W8</f>
        <v>0</v>
      </c>
      <c r="Y34" s="120"/>
      <c r="Z34" s="372">
        <f t="shared" si="3"/>
        <v>0</v>
      </c>
      <c r="AA34" s="166" t="str">
        <f>IF(ISBLANK(AB34),"",LARGE(AA21:AA33,1)+1)</f>
        <v/>
      </c>
      <c r="AB34" s="187"/>
      <c r="AC34" s="110"/>
      <c r="AD34" s="110"/>
      <c r="AE34" s="110"/>
      <c r="AF34" s="110"/>
      <c r="AG34" s="110"/>
      <c r="AH34" s="110"/>
      <c r="AI34" s="110"/>
      <c r="AJ34" s="167"/>
      <c r="AK34" s="3742"/>
      <c r="AL34" s="17"/>
      <c r="AM34" s="3809"/>
      <c r="AN34" s="3810"/>
      <c r="AO34" s="3811"/>
      <c r="AP34" s="151"/>
      <c r="AQ34" s="17"/>
      <c r="AR34" s="17"/>
      <c r="AS34" s="17"/>
      <c r="AT34" s="9">
        <v>16</v>
      </c>
    </row>
    <row r="35" spans="1:46" ht="15.95" customHeight="1">
      <c r="A35" s="3747"/>
      <c r="B35" s="106"/>
      <c r="C35" s="365"/>
      <c r="D35" s="107"/>
      <c r="E35" s="108">
        <f t="shared" si="6"/>
        <v>0</v>
      </c>
      <c r="F35" s="109" t="str">
        <f>IF(ISBLANK(G35),"",LARGE(F14:F34,1)+1)</f>
        <v/>
      </c>
      <c r="G35" s="110"/>
      <c r="H35" s="111">
        <f>(U35/AJ15)*AD15</f>
        <v>0</v>
      </c>
      <c r="I35" s="112">
        <f>(X35/AJ18)*AD18</f>
        <v>0</v>
      </c>
      <c r="J35" s="113">
        <f>(U35/AJ15)*AE15</f>
        <v>0</v>
      </c>
      <c r="K35" s="114">
        <f>(X35/AJ18)*AE18</f>
        <v>0</v>
      </c>
      <c r="L35" s="113">
        <f>(U35/AJ15)*AF15</f>
        <v>0</v>
      </c>
      <c r="M35" s="114">
        <f>(X35/AJ18)*AF18</f>
        <v>0</v>
      </c>
      <c r="N35" s="113">
        <f>(U35/AJ15)*AG15</f>
        <v>0</v>
      </c>
      <c r="O35" s="114">
        <f>(X35/AJ18)*AG18</f>
        <v>0</v>
      </c>
      <c r="P35" s="113">
        <f>(U35/AJ15)*AH15</f>
        <v>0</v>
      </c>
      <c r="Q35" s="114">
        <f>(X35/AJ18)*AH18</f>
        <v>0</v>
      </c>
      <c r="R35" s="112">
        <f>(U35/AJ15)*AI15</f>
        <v>0</v>
      </c>
      <c r="S35" s="115">
        <f>(X35/AJ18)*AI18</f>
        <v>0</v>
      </c>
      <c r="T35" s="116"/>
      <c r="U35" s="369">
        <f t="shared" si="1"/>
        <v>0</v>
      </c>
      <c r="V35" s="148">
        <f>IF(ISTEXT(B35),B35,(B35/B9)*W8)</f>
        <v>0</v>
      </c>
      <c r="W35" s="119">
        <f t="shared" si="2"/>
        <v>0</v>
      </c>
      <c r="X35" s="117">
        <f>(E35/B9)*W8</f>
        <v>0</v>
      </c>
      <c r="Y35" s="120"/>
      <c r="Z35" s="372">
        <f t="shared" si="3"/>
        <v>0</v>
      </c>
      <c r="AA35" s="166" t="str">
        <f>IF(ISBLANK(AB35),"",LARGE(AA21:AA34,1)+1)</f>
        <v/>
      </c>
      <c r="AB35" s="187"/>
      <c r="AC35" s="110"/>
      <c r="AD35" s="110"/>
      <c r="AE35" s="110"/>
      <c r="AF35" s="110"/>
      <c r="AG35" s="110"/>
      <c r="AH35" s="110"/>
      <c r="AI35" s="110"/>
      <c r="AJ35" s="167"/>
      <c r="AK35" s="3742"/>
      <c r="AL35" s="17"/>
      <c r="AM35" s="3809"/>
      <c r="AN35" s="3810"/>
      <c r="AO35" s="3811"/>
      <c r="AP35" s="151"/>
      <c r="AQ35" s="17"/>
      <c r="AR35" s="17"/>
      <c r="AS35" s="17"/>
      <c r="AT35" s="9">
        <v>16</v>
      </c>
    </row>
    <row r="36" spans="1:46" ht="15.95" customHeight="1">
      <c r="A36" s="3747"/>
      <c r="B36" s="364"/>
      <c r="C36" s="366"/>
      <c r="D36" s="129"/>
      <c r="E36" s="130">
        <f t="shared" si="6"/>
        <v>0</v>
      </c>
      <c r="F36" s="131" t="str">
        <f>IF(ISBLANK(G36),"",LARGE(F14:F35,1)+1)</f>
        <v/>
      </c>
      <c r="G36" s="110"/>
      <c r="H36" s="132">
        <f>(U36/AJ15)*AD15</f>
        <v>0</v>
      </c>
      <c r="I36" s="133">
        <f>(X36/AJ18)*AD18</f>
        <v>0</v>
      </c>
      <c r="J36" s="134">
        <f>(U36/AJ15)*AE15</f>
        <v>0</v>
      </c>
      <c r="K36" s="135">
        <f>(X36/AJ18)*AE18</f>
        <v>0</v>
      </c>
      <c r="L36" s="134">
        <f>(U36/AJ15)*AF15</f>
        <v>0</v>
      </c>
      <c r="M36" s="135">
        <f>(X36/AJ18)*AF18</f>
        <v>0</v>
      </c>
      <c r="N36" s="134">
        <f>(U36/AJ15)*AG15</f>
        <v>0</v>
      </c>
      <c r="O36" s="135">
        <f>(X36/AJ18)*AG18</f>
        <v>0</v>
      </c>
      <c r="P36" s="134">
        <f>(U36/AJ15)*AH15</f>
        <v>0</v>
      </c>
      <c r="Q36" s="135">
        <f>(X36/AJ18)*AH18</f>
        <v>0</v>
      </c>
      <c r="R36" s="133">
        <f>(U36/AJ15)*AI15</f>
        <v>0</v>
      </c>
      <c r="S36" s="136">
        <f>(X36/AJ18)*AI18</f>
        <v>0</v>
      </c>
      <c r="T36" s="116"/>
      <c r="U36" s="370">
        <f t="shared" si="1"/>
        <v>0</v>
      </c>
      <c r="V36" s="138">
        <f>IF(ISTEXT(B36),B36,(B36/B9)*W8)</f>
        <v>0</v>
      </c>
      <c r="W36" s="139">
        <f t="shared" si="2"/>
        <v>0</v>
      </c>
      <c r="X36" s="137">
        <f>(E36/B9)*W8</f>
        <v>0</v>
      </c>
      <c r="Y36" s="120"/>
      <c r="Z36" s="372">
        <f t="shared" si="3"/>
        <v>0</v>
      </c>
      <c r="AA36" s="166" t="str">
        <f>IF(ISBLANK(AB36),"",LARGE(AA21:AA35,1)+1)</f>
        <v/>
      </c>
      <c r="AB36" s="187"/>
      <c r="AC36" s="110"/>
      <c r="AD36" s="110"/>
      <c r="AE36" s="110"/>
      <c r="AF36" s="110"/>
      <c r="AG36" s="110"/>
      <c r="AH36" s="110"/>
      <c r="AI36" s="110"/>
      <c r="AJ36" s="167"/>
      <c r="AK36" s="3742"/>
      <c r="AL36" s="17"/>
      <c r="AM36" s="188"/>
      <c r="AN36" s="189" t="s">
        <v>94</v>
      </c>
      <c r="AO36" s="190" t="str">
        <f>ADDRESS(ROW(AD13),COLUMN(AD13),4)</f>
        <v>AD13</v>
      </c>
      <c r="AP36" s="151"/>
      <c r="AQ36" s="17"/>
      <c r="AR36" s="17"/>
      <c r="AS36" s="17"/>
      <c r="AT36" s="9">
        <v>16</v>
      </c>
    </row>
    <row r="37" spans="1:46" ht="15.95" customHeight="1">
      <c r="A37" s="3747"/>
      <c r="B37" s="106"/>
      <c r="C37" s="365"/>
      <c r="D37" s="107"/>
      <c r="E37" s="108">
        <f t="shared" si="6"/>
        <v>0</v>
      </c>
      <c r="F37" s="109" t="str">
        <f>IF(ISBLANK(G37),"",LARGE(F14:F36,1)+1)</f>
        <v/>
      </c>
      <c r="G37" s="110"/>
      <c r="H37" s="111">
        <f>(U37/AJ15)*AD15</f>
        <v>0</v>
      </c>
      <c r="I37" s="112">
        <f>(X37/AJ18)*AD18</f>
        <v>0</v>
      </c>
      <c r="J37" s="113">
        <f>(U37/AJ15)*AE15</f>
        <v>0</v>
      </c>
      <c r="K37" s="114">
        <f>(X37/AJ18)*AE18</f>
        <v>0</v>
      </c>
      <c r="L37" s="113">
        <f>(U37/AJ15)*AF15</f>
        <v>0</v>
      </c>
      <c r="M37" s="114">
        <f>(X37/AJ18)*AF18</f>
        <v>0</v>
      </c>
      <c r="N37" s="113">
        <f>(U37/AJ15)*AG15</f>
        <v>0</v>
      </c>
      <c r="O37" s="114">
        <f>(X37/AJ18)*AG18</f>
        <v>0</v>
      </c>
      <c r="P37" s="113">
        <f>(U37/AJ15)*AH15</f>
        <v>0</v>
      </c>
      <c r="Q37" s="114">
        <f>(X37/AJ18)*AH18</f>
        <v>0</v>
      </c>
      <c r="R37" s="112">
        <f>(U37/AJ15)*AI15</f>
        <v>0</v>
      </c>
      <c r="S37" s="115">
        <f>(X37/AJ18)*AI18</f>
        <v>0</v>
      </c>
      <c r="T37" s="116"/>
      <c r="U37" s="369">
        <f t="shared" si="1"/>
        <v>0</v>
      </c>
      <c r="V37" s="148">
        <f>IF(ISTEXT(B37),B37,(B37/B9)*W8)</f>
        <v>0</v>
      </c>
      <c r="W37" s="119">
        <f t="shared" si="2"/>
        <v>0</v>
      </c>
      <c r="X37" s="117">
        <f>(E37/B9)*W8</f>
        <v>0</v>
      </c>
      <c r="Y37" s="120"/>
      <c r="Z37" s="372">
        <f t="shared" si="3"/>
        <v>0</v>
      </c>
      <c r="AA37" s="166" t="str">
        <f>IF(ISBLANK(AB37),"",LARGE(AA21:AA36,1)+1)</f>
        <v/>
      </c>
      <c r="AB37" s="187"/>
      <c r="AC37" s="110"/>
      <c r="AD37" s="110"/>
      <c r="AE37" s="110"/>
      <c r="AF37" s="110"/>
      <c r="AG37" s="110"/>
      <c r="AH37" s="110"/>
      <c r="AI37" s="110"/>
      <c r="AJ37" s="167"/>
      <c r="AK37" s="3742"/>
      <c r="AL37" s="17"/>
      <c r="AM37" s="188"/>
      <c r="AN37" s="189" t="s">
        <v>33</v>
      </c>
      <c r="AO37" s="190" t="str">
        <f>ADDRESS(ROW(AI13),COLUMN(AI13),4)</f>
        <v>AI13</v>
      </c>
      <c r="AP37" s="151"/>
      <c r="AQ37" s="17"/>
      <c r="AR37" s="17"/>
      <c r="AS37" s="17"/>
      <c r="AT37" s="9">
        <v>16</v>
      </c>
    </row>
    <row r="38" spans="1:46" ht="15.95" customHeight="1">
      <c r="A38" s="3747"/>
      <c r="B38" s="364"/>
      <c r="C38" s="366"/>
      <c r="D38" s="129"/>
      <c r="E38" s="130">
        <f t="shared" si="6"/>
        <v>0</v>
      </c>
      <c r="F38" s="131" t="str">
        <f>IF(ISBLANK(G38),"",LARGE(F14:F37,1)+1)</f>
        <v/>
      </c>
      <c r="G38" s="110"/>
      <c r="H38" s="132">
        <f>(U38/AJ15)*AD15</f>
        <v>0</v>
      </c>
      <c r="I38" s="133">
        <f>(X38/AJ18)*AD18</f>
        <v>0</v>
      </c>
      <c r="J38" s="134">
        <f>(U38/AJ15)*AE15</f>
        <v>0</v>
      </c>
      <c r="K38" s="135">
        <f>(X38/AJ18)*AE18</f>
        <v>0</v>
      </c>
      <c r="L38" s="134">
        <f>(U38/AJ15)*AF15</f>
        <v>0</v>
      </c>
      <c r="M38" s="135">
        <f>(X38/AJ18)*AF18</f>
        <v>0</v>
      </c>
      <c r="N38" s="134">
        <f>(U38/AJ15)*AG15</f>
        <v>0</v>
      </c>
      <c r="O38" s="135">
        <f>(X38/AJ18)*AG18</f>
        <v>0</v>
      </c>
      <c r="P38" s="134">
        <f>(U38/AJ15)*AH15</f>
        <v>0</v>
      </c>
      <c r="Q38" s="135">
        <f>(X38/AJ18)*AH18</f>
        <v>0</v>
      </c>
      <c r="R38" s="133">
        <f>(U38/AJ15)*AI15</f>
        <v>0</v>
      </c>
      <c r="S38" s="136">
        <f>(X38/AJ18)*AI18</f>
        <v>0</v>
      </c>
      <c r="T38" s="116"/>
      <c r="U38" s="370">
        <f t="shared" si="1"/>
        <v>0</v>
      </c>
      <c r="V38" s="138">
        <f>IF(ISTEXT(B38),B38,(B38/B9)*W8)</f>
        <v>0</v>
      </c>
      <c r="W38" s="139">
        <f t="shared" si="2"/>
        <v>0</v>
      </c>
      <c r="X38" s="137">
        <f>(E38/B9)*W8</f>
        <v>0</v>
      </c>
      <c r="Y38" s="120"/>
      <c r="Z38" s="372">
        <f t="shared" si="3"/>
        <v>0</v>
      </c>
      <c r="AA38" s="166" t="str">
        <f>IF(ISBLANK(AB38),"",LARGE(AA21:AA37,1)+1)</f>
        <v/>
      </c>
      <c r="AB38" s="187"/>
      <c r="AC38" s="110"/>
      <c r="AD38" s="110"/>
      <c r="AE38" s="110"/>
      <c r="AF38" s="110"/>
      <c r="AG38" s="110"/>
      <c r="AH38" s="110"/>
      <c r="AI38" s="110"/>
      <c r="AJ38" s="167"/>
      <c r="AK38" s="3742"/>
      <c r="AL38" s="17"/>
      <c r="AM38" s="191" t="s">
        <v>95</v>
      </c>
      <c r="AN38" s="192"/>
      <c r="AO38" s="193"/>
      <c r="AP38" s="151"/>
      <c r="AQ38" s="17"/>
      <c r="AR38" s="17"/>
      <c r="AS38" s="17"/>
      <c r="AT38" s="9">
        <v>16</v>
      </c>
    </row>
    <row r="39" spans="1:46" ht="15.95" customHeight="1">
      <c r="A39" s="3747"/>
      <c r="B39" s="106"/>
      <c r="C39" s="365"/>
      <c r="D39" s="107"/>
      <c r="E39" s="108">
        <f t="shared" si="6"/>
        <v>0</v>
      </c>
      <c r="F39" s="109" t="str">
        <f>IF(ISBLANK(G39),"",LARGE(F14:F38,1)+1)</f>
        <v/>
      </c>
      <c r="G39" s="110"/>
      <c r="H39" s="111">
        <f>(U39/AJ15)*AD15</f>
        <v>0</v>
      </c>
      <c r="I39" s="112">
        <f>(X39/AJ18)*AD18</f>
        <v>0</v>
      </c>
      <c r="J39" s="113">
        <f>(U39/AJ15)*AE15</f>
        <v>0</v>
      </c>
      <c r="K39" s="114">
        <f>(X39/AJ18)*AE18</f>
        <v>0</v>
      </c>
      <c r="L39" s="113">
        <f>(U39/AJ15)*AF15</f>
        <v>0</v>
      </c>
      <c r="M39" s="114">
        <f>(X39/AJ18)*AF18</f>
        <v>0</v>
      </c>
      <c r="N39" s="113">
        <f>(U39/AJ15)*AG15</f>
        <v>0</v>
      </c>
      <c r="O39" s="114">
        <f>(X39/AJ18)*AG18</f>
        <v>0</v>
      </c>
      <c r="P39" s="113">
        <f>(U39/AJ15)*AH15</f>
        <v>0</v>
      </c>
      <c r="Q39" s="114">
        <f>(X39/AJ18)*AH18</f>
        <v>0</v>
      </c>
      <c r="R39" s="112">
        <f>(U39/AJ15)*AI15</f>
        <v>0</v>
      </c>
      <c r="S39" s="115">
        <f>(X39/AJ18)*AI18</f>
        <v>0</v>
      </c>
      <c r="T39" s="116"/>
      <c r="U39" s="369">
        <f t="shared" si="1"/>
        <v>0</v>
      </c>
      <c r="V39" s="148">
        <f>IF(ISTEXT(B39),B39,(B39/B9)*W8)</f>
        <v>0</v>
      </c>
      <c r="W39" s="119">
        <f t="shared" si="2"/>
        <v>0</v>
      </c>
      <c r="X39" s="117">
        <f>(E39/B9)*W8</f>
        <v>0</v>
      </c>
      <c r="Y39" s="120"/>
      <c r="Z39" s="372">
        <f t="shared" si="3"/>
        <v>0</v>
      </c>
      <c r="AA39" s="166" t="str">
        <f>IF(ISBLANK(AB39),"",LARGE(AA21:AA38,1)+1)</f>
        <v/>
      </c>
      <c r="AB39" s="187"/>
      <c r="AC39" s="110"/>
      <c r="AD39" s="110"/>
      <c r="AE39" s="110"/>
      <c r="AF39" s="110"/>
      <c r="AG39" s="110"/>
      <c r="AH39" s="110"/>
      <c r="AI39" s="110"/>
      <c r="AJ39" s="167"/>
      <c r="AK39" s="3742"/>
      <c r="AL39" s="17"/>
      <c r="AM39" s="194"/>
      <c r="AN39" s="195" t="s">
        <v>96</v>
      </c>
      <c r="AO39" s="196" t="str">
        <f>ADDRESS(ROW(AD14),COLUMN(AD14),4)</f>
        <v>AD14</v>
      </c>
      <c r="AP39" s="151"/>
      <c r="AQ39" s="17"/>
      <c r="AR39" s="17"/>
      <c r="AS39" s="17"/>
      <c r="AT39" s="9">
        <v>16</v>
      </c>
    </row>
    <row r="40" spans="1:46" ht="15.95" customHeight="1">
      <c r="A40" s="3747"/>
      <c r="B40" s="364"/>
      <c r="C40" s="366"/>
      <c r="D40" s="129"/>
      <c r="E40" s="130">
        <f t="shared" si="6"/>
        <v>0</v>
      </c>
      <c r="F40" s="131" t="str">
        <f>IF(ISBLANK(G40),"",LARGE(F14:F39,1)+1)</f>
        <v/>
      </c>
      <c r="G40" s="110"/>
      <c r="H40" s="132">
        <f>(U40/AJ15)*AD15</f>
        <v>0</v>
      </c>
      <c r="I40" s="133">
        <f>(X40/AJ18)*AD18</f>
        <v>0</v>
      </c>
      <c r="J40" s="134">
        <f>(U40/AJ15)*AE15</f>
        <v>0</v>
      </c>
      <c r="K40" s="135">
        <f>(X40/AJ18)*AE18</f>
        <v>0</v>
      </c>
      <c r="L40" s="134">
        <f>(U40/AJ15)*AF15</f>
        <v>0</v>
      </c>
      <c r="M40" s="135">
        <f>(X40/AJ18)*AF18</f>
        <v>0</v>
      </c>
      <c r="N40" s="134">
        <f>(U40/AJ15)*AG15</f>
        <v>0</v>
      </c>
      <c r="O40" s="135">
        <f>(X40/AJ18)*AG18</f>
        <v>0</v>
      </c>
      <c r="P40" s="134">
        <f>(U40/AJ15)*AH15</f>
        <v>0</v>
      </c>
      <c r="Q40" s="135">
        <f>(X40/AJ18)*AH18</f>
        <v>0</v>
      </c>
      <c r="R40" s="133">
        <f>(U40/AJ15)*AI15</f>
        <v>0</v>
      </c>
      <c r="S40" s="136">
        <f>(X40/AJ18)*AI18</f>
        <v>0</v>
      </c>
      <c r="T40" s="116"/>
      <c r="U40" s="370">
        <f t="shared" si="1"/>
        <v>0</v>
      </c>
      <c r="V40" s="138">
        <f>IF(ISTEXT(B40),B40,(B40/B9)*W8)</f>
        <v>0</v>
      </c>
      <c r="W40" s="139">
        <f t="shared" si="2"/>
        <v>0</v>
      </c>
      <c r="X40" s="137">
        <f>(E40/B9)*W8</f>
        <v>0</v>
      </c>
      <c r="Y40" s="120"/>
      <c r="Z40" s="372">
        <f t="shared" si="3"/>
        <v>0</v>
      </c>
      <c r="AA40" s="166" t="str">
        <f>IF(ISBLANK(AB40),"",LARGE(AA21:AA39,1)+1)</f>
        <v/>
      </c>
      <c r="AB40" s="187"/>
      <c r="AC40" s="110"/>
      <c r="AD40" s="110"/>
      <c r="AE40" s="110"/>
      <c r="AF40" s="110"/>
      <c r="AG40" s="110"/>
      <c r="AH40" s="110"/>
      <c r="AI40" s="110"/>
      <c r="AJ40" s="167"/>
      <c r="AK40" s="3742"/>
      <c r="AL40" s="17"/>
      <c r="AM40" s="194"/>
      <c r="AN40" s="197" t="s">
        <v>33</v>
      </c>
      <c r="AO40" s="196" t="str">
        <f>ADDRESS(ROW(AI14),COLUMN(AI14),4)</f>
        <v>AI14</v>
      </c>
      <c r="AP40" s="151"/>
      <c r="AQ40" s="17"/>
      <c r="AR40" s="17"/>
      <c r="AS40" s="17"/>
      <c r="AT40" s="9">
        <v>16</v>
      </c>
    </row>
    <row r="41" spans="1:46" ht="15.95" customHeight="1">
      <c r="A41" s="3747"/>
      <c r="B41" s="106"/>
      <c r="C41" s="365"/>
      <c r="D41" s="107"/>
      <c r="E41" s="108">
        <f t="shared" si="6"/>
        <v>0</v>
      </c>
      <c r="F41" s="109" t="str">
        <f>IF(ISBLANK(G41),"",LARGE(F14:F40,1)+1)</f>
        <v/>
      </c>
      <c r="G41" s="110"/>
      <c r="H41" s="111">
        <f>(U41/AJ15)*AD15</f>
        <v>0</v>
      </c>
      <c r="I41" s="112">
        <f>(X41/AJ18)*AD18</f>
        <v>0</v>
      </c>
      <c r="J41" s="113">
        <f>(U41/AJ15)*AE15</f>
        <v>0</v>
      </c>
      <c r="K41" s="114">
        <f>(X41/AJ18)*AE18</f>
        <v>0</v>
      </c>
      <c r="L41" s="113">
        <f>(U41/AJ15)*AF15</f>
        <v>0</v>
      </c>
      <c r="M41" s="114">
        <f>(X41/AJ18)*AF18</f>
        <v>0</v>
      </c>
      <c r="N41" s="113">
        <f>(U41/AJ15)*AG15</f>
        <v>0</v>
      </c>
      <c r="O41" s="114">
        <f>(X41/AJ18)*AG18</f>
        <v>0</v>
      </c>
      <c r="P41" s="113">
        <f>(U41/AJ15)*AH15</f>
        <v>0</v>
      </c>
      <c r="Q41" s="114">
        <f>(X41/AJ18)*AH18</f>
        <v>0</v>
      </c>
      <c r="R41" s="112">
        <f>(U41/AJ15)*AI15</f>
        <v>0</v>
      </c>
      <c r="S41" s="115">
        <f>(X41/AJ18)*AI18</f>
        <v>0</v>
      </c>
      <c r="T41" s="116"/>
      <c r="U41" s="369">
        <f t="shared" si="1"/>
        <v>0</v>
      </c>
      <c r="V41" s="148">
        <f>IF(ISTEXT(B41),B41,(B41/B9)*W8)</f>
        <v>0</v>
      </c>
      <c r="W41" s="119">
        <f t="shared" si="2"/>
        <v>0</v>
      </c>
      <c r="X41" s="117">
        <f>(E41/B9)*W8</f>
        <v>0</v>
      </c>
      <c r="Y41" s="120"/>
      <c r="Z41" s="372">
        <f t="shared" si="3"/>
        <v>0</v>
      </c>
      <c r="AA41" s="166" t="str">
        <f>IF(ISBLANK(AB41),"",LARGE(AA21:AA40,1)+1)</f>
        <v/>
      </c>
      <c r="AB41" s="187"/>
      <c r="AC41" s="110"/>
      <c r="AD41" s="110"/>
      <c r="AE41" s="110"/>
      <c r="AF41" s="110"/>
      <c r="AG41" s="110"/>
      <c r="AH41" s="110"/>
      <c r="AI41" s="110"/>
      <c r="AJ41" s="167"/>
      <c r="AK41" s="3742"/>
      <c r="AL41" s="17"/>
      <c r="AM41" s="198" t="s">
        <v>97</v>
      </c>
      <c r="AN41" s="192"/>
      <c r="AO41" s="193"/>
      <c r="AP41" s="151"/>
      <c r="AQ41" s="17"/>
      <c r="AR41" s="17"/>
      <c r="AS41" s="17"/>
      <c r="AT41" s="9">
        <v>16</v>
      </c>
    </row>
    <row r="42" spans="1:46" ht="15.95" customHeight="1">
      <c r="A42" s="3747"/>
      <c r="B42" s="364"/>
      <c r="C42" s="366"/>
      <c r="D42" s="129"/>
      <c r="E42" s="130">
        <f t="shared" si="6"/>
        <v>0</v>
      </c>
      <c r="F42" s="131" t="str">
        <f>IF(ISBLANK(G42),"",LARGE(F14:F41,1)+1)</f>
        <v/>
      </c>
      <c r="G42" s="110"/>
      <c r="H42" s="132">
        <f>(U42/AJ15)*AD15</f>
        <v>0</v>
      </c>
      <c r="I42" s="133">
        <f>(X42/AJ18)*AD18</f>
        <v>0</v>
      </c>
      <c r="J42" s="134">
        <f>(U42/AJ15)*AE15</f>
        <v>0</v>
      </c>
      <c r="K42" s="135">
        <f>(X42/AJ18)*AE18</f>
        <v>0</v>
      </c>
      <c r="L42" s="134">
        <f>(U42/AJ15)*AF15</f>
        <v>0</v>
      </c>
      <c r="M42" s="135">
        <f>(X42/AJ18)*AF18</f>
        <v>0</v>
      </c>
      <c r="N42" s="134">
        <f>(U42/AJ15)*AG15</f>
        <v>0</v>
      </c>
      <c r="O42" s="135">
        <f>(X42/AJ18)*AG18</f>
        <v>0</v>
      </c>
      <c r="P42" s="134">
        <f>(U42/AJ15)*AH15</f>
        <v>0</v>
      </c>
      <c r="Q42" s="135">
        <f>(X42/AJ18)*AH18</f>
        <v>0</v>
      </c>
      <c r="R42" s="133">
        <f>(U42/AJ15)*AI15</f>
        <v>0</v>
      </c>
      <c r="S42" s="136">
        <f>(X42/AJ18)*AI18</f>
        <v>0</v>
      </c>
      <c r="T42" s="116"/>
      <c r="U42" s="370">
        <f t="shared" si="1"/>
        <v>0</v>
      </c>
      <c r="V42" s="138">
        <f>IF(ISTEXT(B42),B42,(B42/B9)*W8)</f>
        <v>0</v>
      </c>
      <c r="W42" s="139">
        <f t="shared" si="2"/>
        <v>0</v>
      </c>
      <c r="X42" s="137">
        <f>(E42/B9)*W8</f>
        <v>0</v>
      </c>
      <c r="Y42" s="120"/>
      <c r="Z42" s="372">
        <f t="shared" si="3"/>
        <v>0</v>
      </c>
      <c r="AA42" s="166" t="str">
        <f>IF(ISBLANK(AB42),"",LARGE(AA21:AA41,1)+1)</f>
        <v/>
      </c>
      <c r="AB42" s="187"/>
      <c r="AC42" s="110"/>
      <c r="AD42" s="110"/>
      <c r="AE42" s="110"/>
      <c r="AF42" s="110"/>
      <c r="AG42" s="110"/>
      <c r="AH42" s="110"/>
      <c r="AI42" s="110"/>
      <c r="AJ42" s="167"/>
      <c r="AK42" s="3742"/>
      <c r="AL42" s="17"/>
      <c r="AM42" s="194"/>
      <c r="AN42" s="195" t="s">
        <v>98</v>
      </c>
      <c r="AO42" s="199" t="str">
        <f>ADDRESS(ROW(AB16),COLUMN(AB16),4)</f>
        <v>AB16</v>
      </c>
      <c r="AP42" s="151"/>
      <c r="AQ42" s="17"/>
      <c r="AR42" s="17"/>
      <c r="AS42" s="17"/>
      <c r="AT42" s="9">
        <v>16</v>
      </c>
    </row>
    <row r="43" spans="1:46" ht="15.95" customHeight="1">
      <c r="A43" s="3747"/>
      <c r="B43" s="106"/>
      <c r="C43" s="365"/>
      <c r="D43" s="107"/>
      <c r="E43" s="108">
        <f t="shared" si="6"/>
        <v>0</v>
      </c>
      <c r="F43" s="109" t="str">
        <f>IF(ISBLANK(G43),"",LARGE(F14:F42,1)+1)</f>
        <v/>
      </c>
      <c r="G43" s="110"/>
      <c r="H43" s="111">
        <f>(U43/AJ15)*AD15</f>
        <v>0</v>
      </c>
      <c r="I43" s="112">
        <f>(X43/AJ18)*AD18</f>
        <v>0</v>
      </c>
      <c r="J43" s="113">
        <f>(U43/AJ15)*AE15</f>
        <v>0</v>
      </c>
      <c r="K43" s="114">
        <f>(X43/AJ18)*AE18</f>
        <v>0</v>
      </c>
      <c r="L43" s="113">
        <f>(U43/AJ15)*AF15</f>
        <v>0</v>
      </c>
      <c r="M43" s="114">
        <f>(X43/AJ18)*AF18</f>
        <v>0</v>
      </c>
      <c r="N43" s="113">
        <f>(U43/AJ15)*AG15</f>
        <v>0</v>
      </c>
      <c r="O43" s="114">
        <f>(X43/AJ18)*AG18</f>
        <v>0</v>
      </c>
      <c r="P43" s="113">
        <f>(U43/AJ15)*AH15</f>
        <v>0</v>
      </c>
      <c r="Q43" s="114">
        <f>(X43/AJ18)*AH18</f>
        <v>0</v>
      </c>
      <c r="R43" s="112">
        <f>(U43/AJ15)*AI15</f>
        <v>0</v>
      </c>
      <c r="S43" s="115">
        <f>(X43/AJ18)*AI18</f>
        <v>0</v>
      </c>
      <c r="T43" s="116"/>
      <c r="U43" s="369">
        <f t="shared" si="1"/>
        <v>0</v>
      </c>
      <c r="V43" s="148">
        <f>IF(ISTEXT(B43),B43,(B43/B9)*W8)</f>
        <v>0</v>
      </c>
      <c r="W43" s="119">
        <f t="shared" si="2"/>
        <v>0</v>
      </c>
      <c r="X43" s="117">
        <f>(E43/B9)*W8</f>
        <v>0</v>
      </c>
      <c r="Y43" s="120"/>
      <c r="Z43" s="372">
        <f t="shared" si="3"/>
        <v>0</v>
      </c>
      <c r="AA43" s="166" t="str">
        <f>IF(ISBLANK(AB43),"",LARGE(AA21:AA42,1)+1)</f>
        <v/>
      </c>
      <c r="AB43" s="187"/>
      <c r="AC43" s="110"/>
      <c r="AD43" s="110"/>
      <c r="AE43" s="110"/>
      <c r="AF43" s="110"/>
      <c r="AG43" s="110"/>
      <c r="AH43" s="110"/>
      <c r="AI43" s="110"/>
      <c r="AJ43" s="167"/>
      <c r="AK43" s="3742"/>
      <c r="AL43" s="17"/>
      <c r="AM43" s="3812" t="s">
        <v>99</v>
      </c>
      <c r="AN43" s="3813"/>
      <c r="AO43" s="3814"/>
      <c r="AP43" s="151"/>
      <c r="AQ43" s="17"/>
      <c r="AR43" s="17"/>
      <c r="AS43" s="17"/>
      <c r="AT43" s="9">
        <v>16</v>
      </c>
    </row>
    <row r="44" spans="1:46" ht="15.95" customHeight="1">
      <c r="A44" s="3747"/>
      <c r="B44" s="364"/>
      <c r="C44" s="366"/>
      <c r="D44" s="129"/>
      <c r="E44" s="130">
        <f t="shared" si="6"/>
        <v>0</v>
      </c>
      <c r="F44" s="131" t="str">
        <f>IF(ISBLANK(G44),"",LARGE(F14:F43,1)+1)</f>
        <v/>
      </c>
      <c r="G44" s="110"/>
      <c r="H44" s="132">
        <f>(U44/AJ15)*AD15</f>
        <v>0</v>
      </c>
      <c r="I44" s="133">
        <f>(X44/AJ18)*AD18</f>
        <v>0</v>
      </c>
      <c r="J44" s="134">
        <f>(U44/AJ15)*AE15</f>
        <v>0</v>
      </c>
      <c r="K44" s="135">
        <f>(X44/AJ18)*AE18</f>
        <v>0</v>
      </c>
      <c r="L44" s="134">
        <f>(U44/AJ15)*AF15</f>
        <v>0</v>
      </c>
      <c r="M44" s="135">
        <f>(X44/AJ18)*AF18</f>
        <v>0</v>
      </c>
      <c r="N44" s="134">
        <f>(U44/AJ15)*AG15</f>
        <v>0</v>
      </c>
      <c r="O44" s="135">
        <f>(X44/AJ18)*AG18</f>
        <v>0</v>
      </c>
      <c r="P44" s="134">
        <f>(U44/AJ15)*AH15</f>
        <v>0</v>
      </c>
      <c r="Q44" s="135">
        <f>(X44/AJ18)*AH18</f>
        <v>0</v>
      </c>
      <c r="R44" s="133">
        <f>(U44/AJ15)*AI15</f>
        <v>0</v>
      </c>
      <c r="S44" s="136">
        <f>(X44/AJ18)*AI18</f>
        <v>0</v>
      </c>
      <c r="T44" s="116"/>
      <c r="U44" s="370">
        <f t="shared" si="1"/>
        <v>0</v>
      </c>
      <c r="V44" s="138">
        <f>IF(ISTEXT(B44),B44,(B44/B9)*W8)</f>
        <v>0</v>
      </c>
      <c r="W44" s="139">
        <f t="shared" si="2"/>
        <v>0</v>
      </c>
      <c r="X44" s="137">
        <f>(E44/B9)*W8</f>
        <v>0</v>
      </c>
      <c r="Y44" s="120"/>
      <c r="Z44" s="372">
        <f t="shared" si="3"/>
        <v>0</v>
      </c>
      <c r="AA44" s="166" t="str">
        <f>IF(ISBLANK(AB44),"",LARGE(AA21:AA43,1)+1)</f>
        <v/>
      </c>
      <c r="AB44" s="187"/>
      <c r="AC44" s="110"/>
      <c r="AD44" s="110"/>
      <c r="AE44" s="110"/>
      <c r="AF44" s="110"/>
      <c r="AG44" s="110"/>
      <c r="AH44" s="110"/>
      <c r="AI44" s="110"/>
      <c r="AJ44" s="167"/>
      <c r="AK44" s="3742"/>
      <c r="AL44" s="17"/>
      <c r="AM44" s="3812"/>
      <c r="AN44" s="3813"/>
      <c r="AO44" s="3814"/>
      <c r="AP44" s="151"/>
      <c r="AQ44" s="17"/>
      <c r="AR44" s="17"/>
      <c r="AS44" s="17"/>
      <c r="AT44" s="9">
        <v>16</v>
      </c>
    </row>
    <row r="45" spans="1:46" ht="15.95" customHeight="1">
      <c r="A45" s="3747"/>
      <c r="B45" s="106"/>
      <c r="C45" s="365"/>
      <c r="D45" s="107"/>
      <c r="E45" s="108">
        <f t="shared" si="6"/>
        <v>0</v>
      </c>
      <c r="F45" s="109" t="str">
        <f>IF(ISBLANK(G45),"",LARGE(F14:F44,1)+1)</f>
        <v/>
      </c>
      <c r="G45" s="110"/>
      <c r="H45" s="111">
        <f>(U45/AJ15)*AD15</f>
        <v>0</v>
      </c>
      <c r="I45" s="112">
        <f>(X45/AJ18)*AD18</f>
        <v>0</v>
      </c>
      <c r="J45" s="113">
        <f>(U45/AJ15)*AE15</f>
        <v>0</v>
      </c>
      <c r="K45" s="114">
        <f>(X45/AJ18)*AE18</f>
        <v>0</v>
      </c>
      <c r="L45" s="113">
        <f>(U45/AJ15)*AF15</f>
        <v>0</v>
      </c>
      <c r="M45" s="114">
        <f>(X45/AJ18)*AF18</f>
        <v>0</v>
      </c>
      <c r="N45" s="113">
        <f>(U45/AJ15)*AG15</f>
        <v>0</v>
      </c>
      <c r="O45" s="114">
        <f>(X45/AJ18)*AG18</f>
        <v>0</v>
      </c>
      <c r="P45" s="113">
        <f>(U45/AJ15)*AH15</f>
        <v>0</v>
      </c>
      <c r="Q45" s="114">
        <f>(X45/AJ18)*AH18</f>
        <v>0</v>
      </c>
      <c r="R45" s="112">
        <f>(U45/AJ15)*AI15</f>
        <v>0</v>
      </c>
      <c r="S45" s="115">
        <f>(X45/AJ18)*AI18</f>
        <v>0</v>
      </c>
      <c r="T45" s="116"/>
      <c r="U45" s="369">
        <f t="shared" si="1"/>
        <v>0</v>
      </c>
      <c r="V45" s="148">
        <f>IF(ISTEXT(B45),B45,(B45/B9)*W8)</f>
        <v>0</v>
      </c>
      <c r="W45" s="119">
        <f t="shared" si="2"/>
        <v>0</v>
      </c>
      <c r="X45" s="117">
        <f>(E45/B9)*W8</f>
        <v>0</v>
      </c>
      <c r="Y45" s="120"/>
      <c r="Z45" s="372">
        <f t="shared" si="3"/>
        <v>0</v>
      </c>
      <c r="AA45" s="166" t="str">
        <f>IF(ISBLANK(AB45),"",LARGE(AA21:AA44,1)+1)</f>
        <v/>
      </c>
      <c r="AB45" s="187"/>
      <c r="AC45" s="110"/>
      <c r="AD45" s="110"/>
      <c r="AE45" s="110"/>
      <c r="AF45" s="110"/>
      <c r="AG45" s="110"/>
      <c r="AH45" s="110"/>
      <c r="AI45" s="110"/>
      <c r="AJ45" s="167"/>
      <c r="AK45" s="3742"/>
      <c r="AL45" s="17"/>
      <c r="AM45" s="3812"/>
      <c r="AN45" s="3813"/>
      <c r="AO45" s="3814"/>
      <c r="AP45" s="151"/>
      <c r="AQ45" s="17"/>
      <c r="AR45" s="17"/>
      <c r="AS45" s="17"/>
      <c r="AT45" s="9">
        <v>16</v>
      </c>
    </row>
    <row r="46" spans="1:46" ht="15.95" customHeight="1">
      <c r="A46" s="3747"/>
      <c r="B46" s="364"/>
      <c r="C46" s="366"/>
      <c r="D46" s="129"/>
      <c r="E46" s="130">
        <f t="shared" si="6"/>
        <v>0</v>
      </c>
      <c r="F46" s="131" t="str">
        <f>IF(ISBLANK(G46),"",LARGE(F14:F45,1)+1)</f>
        <v/>
      </c>
      <c r="G46" s="110"/>
      <c r="H46" s="132">
        <f>(U46/AJ15)*AD15</f>
        <v>0</v>
      </c>
      <c r="I46" s="133">
        <f>(X46/AJ18)*AD18</f>
        <v>0</v>
      </c>
      <c r="J46" s="134">
        <f>(U46/AJ15)*AE15</f>
        <v>0</v>
      </c>
      <c r="K46" s="135">
        <f>(X46/AJ18)*AE18</f>
        <v>0</v>
      </c>
      <c r="L46" s="134">
        <f>(U46/AJ15)*AF15</f>
        <v>0</v>
      </c>
      <c r="M46" s="135">
        <f>(X46/AJ18)*AF18</f>
        <v>0</v>
      </c>
      <c r="N46" s="134">
        <f>(U46/AJ15)*AG15</f>
        <v>0</v>
      </c>
      <c r="O46" s="135">
        <f>(X46/AJ18)*AG18</f>
        <v>0</v>
      </c>
      <c r="P46" s="134">
        <f>(U46/AJ15)*AH15</f>
        <v>0</v>
      </c>
      <c r="Q46" s="135">
        <f>(X46/AJ18)*AH18</f>
        <v>0</v>
      </c>
      <c r="R46" s="133">
        <f>(U46/AJ15)*AI15</f>
        <v>0</v>
      </c>
      <c r="S46" s="136">
        <f>(X46/AJ18)*AI18</f>
        <v>0</v>
      </c>
      <c r="T46" s="116"/>
      <c r="U46" s="370">
        <f t="shared" si="1"/>
        <v>0</v>
      </c>
      <c r="V46" s="138">
        <f>IF(ISTEXT(B46),B46,(B46/B9)*W8)</f>
        <v>0</v>
      </c>
      <c r="W46" s="139">
        <f t="shared" si="2"/>
        <v>0</v>
      </c>
      <c r="X46" s="137">
        <f>(E46/B9)*W8</f>
        <v>0</v>
      </c>
      <c r="Y46" s="120"/>
      <c r="Z46" s="372">
        <f t="shared" si="3"/>
        <v>0</v>
      </c>
      <c r="AA46" s="166">
        <f>IF(ISBLANK(AB46),"",LARGE(AA21:AA45,1)+1)</f>
        <v>3</v>
      </c>
      <c r="AB46" s="187" t="s">
        <v>100</v>
      </c>
      <c r="AC46" s="187"/>
      <c r="AD46" s="110"/>
      <c r="AE46" s="110"/>
      <c r="AF46" s="110"/>
      <c r="AG46" s="110"/>
      <c r="AH46" s="110"/>
      <c r="AI46" s="110"/>
      <c r="AJ46" s="167"/>
      <c r="AK46" s="3742"/>
      <c r="AL46" s="17"/>
      <c r="AM46" s="200"/>
      <c r="AN46" s="201"/>
      <c r="AO46" s="202"/>
      <c r="AP46" s="151"/>
      <c r="AQ46" s="17"/>
      <c r="AR46" s="17"/>
      <c r="AS46" s="17"/>
      <c r="AT46" s="9">
        <v>16</v>
      </c>
    </row>
    <row r="47" spans="1:46" ht="15.95" customHeight="1">
      <c r="A47" s="3747"/>
      <c r="B47" s="106"/>
      <c r="C47" s="365"/>
      <c r="D47" s="107"/>
      <c r="E47" s="108">
        <f t="shared" si="6"/>
        <v>0</v>
      </c>
      <c r="F47" s="109" t="str">
        <f>IF(ISBLANK(G47),"",LARGE(F14:F46,1)+1)</f>
        <v/>
      </c>
      <c r="G47" s="110"/>
      <c r="H47" s="111">
        <f>(U47/AJ15)*AD15</f>
        <v>0</v>
      </c>
      <c r="I47" s="112">
        <f>(X47/AJ18)*AD18</f>
        <v>0</v>
      </c>
      <c r="J47" s="113">
        <f>(U47/AJ15)*AE15</f>
        <v>0</v>
      </c>
      <c r="K47" s="114">
        <f>(X47/AJ18)*AE18</f>
        <v>0</v>
      </c>
      <c r="L47" s="113">
        <f>(U47/AJ15)*AF15</f>
        <v>0</v>
      </c>
      <c r="M47" s="114">
        <f>(X47/AJ18)*AF18</f>
        <v>0</v>
      </c>
      <c r="N47" s="113">
        <f>(U47/AJ15)*AG15</f>
        <v>0</v>
      </c>
      <c r="O47" s="114">
        <f>(X47/AJ18)*AG18</f>
        <v>0</v>
      </c>
      <c r="P47" s="113">
        <f>(U47/AJ15)*AH15</f>
        <v>0</v>
      </c>
      <c r="Q47" s="114">
        <f>(X47/AJ18)*AH18</f>
        <v>0</v>
      </c>
      <c r="R47" s="112">
        <f>(U47/AJ15)*AI15</f>
        <v>0</v>
      </c>
      <c r="S47" s="115">
        <f>(X47/AJ18)*AI18</f>
        <v>0</v>
      </c>
      <c r="T47" s="116"/>
      <c r="U47" s="369">
        <f t="shared" si="1"/>
        <v>0</v>
      </c>
      <c r="V47" s="148">
        <f>IF(ISTEXT(B47),B47,(B47/B9)*W8)</f>
        <v>0</v>
      </c>
      <c r="W47" s="119">
        <f t="shared" si="2"/>
        <v>0</v>
      </c>
      <c r="X47" s="117">
        <f>(E47/B9)*W8</f>
        <v>0</v>
      </c>
      <c r="Y47" s="120"/>
      <c r="Z47" s="372">
        <f t="shared" si="3"/>
        <v>0</v>
      </c>
      <c r="AA47" s="166">
        <f>IF(ISBLANK(AB47),"",LARGE(AA21:AA46,1)+1)</f>
        <v>4</v>
      </c>
      <c r="AB47" s="187" t="s">
        <v>101</v>
      </c>
      <c r="AC47" s="187"/>
      <c r="AD47" s="110"/>
      <c r="AE47" s="110"/>
      <c r="AF47" s="110"/>
      <c r="AG47" s="110"/>
      <c r="AH47" s="110"/>
      <c r="AI47" s="110"/>
      <c r="AJ47" s="167"/>
      <c r="AK47" s="3742"/>
      <c r="AL47" s="17"/>
      <c r="AM47" s="203" t="s">
        <v>102</v>
      </c>
      <c r="AN47" s="204"/>
      <c r="AO47" s="205"/>
      <c r="AP47" s="151"/>
      <c r="AQ47" s="17"/>
      <c r="AR47" s="17"/>
      <c r="AS47" s="17"/>
      <c r="AT47" s="9">
        <v>16</v>
      </c>
    </row>
    <row r="48" spans="1:46" ht="15.95" customHeight="1">
      <c r="A48" s="3747"/>
      <c r="B48" s="364"/>
      <c r="C48" s="366"/>
      <c r="D48" s="129"/>
      <c r="E48" s="130">
        <f t="shared" si="6"/>
        <v>0</v>
      </c>
      <c r="F48" s="131" t="str">
        <f>IF(ISBLANK(G48),"",LARGE(F14:F47,1)+1)</f>
        <v/>
      </c>
      <c r="G48" s="110"/>
      <c r="H48" s="132">
        <f>(U48/AJ15)*AD15</f>
        <v>0</v>
      </c>
      <c r="I48" s="133">
        <f>(X48/AJ18)*AD18</f>
        <v>0</v>
      </c>
      <c r="J48" s="134">
        <f>(U48/AJ15)*AE15</f>
        <v>0</v>
      </c>
      <c r="K48" s="135">
        <f>(X48/AJ18)*AE18</f>
        <v>0</v>
      </c>
      <c r="L48" s="134">
        <f>(U48/AJ15)*AF15</f>
        <v>0</v>
      </c>
      <c r="M48" s="135">
        <f>(X48/AJ18)*AF18</f>
        <v>0</v>
      </c>
      <c r="N48" s="134">
        <f>(U48/AJ15)*AG15</f>
        <v>0</v>
      </c>
      <c r="O48" s="135">
        <f>(X48/AJ18)*AG18</f>
        <v>0</v>
      </c>
      <c r="P48" s="134">
        <f>(U48/AJ15)*AH15</f>
        <v>0</v>
      </c>
      <c r="Q48" s="135">
        <f>(X48/AJ18)*AH18</f>
        <v>0</v>
      </c>
      <c r="R48" s="133">
        <f>(U48/AJ15)*AI15</f>
        <v>0</v>
      </c>
      <c r="S48" s="136">
        <f>(X48/AJ18)*AI18</f>
        <v>0</v>
      </c>
      <c r="T48" s="116"/>
      <c r="U48" s="370">
        <f t="shared" si="1"/>
        <v>0</v>
      </c>
      <c r="V48" s="138">
        <f>IF(ISTEXT(B48),B48,(B48/B9)*W8)</f>
        <v>0</v>
      </c>
      <c r="W48" s="139">
        <f t="shared" si="2"/>
        <v>0</v>
      </c>
      <c r="X48" s="137">
        <f>(E48/B9)*W8</f>
        <v>0</v>
      </c>
      <c r="Y48" s="120"/>
      <c r="Z48" s="372">
        <f t="shared" si="3"/>
        <v>0</v>
      </c>
      <c r="AA48" s="166">
        <f>IF(ISBLANK(AB48),"",LARGE(AA21:AA47,1)+1)</f>
        <v>5</v>
      </c>
      <c r="AB48" s="187" t="s">
        <v>103</v>
      </c>
      <c r="AC48" s="187"/>
      <c r="AD48" s="110"/>
      <c r="AE48" s="110"/>
      <c r="AF48" s="110"/>
      <c r="AG48" s="110"/>
      <c r="AH48" s="110"/>
      <c r="AI48" s="110"/>
      <c r="AJ48" s="167"/>
      <c r="AK48" s="3742"/>
      <c r="AL48" s="17"/>
      <c r="AM48" s="206" t="s">
        <v>104</v>
      </c>
      <c r="AN48" s="169"/>
      <c r="AO48" s="170"/>
      <c r="AP48" s="151"/>
      <c r="AQ48" s="17"/>
      <c r="AR48" s="17"/>
      <c r="AS48" s="17"/>
      <c r="AT48" s="9">
        <v>16</v>
      </c>
    </row>
    <row r="49" spans="1:46" ht="15.95" customHeight="1">
      <c r="A49" s="3747"/>
      <c r="B49" s="106"/>
      <c r="C49" s="365"/>
      <c r="D49" s="107"/>
      <c r="E49" s="108">
        <f t="shared" si="6"/>
        <v>0</v>
      </c>
      <c r="F49" s="109" t="str">
        <f>IF(ISBLANK(G49),"",LARGE(F14:F48,1)+1)</f>
        <v/>
      </c>
      <c r="G49" s="110"/>
      <c r="H49" s="111">
        <f>(U49/AJ15)*AD15</f>
        <v>0</v>
      </c>
      <c r="I49" s="112">
        <f>(X49/AJ18)*AD18</f>
        <v>0</v>
      </c>
      <c r="J49" s="113">
        <f>(U49/AJ15)*AE15</f>
        <v>0</v>
      </c>
      <c r="K49" s="114">
        <f>(X49/AJ18)*AE18</f>
        <v>0</v>
      </c>
      <c r="L49" s="113">
        <f>(U49/AJ15)*AF15</f>
        <v>0</v>
      </c>
      <c r="M49" s="114">
        <f>(X49/AJ18)*AF18</f>
        <v>0</v>
      </c>
      <c r="N49" s="113">
        <f>(U49/AJ15)*AG15</f>
        <v>0</v>
      </c>
      <c r="O49" s="114">
        <f>(X49/AJ18)*AG18</f>
        <v>0</v>
      </c>
      <c r="P49" s="113">
        <f>(U49/AJ15)*AH15</f>
        <v>0</v>
      </c>
      <c r="Q49" s="114">
        <f>(X49/AJ18)*AH18</f>
        <v>0</v>
      </c>
      <c r="R49" s="112">
        <f>(U49/AJ15)*AI15</f>
        <v>0</v>
      </c>
      <c r="S49" s="115">
        <f>(X49/AJ18)*AI18</f>
        <v>0</v>
      </c>
      <c r="T49" s="116"/>
      <c r="U49" s="369">
        <f t="shared" si="1"/>
        <v>0</v>
      </c>
      <c r="V49" s="148">
        <f>IF(ISTEXT(B49),B49,(B49/B9)*W8)</f>
        <v>0</v>
      </c>
      <c r="W49" s="119">
        <f t="shared" si="2"/>
        <v>0</v>
      </c>
      <c r="X49" s="117">
        <f>(E49/B9)*W8</f>
        <v>0</v>
      </c>
      <c r="Y49" s="120"/>
      <c r="Z49" s="372">
        <f t="shared" si="3"/>
        <v>0</v>
      </c>
      <c r="AA49" s="166" t="str">
        <f>IF(ISBLANK(AB49),"",LARGE(AA21:AA48,1)+1)</f>
        <v/>
      </c>
      <c r="AB49" s="187"/>
      <c r="AC49" s="110"/>
      <c r="AD49" s="110"/>
      <c r="AE49" s="110"/>
      <c r="AF49" s="110"/>
      <c r="AG49" s="110"/>
      <c r="AH49" s="110"/>
      <c r="AI49" s="110"/>
      <c r="AJ49" s="167"/>
      <c r="AK49" s="3742"/>
      <c r="AL49" s="17"/>
      <c r="AM49" s="206" t="s">
        <v>105</v>
      </c>
      <c r="AN49" s="169"/>
      <c r="AO49" s="170"/>
      <c r="AP49" s="151"/>
      <c r="AQ49" s="17"/>
      <c r="AR49" s="17"/>
      <c r="AS49" s="17"/>
      <c r="AT49" s="9">
        <v>16</v>
      </c>
    </row>
    <row r="50" spans="1:46" ht="15.95" customHeight="1">
      <c r="A50" s="3747"/>
      <c r="B50" s="364"/>
      <c r="C50" s="366"/>
      <c r="D50" s="129"/>
      <c r="E50" s="130">
        <f t="shared" si="6"/>
        <v>0</v>
      </c>
      <c r="F50" s="131" t="str">
        <f>IF(ISBLANK(G50),"",LARGE(F14:F49,1)+1)</f>
        <v/>
      </c>
      <c r="G50" s="110"/>
      <c r="H50" s="132">
        <f>(U50/AJ15)*AD15</f>
        <v>0</v>
      </c>
      <c r="I50" s="133">
        <f>(X50/AJ18)*AD18</f>
        <v>0</v>
      </c>
      <c r="J50" s="134">
        <f>(U50/AJ15)*AE15</f>
        <v>0</v>
      </c>
      <c r="K50" s="135">
        <f>(X50/AJ18)*AE18</f>
        <v>0</v>
      </c>
      <c r="L50" s="134">
        <f>(U50/AJ15)*AF15</f>
        <v>0</v>
      </c>
      <c r="M50" s="135">
        <f>(X50/AJ18)*AF18</f>
        <v>0</v>
      </c>
      <c r="N50" s="134">
        <f>(U50/AJ15)*AG15</f>
        <v>0</v>
      </c>
      <c r="O50" s="135">
        <f>(X50/AJ18)*AG18</f>
        <v>0</v>
      </c>
      <c r="P50" s="134">
        <f>(U50/AJ15)*AH15</f>
        <v>0</v>
      </c>
      <c r="Q50" s="135">
        <f>(X50/AJ18)*AH18</f>
        <v>0</v>
      </c>
      <c r="R50" s="133">
        <f>(U50/AJ15)*AI15</f>
        <v>0</v>
      </c>
      <c r="S50" s="136">
        <f>(X50/AJ18)*AI18</f>
        <v>0</v>
      </c>
      <c r="T50" s="116"/>
      <c r="U50" s="370">
        <f t="shared" si="1"/>
        <v>0</v>
      </c>
      <c r="V50" s="138">
        <f>IF(ISTEXT(B50),B50,(B50/B9)*W8)</f>
        <v>0</v>
      </c>
      <c r="W50" s="139">
        <f t="shared" si="2"/>
        <v>0</v>
      </c>
      <c r="X50" s="137">
        <f>(E50/B9)*W8</f>
        <v>0</v>
      </c>
      <c r="Y50" s="120"/>
      <c r="Z50" s="372">
        <f t="shared" si="3"/>
        <v>0</v>
      </c>
      <c r="AA50" s="166" t="str">
        <f>IF(ISBLANK(AB50),"",LARGE(AA21:AA49,1)+1)</f>
        <v/>
      </c>
      <c r="AB50" s="207"/>
      <c r="AC50" s="208" t="s">
        <v>106</v>
      </c>
      <c r="AD50" s="209"/>
      <c r="AE50" s="209"/>
      <c r="AF50" s="209"/>
      <c r="AG50" s="209"/>
      <c r="AH50" s="209"/>
      <c r="AI50" s="209"/>
      <c r="AJ50" s="167"/>
      <c r="AK50" s="3743"/>
      <c r="AL50" s="17"/>
      <c r="AM50" s="3815" t="s">
        <v>107</v>
      </c>
      <c r="AN50" s="3816"/>
      <c r="AO50" s="3817"/>
      <c r="AP50" s="151"/>
      <c r="AQ50" s="17"/>
      <c r="AR50" s="17"/>
      <c r="AS50" s="17"/>
      <c r="AT50" s="9">
        <v>16</v>
      </c>
    </row>
    <row r="51" spans="1:46" ht="15.95" customHeight="1">
      <c r="A51" s="3747"/>
      <c r="B51" s="106"/>
      <c r="C51" s="365"/>
      <c r="D51" s="107"/>
      <c r="E51" s="108">
        <f t="shared" si="6"/>
        <v>0</v>
      </c>
      <c r="F51" s="109" t="str">
        <f>IF(ISBLANK(G51),"",LARGE(F14:F50,1)+1)</f>
        <v/>
      </c>
      <c r="G51" s="110"/>
      <c r="H51" s="111">
        <f>(U51/AJ15)*AD15</f>
        <v>0</v>
      </c>
      <c r="I51" s="112">
        <f>(X51/AJ18)*AD18</f>
        <v>0</v>
      </c>
      <c r="J51" s="113">
        <f>(U51/AJ15)*AE15</f>
        <v>0</v>
      </c>
      <c r="K51" s="114">
        <f>(X51/AJ18)*AE18</f>
        <v>0</v>
      </c>
      <c r="L51" s="113">
        <f>(U51/AJ15)*AF15</f>
        <v>0</v>
      </c>
      <c r="M51" s="114">
        <f>(X51/AJ18)*AF18</f>
        <v>0</v>
      </c>
      <c r="N51" s="113">
        <f>(U51/AJ15)*AG15</f>
        <v>0</v>
      </c>
      <c r="O51" s="114">
        <f>(X51/AJ18)*AG18</f>
        <v>0</v>
      </c>
      <c r="P51" s="113">
        <f>(U51/AJ15)*AH15</f>
        <v>0</v>
      </c>
      <c r="Q51" s="114">
        <f>(X51/AJ18)*AH18</f>
        <v>0</v>
      </c>
      <c r="R51" s="112">
        <f>(U51/AJ15)*AI15</f>
        <v>0</v>
      </c>
      <c r="S51" s="115">
        <f>(X51/AJ18)*AI18</f>
        <v>0</v>
      </c>
      <c r="T51" s="116"/>
      <c r="U51" s="369">
        <f t="shared" si="1"/>
        <v>0</v>
      </c>
      <c r="V51" s="148">
        <f>IF(ISTEXT(B51),B51,(B51/B9)*W8)</f>
        <v>0</v>
      </c>
      <c r="W51" s="119">
        <f t="shared" si="2"/>
        <v>0</v>
      </c>
      <c r="X51" s="117">
        <f>(E51/B9)*W8</f>
        <v>0</v>
      </c>
      <c r="Y51" s="120"/>
      <c r="Z51" s="372">
        <f t="shared" si="3"/>
        <v>0</v>
      </c>
      <c r="AA51" s="166" t="str">
        <f>IF(ISBLANK(AB51),"",LARGE(AA21:AA50,1)+1)</f>
        <v/>
      </c>
      <c r="AB51" s="207"/>
      <c r="AC51" s="210"/>
      <c r="AD51" s="210"/>
      <c r="AE51" s="210"/>
      <c r="AF51" s="210"/>
      <c r="AG51" s="210"/>
      <c r="AH51" s="210"/>
      <c r="AI51" s="210"/>
      <c r="AJ51" s="167"/>
      <c r="AK51" s="3818">
        <f>AI4</f>
        <v>7</v>
      </c>
      <c r="AL51" s="17"/>
      <c r="AM51" s="3815"/>
      <c r="AN51" s="3816"/>
      <c r="AO51" s="3817"/>
      <c r="AP51" s="151"/>
      <c r="AQ51" s="17"/>
      <c r="AR51" s="17"/>
      <c r="AS51" s="17"/>
      <c r="AT51" s="9">
        <v>16</v>
      </c>
    </row>
    <row r="52" spans="1:46" ht="15.95" customHeight="1">
      <c r="A52" s="3747"/>
      <c r="B52" s="364"/>
      <c r="C52" s="366"/>
      <c r="D52" s="129"/>
      <c r="E52" s="130">
        <f t="shared" si="6"/>
        <v>0</v>
      </c>
      <c r="F52" s="131" t="str">
        <f>IF(ISBLANK(G52),"",LARGE(F14:F51,1)+1)</f>
        <v/>
      </c>
      <c r="G52" s="110"/>
      <c r="H52" s="132">
        <f>(U52/AJ15)*AD15</f>
        <v>0</v>
      </c>
      <c r="I52" s="133">
        <f>(X52/AJ18)*AD18</f>
        <v>0</v>
      </c>
      <c r="J52" s="134">
        <f>(U52/AJ15)*AE15</f>
        <v>0</v>
      </c>
      <c r="K52" s="135">
        <f>(X52/AJ18)*AE18</f>
        <v>0</v>
      </c>
      <c r="L52" s="134">
        <f>(U52/AJ15)*AF15</f>
        <v>0</v>
      </c>
      <c r="M52" s="135">
        <f>(X52/AJ18)*AF18</f>
        <v>0</v>
      </c>
      <c r="N52" s="134">
        <f>(U52/AJ15)*AG15</f>
        <v>0</v>
      </c>
      <c r="O52" s="135">
        <f>(X52/AJ18)*AG18</f>
        <v>0</v>
      </c>
      <c r="P52" s="134">
        <f>(U52/AJ15)*AH15</f>
        <v>0</v>
      </c>
      <c r="Q52" s="135">
        <f>(X52/AJ18)*AH18</f>
        <v>0</v>
      </c>
      <c r="R52" s="133">
        <f>(U52/AJ15)*AI15</f>
        <v>0</v>
      </c>
      <c r="S52" s="136">
        <f>(X52/AJ18)*AI18</f>
        <v>0</v>
      </c>
      <c r="T52" s="116"/>
      <c r="U52" s="370">
        <f t="shared" si="1"/>
        <v>0</v>
      </c>
      <c r="V52" s="138">
        <f>IF(ISTEXT(B52),B52,(B52/B9)*W8)</f>
        <v>0</v>
      </c>
      <c r="W52" s="139">
        <f t="shared" si="2"/>
        <v>0</v>
      </c>
      <c r="X52" s="137">
        <f>(E52/B9)*W8</f>
        <v>0</v>
      </c>
      <c r="Y52" s="120"/>
      <c r="Z52" s="372">
        <f t="shared" si="3"/>
        <v>0</v>
      </c>
      <c r="AA52" s="166" t="str">
        <f>IF(ISBLANK(AB52),"",LARGE(AA21:AA51,1)+1)</f>
        <v/>
      </c>
      <c r="AB52" s="211"/>
      <c r="AC52" s="212" t="s">
        <v>108</v>
      </c>
      <c r="AD52" s="213" t="s">
        <v>109</v>
      </c>
      <c r="AE52" s="213"/>
      <c r="AF52" s="213"/>
      <c r="AG52" s="213"/>
      <c r="AH52" s="213"/>
      <c r="AI52" s="213"/>
      <c r="AJ52" s="167"/>
      <c r="AK52" s="3819"/>
      <c r="AL52" s="17"/>
      <c r="AM52" s="206" t="s">
        <v>110</v>
      </c>
      <c r="AN52" s="169"/>
      <c r="AO52" s="170"/>
      <c r="AP52" s="151"/>
      <c r="AQ52" s="17"/>
      <c r="AR52" s="17"/>
      <c r="AS52" s="17"/>
      <c r="AT52" s="9">
        <v>16</v>
      </c>
    </row>
    <row r="53" spans="1:46" ht="15.95" customHeight="1">
      <c r="A53" s="3747"/>
      <c r="B53" s="214"/>
      <c r="C53" s="215"/>
      <c r="D53" s="216"/>
      <c r="E53" s="217"/>
      <c r="F53" s="218"/>
      <c r="G53" s="219"/>
      <c r="H53" s="220"/>
      <c r="I53" s="221"/>
      <c r="J53" s="222"/>
      <c r="K53" s="223"/>
      <c r="L53" s="222"/>
      <c r="M53" s="223"/>
      <c r="N53" s="222"/>
      <c r="O53" s="223"/>
      <c r="P53" s="222"/>
      <c r="Q53" s="223"/>
      <c r="R53" s="221"/>
      <c r="S53" s="224"/>
      <c r="T53" s="219"/>
      <c r="U53" s="225"/>
      <c r="V53" s="226"/>
      <c r="W53" s="227"/>
      <c r="X53" s="225"/>
      <c r="Y53" s="228"/>
      <c r="Z53" s="229"/>
      <c r="AA53" s="166" t="str">
        <f>IF(ISBLANK(AB53),"",LARGE(AA21:AA52,1)+1)</f>
        <v/>
      </c>
      <c r="AB53" s="211"/>
      <c r="AC53" s="212" t="s">
        <v>108</v>
      </c>
      <c r="AD53" s="230" t="s">
        <v>111</v>
      </c>
      <c r="AE53" s="230"/>
      <c r="AF53" s="230"/>
      <c r="AG53" s="230"/>
      <c r="AH53" s="230"/>
      <c r="AI53" s="230"/>
      <c r="AJ53" s="167"/>
      <c r="AK53" s="3819"/>
      <c r="AL53" s="17"/>
      <c r="AM53" s="3815" t="s">
        <v>112</v>
      </c>
      <c r="AN53" s="3816"/>
      <c r="AO53" s="3817"/>
      <c r="AP53" s="151"/>
      <c r="AQ53" s="17"/>
      <c r="AR53" s="17"/>
      <c r="AS53" s="17"/>
      <c r="AT53" s="9">
        <v>16</v>
      </c>
    </row>
    <row r="54" spans="1:46" ht="20.100000000000001" customHeight="1" thickBot="1">
      <c r="A54" s="3748"/>
      <c r="B54" s="231"/>
      <c r="C54" s="232"/>
      <c r="D54" s="233"/>
      <c r="E54" s="234">
        <f>SUM(E14:E52)</f>
        <v>3</v>
      </c>
      <c r="F54" s="235"/>
      <c r="G54" s="236"/>
      <c r="H54" s="237">
        <f>SUM(H13:H52)</f>
        <v>2.5099999999999998</v>
      </c>
      <c r="I54" s="238">
        <f>SUM(I13:I52)</f>
        <v>5</v>
      </c>
      <c r="J54" s="239">
        <f t="shared" ref="J54" si="7">SUM(J14:J52)</f>
        <v>3.9</v>
      </c>
      <c r="K54" s="240">
        <f t="shared" ref="K54:S54" si="8">SUM(K13:K52)</f>
        <v>7.8</v>
      </c>
      <c r="L54" s="239">
        <f t="shared" si="8"/>
        <v>3.0249999999999999</v>
      </c>
      <c r="M54" s="240">
        <f t="shared" si="8"/>
        <v>6</v>
      </c>
      <c r="N54" s="239">
        <f t="shared" si="8"/>
        <v>1.90625</v>
      </c>
      <c r="O54" s="240">
        <f t="shared" si="8"/>
        <v>3.75</v>
      </c>
      <c r="P54" s="239">
        <f t="shared" si="8"/>
        <v>0.52500000000000002</v>
      </c>
      <c r="Q54" s="240">
        <f t="shared" si="8"/>
        <v>1</v>
      </c>
      <c r="R54" s="238">
        <f t="shared" si="8"/>
        <v>0.26</v>
      </c>
      <c r="S54" s="241">
        <f t="shared" si="8"/>
        <v>0.48</v>
      </c>
      <c r="T54" s="236"/>
      <c r="U54" s="242">
        <f>SUM(U14:U52)</f>
        <v>12.015000000000001</v>
      </c>
      <c r="V54" s="243"/>
      <c r="W54" s="244"/>
      <c r="X54" s="242">
        <f>SUM(X14:X52)</f>
        <v>12.015000000000001</v>
      </c>
      <c r="Y54" s="245"/>
      <c r="Z54" s="246">
        <f>SUM(Z15:Z52)</f>
        <v>12.015000000000001</v>
      </c>
      <c r="AA54" s="247" t="str">
        <f>IF(ISBLANK(AB54),"",LARGE(AA21:AA53,1)+1)</f>
        <v/>
      </c>
      <c r="AB54" s="211"/>
      <c r="AC54" s="212" t="s">
        <v>108</v>
      </c>
      <c r="AD54" s="230" t="s">
        <v>113</v>
      </c>
      <c r="AE54" s="230"/>
      <c r="AF54" s="230"/>
      <c r="AG54" s="230"/>
      <c r="AH54" s="230"/>
      <c r="AI54" s="230"/>
      <c r="AJ54" s="167"/>
      <c r="AK54" s="3820"/>
      <c r="AL54" s="17"/>
      <c r="AM54" s="3815"/>
      <c r="AN54" s="3816"/>
      <c r="AO54" s="3817"/>
      <c r="AP54" s="151"/>
      <c r="AQ54" s="17"/>
      <c r="AR54" s="17"/>
      <c r="AS54" s="17"/>
      <c r="AT54" s="9">
        <v>20</v>
      </c>
    </row>
    <row r="55" spans="1:46" ht="15.95" customHeight="1" thickBot="1">
      <c r="A55" s="27"/>
      <c r="B55" s="248">
        <f t="shared" ref="B55:AJ55" ca="1" si="9">CELL("largeur",B55)</f>
        <v>11</v>
      </c>
      <c r="C55" s="249">
        <f t="shared" ca="1" si="9"/>
        <v>11</v>
      </c>
      <c r="D55" s="249">
        <f t="shared" ca="1" si="9"/>
        <v>11</v>
      </c>
      <c r="E55" s="249">
        <f t="shared" ca="1" si="9"/>
        <v>11</v>
      </c>
      <c r="F55" s="249">
        <f t="shared" ca="1" si="9"/>
        <v>10</v>
      </c>
      <c r="G55" s="249">
        <f t="shared" ca="1" si="9"/>
        <v>30</v>
      </c>
      <c r="H55" s="249">
        <f t="shared" ca="1" si="9"/>
        <v>0</v>
      </c>
      <c r="I55" s="249">
        <f t="shared" ca="1" si="9"/>
        <v>0</v>
      </c>
      <c r="J55" s="249">
        <f t="shared" ca="1" si="9"/>
        <v>0</v>
      </c>
      <c r="K55" s="249">
        <f t="shared" ca="1" si="9"/>
        <v>0</v>
      </c>
      <c r="L55" s="249">
        <f t="shared" ca="1" si="9"/>
        <v>0</v>
      </c>
      <c r="M55" s="249">
        <f t="shared" ca="1" si="9"/>
        <v>0</v>
      </c>
      <c r="N55" s="249">
        <f t="shared" ca="1" si="9"/>
        <v>0</v>
      </c>
      <c r="O55" s="249">
        <f t="shared" ca="1" si="9"/>
        <v>0</v>
      </c>
      <c r="P55" s="249">
        <f t="shared" ca="1" si="9"/>
        <v>0</v>
      </c>
      <c r="Q55" s="249">
        <f t="shared" ca="1" si="9"/>
        <v>0</v>
      </c>
      <c r="R55" s="249">
        <f t="shared" ca="1" si="9"/>
        <v>0</v>
      </c>
      <c r="S55" s="249">
        <f t="shared" ca="1" si="9"/>
        <v>0</v>
      </c>
      <c r="T55" s="249">
        <f t="shared" ca="1" si="9"/>
        <v>7</v>
      </c>
      <c r="U55" s="249">
        <f t="shared" ca="1" si="9"/>
        <v>11</v>
      </c>
      <c r="V55" s="249">
        <f t="shared" ca="1" si="9"/>
        <v>11</v>
      </c>
      <c r="W55" s="249">
        <f t="shared" ca="1" si="9"/>
        <v>11</v>
      </c>
      <c r="X55" s="249">
        <f t="shared" ca="1" si="9"/>
        <v>11</v>
      </c>
      <c r="Y55" s="249">
        <f t="shared" ca="1" si="9"/>
        <v>11</v>
      </c>
      <c r="Z55" s="249">
        <f t="shared" ca="1" si="9"/>
        <v>11</v>
      </c>
      <c r="AA55" s="249">
        <f t="shared" ca="1" si="9"/>
        <v>11</v>
      </c>
      <c r="AB55" s="249">
        <f t="shared" ca="1" si="9"/>
        <v>11</v>
      </c>
      <c r="AC55" s="249">
        <f t="shared" ca="1" si="9"/>
        <v>11</v>
      </c>
      <c r="AD55" s="249">
        <f t="shared" ca="1" si="9"/>
        <v>11</v>
      </c>
      <c r="AE55" s="249">
        <f t="shared" ca="1" si="9"/>
        <v>11</v>
      </c>
      <c r="AF55" s="249">
        <f t="shared" ca="1" si="9"/>
        <v>11</v>
      </c>
      <c r="AG55" s="249">
        <f t="shared" ca="1" si="9"/>
        <v>11</v>
      </c>
      <c r="AH55" s="249">
        <f t="shared" ca="1" si="9"/>
        <v>11</v>
      </c>
      <c r="AI55" s="249">
        <f t="shared" ca="1" si="9"/>
        <v>11</v>
      </c>
      <c r="AJ55" s="250">
        <f t="shared" ca="1" si="9"/>
        <v>11</v>
      </c>
      <c r="AK55" s="27" t="s">
        <v>114</v>
      </c>
      <c r="AL55" s="17"/>
      <c r="AM55" s="3821" t="s">
        <v>115</v>
      </c>
      <c r="AN55" s="3822"/>
      <c r="AO55" s="3823"/>
      <c r="AP55" s="151"/>
      <c r="AQ55" s="17"/>
      <c r="AR55" s="17"/>
      <c r="AS55" s="17"/>
      <c r="AT55" s="9">
        <v>16</v>
      </c>
    </row>
    <row r="56" spans="1:46" ht="15.95" customHeight="1" thickBot="1">
      <c r="A56" s="27"/>
      <c r="B56" s="374">
        <v>11</v>
      </c>
      <c r="C56" s="374">
        <v>11</v>
      </c>
      <c r="D56" s="374">
        <v>11</v>
      </c>
      <c r="E56" s="374">
        <v>11</v>
      </c>
      <c r="F56" s="374">
        <v>10</v>
      </c>
      <c r="G56" s="374">
        <v>30</v>
      </c>
      <c r="H56" s="374">
        <v>0</v>
      </c>
      <c r="I56" s="374">
        <v>0</v>
      </c>
      <c r="J56" s="374">
        <v>0</v>
      </c>
      <c r="K56" s="374">
        <v>0</v>
      </c>
      <c r="L56" s="374">
        <v>0</v>
      </c>
      <c r="M56" s="374">
        <v>0</v>
      </c>
      <c r="N56" s="374">
        <v>0</v>
      </c>
      <c r="O56" s="374">
        <v>0</v>
      </c>
      <c r="P56" s="374">
        <v>0</v>
      </c>
      <c r="Q56" s="374">
        <v>0</v>
      </c>
      <c r="R56" s="374">
        <v>0</v>
      </c>
      <c r="S56" s="374">
        <v>0</v>
      </c>
      <c r="T56" s="374">
        <v>7</v>
      </c>
      <c r="U56" s="374">
        <v>11</v>
      </c>
      <c r="V56" s="374">
        <v>11</v>
      </c>
      <c r="W56" s="374">
        <v>11</v>
      </c>
      <c r="X56" s="374">
        <v>11</v>
      </c>
      <c r="Y56" s="374">
        <v>11</v>
      </c>
      <c r="Z56" s="374">
        <v>11</v>
      </c>
      <c r="AA56" s="374">
        <v>11</v>
      </c>
      <c r="AB56" s="374">
        <v>11</v>
      </c>
      <c r="AC56" s="374">
        <v>11</v>
      </c>
      <c r="AD56" s="374">
        <v>11</v>
      </c>
      <c r="AE56" s="374">
        <v>11</v>
      </c>
      <c r="AF56" s="374">
        <v>11</v>
      </c>
      <c r="AG56" s="374">
        <v>11</v>
      </c>
      <c r="AH56" s="374">
        <v>11</v>
      </c>
      <c r="AI56" s="375">
        <v>11</v>
      </c>
      <c r="AJ56" s="375">
        <v>11</v>
      </c>
      <c r="AK56" s="251"/>
      <c r="AL56" s="17"/>
      <c r="AM56" s="252"/>
      <c r="AN56" s="253"/>
      <c r="AO56" s="254"/>
      <c r="AP56" s="151"/>
      <c r="AQ56" s="17"/>
      <c r="AR56" s="17"/>
      <c r="AS56" s="17"/>
      <c r="AT56" s="9">
        <v>16</v>
      </c>
    </row>
    <row r="57" spans="1:46" ht="15.95" customHeight="1">
      <c r="A57" s="27"/>
      <c r="B57" s="3824" t="str">
        <f>C2</f>
        <v>SAISISSEZ LE NOM DE VOTRE PLAT cellule C 2</v>
      </c>
      <c r="C57" s="3825"/>
      <c r="D57" s="3825"/>
      <c r="E57" s="3825"/>
      <c r="F57" s="3825"/>
      <c r="G57" s="3825"/>
      <c r="H57" s="3825"/>
      <c r="I57" s="3825"/>
      <c r="J57" s="3825"/>
      <c r="K57" s="3825"/>
      <c r="L57" s="3825"/>
      <c r="M57" s="3825"/>
      <c r="N57" s="3825"/>
      <c r="O57" s="3825"/>
      <c r="P57" s="3825"/>
      <c r="Q57" s="3825"/>
      <c r="R57" s="3825"/>
      <c r="S57" s="3825"/>
      <c r="T57" s="3825"/>
      <c r="U57" s="3828" t="s">
        <v>116</v>
      </c>
      <c r="V57" s="3828"/>
      <c r="W57" s="3592">
        <v>3</v>
      </c>
      <c r="X57" s="3594" t="s">
        <v>22</v>
      </c>
      <c r="Y57" s="255"/>
      <c r="Z57" s="255"/>
      <c r="AA57" s="255"/>
      <c r="AB57" s="3636" t="s">
        <v>117</v>
      </c>
      <c r="AC57" s="3637"/>
      <c r="AD57" s="3638"/>
      <c r="AE57" s="255"/>
      <c r="AF57" s="256"/>
      <c r="AG57" s="256"/>
      <c r="AH57" s="256"/>
      <c r="AI57" s="255"/>
      <c r="AJ57" s="255"/>
      <c r="AK57" s="255"/>
      <c r="AL57" s="17"/>
      <c r="AM57" s="3807" t="s">
        <v>118</v>
      </c>
      <c r="AN57" s="3808"/>
      <c r="AO57" s="257" t="str">
        <f>V10</f>
        <v>H</v>
      </c>
      <c r="AP57" s="151"/>
      <c r="AQ57" s="17"/>
      <c r="AR57" s="17"/>
      <c r="AS57" s="17"/>
      <c r="AT57" s="9">
        <v>16</v>
      </c>
    </row>
    <row r="58" spans="1:46" ht="15.95" customHeight="1">
      <c r="A58" s="27"/>
      <c r="B58" s="3826"/>
      <c r="C58" s="3827"/>
      <c r="D58" s="3827"/>
      <c r="E58" s="3827"/>
      <c r="F58" s="3827"/>
      <c r="G58" s="3827"/>
      <c r="H58" s="3827"/>
      <c r="I58" s="3827"/>
      <c r="J58" s="3827"/>
      <c r="K58" s="3827"/>
      <c r="L58" s="3827"/>
      <c r="M58" s="3827"/>
      <c r="N58" s="3827"/>
      <c r="O58" s="3827"/>
      <c r="P58" s="3827"/>
      <c r="Q58" s="3827"/>
      <c r="R58" s="3827"/>
      <c r="S58" s="3827"/>
      <c r="T58" s="3827"/>
      <c r="U58" s="3829"/>
      <c r="V58" s="3829"/>
      <c r="W58" s="3593"/>
      <c r="X58" s="3595"/>
      <c r="Y58" s="255"/>
      <c r="Z58" s="255"/>
      <c r="AA58" s="255"/>
      <c r="AB58" s="3639"/>
      <c r="AC58" s="3640"/>
      <c r="AD58" s="3746"/>
      <c r="AE58" s="255"/>
      <c r="AF58" s="256"/>
      <c r="AG58" s="256"/>
      <c r="AH58" s="256"/>
      <c r="AI58" s="258"/>
      <c r="AJ58" s="258"/>
      <c r="AK58" s="258"/>
      <c r="AL58" s="17"/>
      <c r="AM58" s="259"/>
      <c r="AN58" s="260" t="str">
        <f>W10</f>
        <v>à</v>
      </c>
      <c r="AO58" s="257" t="str">
        <f>X10</f>
        <v>S</v>
      </c>
      <c r="AP58" s="151"/>
      <c r="AQ58" s="17"/>
      <c r="AR58" s="17"/>
      <c r="AS58" s="17"/>
      <c r="AT58" s="9">
        <v>16</v>
      </c>
    </row>
    <row r="59" spans="1:46" ht="15.95" customHeight="1">
      <c r="A59" s="27"/>
      <c r="B59" s="261" t="s">
        <v>119</v>
      </c>
      <c r="C59" s="262"/>
      <c r="D59" s="262"/>
      <c r="E59" s="263"/>
      <c r="F59" s="264"/>
      <c r="G59" s="265"/>
      <c r="H59" s="262"/>
      <c r="I59" s="262"/>
      <c r="J59" s="262"/>
      <c r="K59" s="262"/>
      <c r="L59" s="262"/>
      <c r="M59" s="262"/>
      <c r="N59" s="262"/>
      <c r="O59" s="262"/>
      <c r="P59" s="262"/>
      <c r="Q59" s="262"/>
      <c r="R59" s="262"/>
      <c r="S59" s="262"/>
      <c r="T59" s="266"/>
      <c r="U59" s="266" t="s">
        <v>120</v>
      </c>
      <c r="V59" s="264" t="s">
        <v>121</v>
      </c>
      <c r="W59" s="267">
        <f>W57</f>
        <v>3</v>
      </c>
      <c r="X59" s="268" t="str">
        <f>X57</f>
        <v>Kg</v>
      </c>
      <c r="Y59" s="256"/>
      <c r="Z59" s="256"/>
      <c r="AA59" s="256"/>
      <c r="AB59" s="3639"/>
      <c r="AC59" s="3640"/>
      <c r="AD59" s="3746"/>
      <c r="AE59" s="256"/>
      <c r="AF59" s="258"/>
      <c r="AG59" s="258"/>
      <c r="AH59" s="258"/>
      <c r="AI59" s="258"/>
      <c r="AJ59" s="258"/>
      <c r="AK59" s="258"/>
      <c r="AL59" s="17"/>
      <c r="AM59" s="259"/>
      <c r="AN59" s="269" t="str">
        <f>Y10</f>
        <v>sont masquées</v>
      </c>
      <c r="AO59" s="270"/>
      <c r="AP59" s="151"/>
      <c r="AQ59" s="17"/>
      <c r="AR59" s="17"/>
      <c r="AS59" s="17"/>
      <c r="AT59" s="9">
        <v>16</v>
      </c>
    </row>
    <row r="60" spans="1:46" ht="15.95" customHeight="1">
      <c r="A60" s="27"/>
      <c r="B60" s="3573">
        <f>SUM(C63:C68)</f>
        <v>722</v>
      </c>
      <c r="C60" s="3830" t="s">
        <v>122</v>
      </c>
      <c r="D60" s="3553">
        <f>(D63*C63)/1000+(D64*C64)/1000+(D65*C65)/1000+(D66*C66)/1000+(D67*C67)/1000+(D68*C68)/1000</f>
        <v>12.015000000000001</v>
      </c>
      <c r="E60" s="3597">
        <f>IF(D60=0,0,INT(D60/W57))</f>
        <v>4</v>
      </c>
      <c r="F60" s="3597"/>
      <c r="G60" s="3832">
        <f>D60-(E60*W57)</f>
        <v>1.5000000000000568E-2</v>
      </c>
      <c r="H60" s="17"/>
      <c r="I60" s="17"/>
      <c r="J60" s="17"/>
      <c r="K60" s="17"/>
      <c r="L60" s="17"/>
      <c r="M60" s="17"/>
      <c r="N60" s="17"/>
      <c r="O60" s="17"/>
      <c r="P60" s="17"/>
      <c r="Q60" s="17"/>
      <c r="R60" s="17"/>
      <c r="S60" s="17"/>
      <c r="T60" s="3581" t="str">
        <f>IF(G60=0,0,X57)</f>
        <v>Kg</v>
      </c>
      <c r="U60" s="3581"/>
      <c r="V60" s="3597">
        <f>IF(G60=0,0,E60+1)</f>
        <v>5</v>
      </c>
      <c r="W60" s="3832">
        <f>IF(G60=0,0,D60-(V60*W57))</f>
        <v>-2.9849999999999994</v>
      </c>
      <c r="X60" s="3557" t="str">
        <f>IF(W60=0,0,X57)</f>
        <v>Kg</v>
      </c>
      <c r="Y60" s="256"/>
      <c r="Z60" s="256"/>
      <c r="AA60" s="256"/>
      <c r="AB60" s="3668" t="s">
        <v>123</v>
      </c>
      <c r="AC60" s="3669"/>
      <c r="AD60" s="3670"/>
      <c r="AE60" s="256"/>
      <c r="AF60" s="258"/>
      <c r="AG60" s="258"/>
      <c r="AH60" s="258"/>
      <c r="AI60" s="258"/>
      <c r="AJ60" s="258"/>
      <c r="AK60" s="258"/>
      <c r="AL60" s="17"/>
      <c r="AM60" s="188"/>
      <c r="AN60" s="271"/>
      <c r="AO60" s="272"/>
      <c r="AP60" s="151"/>
      <c r="AQ60" s="17"/>
      <c r="AR60" s="17"/>
      <c r="AS60" s="17"/>
      <c r="AT60" s="9">
        <v>16</v>
      </c>
    </row>
    <row r="61" spans="1:46" ht="15.95" customHeight="1" thickBot="1">
      <c r="A61" s="27"/>
      <c r="B61" s="3574"/>
      <c r="C61" s="3831"/>
      <c r="D61" s="3596"/>
      <c r="E61" s="3598"/>
      <c r="F61" s="3598"/>
      <c r="G61" s="3833"/>
      <c r="H61" s="273"/>
      <c r="I61" s="273"/>
      <c r="J61" s="273"/>
      <c r="K61" s="273"/>
      <c r="L61" s="273"/>
      <c r="M61" s="273"/>
      <c r="N61" s="273"/>
      <c r="O61" s="273"/>
      <c r="P61" s="273"/>
      <c r="Q61" s="273"/>
      <c r="R61" s="273"/>
      <c r="S61" s="273"/>
      <c r="T61" s="3582"/>
      <c r="U61" s="3582"/>
      <c r="V61" s="3598"/>
      <c r="W61" s="3833"/>
      <c r="X61" s="3558"/>
      <c r="Y61" s="256"/>
      <c r="Z61" s="256"/>
      <c r="AA61" s="256"/>
      <c r="AB61" s="3668"/>
      <c r="AC61" s="3669"/>
      <c r="AD61" s="3670"/>
      <c r="AE61" s="256"/>
      <c r="AF61" s="258"/>
      <c r="AG61" s="258"/>
      <c r="AH61" s="258"/>
      <c r="AI61" s="258"/>
      <c r="AJ61" s="258"/>
      <c r="AK61" s="258"/>
      <c r="AL61" s="17"/>
      <c r="AM61" s="274">
        <f t="shared" ref="AM61:AO61" ca="1" si="10">CELL("largeur",AM61)</f>
        <v>15</v>
      </c>
      <c r="AN61" s="275">
        <f t="shared" ca="1" si="10"/>
        <v>15</v>
      </c>
      <c r="AO61" s="276">
        <f t="shared" ca="1" si="10"/>
        <v>15</v>
      </c>
      <c r="AP61" s="151"/>
      <c r="AQ61" s="17"/>
      <c r="AR61" s="17"/>
      <c r="AS61" s="17"/>
      <c r="AT61" s="9">
        <v>16</v>
      </c>
    </row>
    <row r="62" spans="1:46" ht="15.95" customHeight="1">
      <c r="A62" s="17"/>
      <c r="B62" s="277"/>
      <c r="C62" s="278" t="s">
        <v>124</v>
      </c>
      <c r="D62" s="278" t="s">
        <v>125</v>
      </c>
      <c r="E62" s="17"/>
      <c r="F62" s="279"/>
      <c r="G62" s="280"/>
      <c r="H62" s="27"/>
      <c r="I62" s="281"/>
      <c r="J62" s="281"/>
      <c r="K62" s="281"/>
      <c r="L62" s="281"/>
      <c r="M62" s="281"/>
      <c r="N62" s="281"/>
      <c r="O62" s="281"/>
      <c r="P62" s="281"/>
      <c r="Q62" s="281"/>
      <c r="R62" s="281"/>
      <c r="S62" s="281"/>
      <c r="T62" s="27"/>
      <c r="U62" s="27"/>
      <c r="V62" s="282" t="s">
        <v>126</v>
      </c>
      <c r="W62" s="17"/>
      <c r="X62" s="283"/>
      <c r="Y62" s="256"/>
      <c r="Z62" s="256"/>
      <c r="AA62" s="256"/>
      <c r="AB62" s="3834" t="s">
        <v>127</v>
      </c>
      <c r="AC62" s="3835"/>
      <c r="AD62" s="3836"/>
      <c r="AE62" s="256"/>
      <c r="AF62" s="258"/>
      <c r="AG62" s="258"/>
      <c r="AH62" s="258"/>
      <c r="AI62" s="258"/>
      <c r="AJ62" s="258"/>
      <c r="AK62" s="258"/>
      <c r="AL62" s="17"/>
      <c r="AM62" s="151"/>
      <c r="AN62" s="151"/>
      <c r="AO62" s="151"/>
      <c r="AP62" s="151"/>
      <c r="AQ62" s="17"/>
      <c r="AR62" s="17"/>
      <c r="AS62" s="17"/>
      <c r="AT62" s="9">
        <v>16</v>
      </c>
    </row>
    <row r="63" spans="1:46" ht="15.95" customHeight="1">
      <c r="A63" s="27"/>
      <c r="B63" s="284" t="s">
        <v>128</v>
      </c>
      <c r="C63" s="285">
        <f>AD13</f>
        <v>250</v>
      </c>
      <c r="D63" s="286">
        <f>AD14</f>
        <v>10</v>
      </c>
      <c r="E63" s="287">
        <f t="shared" ref="E63:E68" si="11">(C63/1000)*D63</f>
        <v>2.5</v>
      </c>
      <c r="F63" s="288"/>
      <c r="G63" s="3552">
        <f>IF(E63=0,0,INT(E63/W57))</f>
        <v>0</v>
      </c>
      <c r="H63" s="3552"/>
      <c r="I63" s="27"/>
      <c r="J63" s="27"/>
      <c r="K63" s="27"/>
      <c r="L63" s="27"/>
      <c r="M63" s="27"/>
      <c r="N63" s="27"/>
      <c r="O63" s="27"/>
      <c r="P63" s="27"/>
      <c r="Q63" s="27"/>
      <c r="R63" s="27"/>
      <c r="S63" s="27"/>
      <c r="T63" s="289">
        <f>E63-(G63*W57)</f>
        <v>2.5</v>
      </c>
      <c r="U63" s="290" t="str">
        <f>IF(T63=0,0,X57)</f>
        <v>Kg</v>
      </c>
      <c r="V63" s="291">
        <f t="shared" ref="V63:V68" si="12">IF(T63=0,0,G63+1)</f>
        <v>1</v>
      </c>
      <c r="W63" s="292">
        <f>IF(T63=0,0,E63-(V63*W57))</f>
        <v>-0.5</v>
      </c>
      <c r="X63" s="293" t="str">
        <f>IF(W63=0,0,X57)</f>
        <v>Kg</v>
      </c>
      <c r="Y63" s="256"/>
      <c r="Z63" s="256"/>
      <c r="AA63" s="256"/>
      <c r="AB63" s="3834"/>
      <c r="AC63" s="3835"/>
      <c r="AD63" s="3836"/>
      <c r="AE63" s="256"/>
      <c r="AF63" s="258"/>
      <c r="AG63" s="258"/>
      <c r="AH63" s="258"/>
      <c r="AI63" s="258"/>
      <c r="AJ63" s="258"/>
      <c r="AK63" s="258"/>
      <c r="AL63" s="17"/>
      <c r="AM63" s="294"/>
      <c r="AN63" s="294"/>
      <c r="AO63" s="294"/>
      <c r="AP63" s="294"/>
      <c r="AQ63" s="17"/>
      <c r="AR63" s="17"/>
      <c r="AS63" s="17"/>
      <c r="AT63" s="9">
        <v>16</v>
      </c>
    </row>
    <row r="64" spans="1:46" ht="15.95" customHeight="1">
      <c r="A64" s="27"/>
      <c r="B64" s="295" t="s">
        <v>129</v>
      </c>
      <c r="C64" s="285">
        <f>AE13</f>
        <v>260</v>
      </c>
      <c r="D64" s="286">
        <f>AE14</f>
        <v>15</v>
      </c>
      <c r="E64" s="287">
        <f t="shared" si="11"/>
        <v>3.9000000000000004</v>
      </c>
      <c r="F64" s="17"/>
      <c r="G64" s="3552">
        <f>IF(E64=0,0,INT(E64/W57))</f>
        <v>1</v>
      </c>
      <c r="H64" s="3552"/>
      <c r="I64" s="27"/>
      <c r="J64" s="27"/>
      <c r="K64" s="27"/>
      <c r="L64" s="27"/>
      <c r="M64" s="27"/>
      <c r="N64" s="27"/>
      <c r="O64" s="27"/>
      <c r="P64" s="27"/>
      <c r="Q64" s="27"/>
      <c r="R64" s="27"/>
      <c r="S64" s="27"/>
      <c r="T64" s="289">
        <f>E64-(G64*W57)</f>
        <v>0.90000000000000036</v>
      </c>
      <c r="U64" s="290" t="str">
        <f>IF(T64=0,0,X57)</f>
        <v>Kg</v>
      </c>
      <c r="V64" s="291">
        <f t="shared" si="12"/>
        <v>2</v>
      </c>
      <c r="W64" s="292">
        <f>IF(T64=0,0,E64-(V64*W57))</f>
        <v>-2.0999999999999996</v>
      </c>
      <c r="X64" s="293" t="str">
        <f>IF(W64=0,0,X57)</f>
        <v>Kg</v>
      </c>
      <c r="Y64" s="256"/>
      <c r="Z64" s="256"/>
      <c r="AA64" s="256"/>
      <c r="AB64" s="3834"/>
      <c r="AC64" s="3835"/>
      <c r="AD64" s="3836"/>
      <c r="AE64" s="256"/>
      <c r="AF64" s="296"/>
      <c r="AG64" s="256"/>
      <c r="AH64" s="258"/>
      <c r="AI64" s="258"/>
      <c r="AJ64" s="258"/>
      <c r="AK64" s="258"/>
      <c r="AL64" s="17"/>
      <c r="AM64" s="3705" t="s">
        <v>130</v>
      </c>
      <c r="AN64" s="3837"/>
      <c r="AO64" s="3838"/>
      <c r="AP64" s="17"/>
      <c r="AQ64" s="3839" t="s">
        <v>131</v>
      </c>
      <c r="AR64" s="297" t="s">
        <v>37</v>
      </c>
      <c r="AS64" s="298" t="s">
        <v>47</v>
      </c>
      <c r="AT64" s="9">
        <v>16</v>
      </c>
    </row>
    <row r="65" spans="1:46" ht="15.95" customHeight="1">
      <c r="A65" s="27"/>
      <c r="B65" s="299" t="s">
        <v>28</v>
      </c>
      <c r="C65" s="285">
        <f>AF13</f>
        <v>120</v>
      </c>
      <c r="D65" s="286">
        <f>AF14</f>
        <v>25</v>
      </c>
      <c r="E65" s="287">
        <f t="shared" si="11"/>
        <v>3</v>
      </c>
      <c r="F65" s="17"/>
      <c r="G65" s="3552">
        <f>IF(E65=0,0,INT(E65/W57))</f>
        <v>1</v>
      </c>
      <c r="H65" s="3552"/>
      <c r="I65" s="27"/>
      <c r="J65" s="27"/>
      <c r="K65" s="27"/>
      <c r="L65" s="27"/>
      <c r="M65" s="27"/>
      <c r="N65" s="27"/>
      <c r="O65" s="27"/>
      <c r="P65" s="27"/>
      <c r="Q65" s="27"/>
      <c r="R65" s="27"/>
      <c r="S65" s="27"/>
      <c r="T65" s="289">
        <f>E65-(G65*W57)</f>
        <v>0</v>
      </c>
      <c r="U65" s="290">
        <f>IF(T65=0,0,X57)</f>
        <v>0</v>
      </c>
      <c r="V65" s="291">
        <f t="shared" si="12"/>
        <v>0</v>
      </c>
      <c r="W65" s="292">
        <f>IF(T65=0,0,E65-(V65*W57))</f>
        <v>0</v>
      </c>
      <c r="X65" s="293">
        <f>IF(W65=0,0,X57)</f>
        <v>0</v>
      </c>
      <c r="Y65" s="256"/>
      <c r="Z65" s="256"/>
      <c r="AA65" s="256"/>
      <c r="AB65" s="3677" t="s">
        <v>132</v>
      </c>
      <c r="AC65" s="3678"/>
      <c r="AD65" s="3679"/>
      <c r="AE65" s="256"/>
      <c r="AF65" s="296"/>
      <c r="AG65" s="256"/>
      <c r="AH65" s="258"/>
      <c r="AI65" s="258"/>
      <c r="AJ65" s="258"/>
      <c r="AK65" s="258"/>
      <c r="AL65" s="17"/>
      <c r="AM65" s="300" t="s">
        <v>133</v>
      </c>
      <c r="AN65" s="301" t="s">
        <v>134</v>
      </c>
      <c r="AO65" s="302" t="s">
        <v>135</v>
      </c>
      <c r="AP65" s="17"/>
      <c r="AQ65" s="3840"/>
      <c r="AR65" s="303">
        <v>0.2</v>
      </c>
      <c r="AS65" s="304">
        <v>0.14000000000000001</v>
      </c>
      <c r="AT65" s="9">
        <v>16</v>
      </c>
    </row>
    <row r="66" spans="1:46" ht="15.95" customHeight="1">
      <c r="A66" s="27"/>
      <c r="B66" s="299" t="s">
        <v>136</v>
      </c>
      <c r="C66" s="285">
        <f>AG13</f>
        <v>60</v>
      </c>
      <c r="D66" s="286">
        <f>AG14</f>
        <v>31.25</v>
      </c>
      <c r="E66" s="287">
        <f t="shared" si="11"/>
        <v>1.875</v>
      </c>
      <c r="F66" s="17"/>
      <c r="G66" s="3552">
        <f>IF(E66=0,0,INT(E66/W57))</f>
        <v>0</v>
      </c>
      <c r="H66" s="3552"/>
      <c r="I66" s="27"/>
      <c r="J66" s="27"/>
      <c r="K66" s="27"/>
      <c r="L66" s="27"/>
      <c r="M66" s="27"/>
      <c r="N66" s="27"/>
      <c r="O66" s="27"/>
      <c r="P66" s="27"/>
      <c r="Q66" s="27"/>
      <c r="R66" s="27"/>
      <c r="S66" s="27"/>
      <c r="T66" s="289">
        <f>E66-(G66*W57)</f>
        <v>1.875</v>
      </c>
      <c r="U66" s="290" t="str">
        <f>IF(T66=0,0,X57)</f>
        <v>Kg</v>
      </c>
      <c r="V66" s="291">
        <f t="shared" si="12"/>
        <v>1</v>
      </c>
      <c r="W66" s="292">
        <f>IF(T66=0,0,E66-(V66*W57))</f>
        <v>-1.125</v>
      </c>
      <c r="X66" s="293" t="str">
        <f>IF(W66=0,0,X57)</f>
        <v>Kg</v>
      </c>
      <c r="Y66" s="256"/>
      <c r="Z66" s="256"/>
      <c r="AA66" s="256"/>
      <c r="AB66" s="3680" t="s">
        <v>137</v>
      </c>
      <c r="AC66" s="3681"/>
      <c r="AD66" s="3682"/>
      <c r="AE66" s="256"/>
      <c r="AF66" s="258"/>
      <c r="AG66" s="258"/>
      <c r="AH66" s="258"/>
      <c r="AI66" s="258"/>
      <c r="AJ66" s="258"/>
      <c r="AK66" s="258"/>
      <c r="AL66" s="17"/>
      <c r="AM66" s="305">
        <v>150</v>
      </c>
      <c r="AN66" s="306">
        <v>0.25</v>
      </c>
      <c r="AO66" s="307">
        <f>AN66*AM66</f>
        <v>37.5</v>
      </c>
      <c r="AP66" s="17"/>
      <c r="AQ66" s="3840"/>
      <c r="AR66" s="308">
        <v>30</v>
      </c>
      <c r="AS66" s="309">
        <v>30</v>
      </c>
      <c r="AT66" s="9">
        <v>16</v>
      </c>
    </row>
    <row r="67" spans="1:46" ht="15.95" customHeight="1">
      <c r="A67" s="27"/>
      <c r="B67" s="299" t="s">
        <v>56</v>
      </c>
      <c r="C67" s="285">
        <f>AH13</f>
        <v>20</v>
      </c>
      <c r="D67" s="286">
        <f>AH14</f>
        <v>25</v>
      </c>
      <c r="E67" s="287">
        <f t="shared" si="11"/>
        <v>0.5</v>
      </c>
      <c r="F67" s="17"/>
      <c r="G67" s="3552">
        <f>IF(E67=0,0,INT(E67/W57))</f>
        <v>0</v>
      </c>
      <c r="H67" s="3552"/>
      <c r="I67" s="27"/>
      <c r="J67" s="27"/>
      <c r="K67" s="27"/>
      <c r="L67" s="27"/>
      <c r="M67" s="27"/>
      <c r="N67" s="27"/>
      <c r="O67" s="27"/>
      <c r="P67" s="27"/>
      <c r="Q67" s="27"/>
      <c r="R67" s="27"/>
      <c r="S67" s="27"/>
      <c r="T67" s="289">
        <f>E67-(G67*W57)</f>
        <v>0.5</v>
      </c>
      <c r="U67" s="290" t="str">
        <f>IF(T67=0,0,X57)</f>
        <v>Kg</v>
      </c>
      <c r="V67" s="291">
        <f t="shared" si="12"/>
        <v>1</v>
      </c>
      <c r="W67" s="292">
        <f>IF(T67=0,0,E67-(V67*W57))</f>
        <v>-2.5</v>
      </c>
      <c r="X67" s="293" t="str">
        <f>IF(W67=0,0,X57)</f>
        <v>Kg</v>
      </c>
      <c r="Y67" s="256"/>
      <c r="Z67" s="256"/>
      <c r="AA67" s="256"/>
      <c r="AB67" s="3543" t="s">
        <v>138</v>
      </c>
      <c r="AC67" s="3544"/>
      <c r="AD67" s="3545"/>
      <c r="AE67" s="256"/>
      <c r="AF67" s="258"/>
      <c r="AG67" s="258"/>
      <c r="AH67" s="258"/>
      <c r="AI67" s="258"/>
      <c r="AJ67" s="258"/>
      <c r="AK67" s="258"/>
      <c r="AL67" s="17"/>
      <c r="AM67" s="17"/>
      <c r="AN67" s="17"/>
      <c r="AO67" s="17"/>
      <c r="AP67" s="17"/>
      <c r="AQ67" s="3841"/>
      <c r="AR67" s="310">
        <f>IF(AR65=0,0,((AR65-(AR65*AR66%))))</f>
        <v>0.14000000000000001</v>
      </c>
      <c r="AS67" s="311">
        <f>AS65/(100-AS66)*100</f>
        <v>0.2</v>
      </c>
      <c r="AT67" s="9">
        <v>16</v>
      </c>
    </row>
    <row r="68" spans="1:46" ht="15.95" customHeight="1">
      <c r="A68" s="17"/>
      <c r="B68" s="299" t="s">
        <v>57</v>
      </c>
      <c r="C68" s="285">
        <f>AI13</f>
        <v>12</v>
      </c>
      <c r="D68" s="286">
        <f>AI14</f>
        <v>20</v>
      </c>
      <c r="E68" s="287">
        <f t="shared" si="11"/>
        <v>0.24</v>
      </c>
      <c r="F68" s="17"/>
      <c r="G68" s="3552">
        <f>IF(E68=0,0,INT(E68/W57))</f>
        <v>0</v>
      </c>
      <c r="H68" s="3552"/>
      <c r="I68" s="27"/>
      <c r="J68" s="27"/>
      <c r="K68" s="27"/>
      <c r="L68" s="27"/>
      <c r="M68" s="27"/>
      <c r="N68" s="27"/>
      <c r="O68" s="27"/>
      <c r="P68" s="27"/>
      <c r="Q68" s="27"/>
      <c r="R68" s="27"/>
      <c r="S68" s="27"/>
      <c r="T68" s="289">
        <f>E68-(G68*W57)</f>
        <v>0.24</v>
      </c>
      <c r="U68" s="290" t="str">
        <f>IF(T68=0,0,X57)</f>
        <v>Kg</v>
      </c>
      <c r="V68" s="291">
        <f t="shared" si="12"/>
        <v>1</v>
      </c>
      <c r="W68" s="292">
        <f>IF(T68=0,0,E68-(V68*W57))</f>
        <v>-2.76</v>
      </c>
      <c r="X68" s="293" t="str">
        <f>IF(W68=0,0,X57)</f>
        <v>Kg</v>
      </c>
      <c r="Y68" s="256"/>
      <c r="Z68" s="256"/>
      <c r="AA68" s="256"/>
      <c r="AB68" s="3543"/>
      <c r="AC68" s="3544"/>
      <c r="AD68" s="3545"/>
      <c r="AE68" s="256"/>
      <c r="AF68" s="258"/>
      <c r="AG68" s="258"/>
      <c r="AH68" s="258"/>
      <c r="AI68" s="258"/>
      <c r="AJ68" s="258"/>
      <c r="AK68" s="258"/>
      <c r="AL68" s="17"/>
      <c r="AM68" s="294"/>
      <c r="AN68" s="294"/>
      <c r="AO68" s="294"/>
      <c r="AP68" s="294"/>
      <c r="AQ68" s="17"/>
      <c r="AR68" s="17"/>
      <c r="AS68" s="17"/>
      <c r="AT68" s="9">
        <v>16</v>
      </c>
    </row>
    <row r="69" spans="1:46" ht="15.95" customHeight="1">
      <c r="A69" s="17"/>
      <c r="B69" s="312"/>
      <c r="C69" s="17"/>
      <c r="D69" s="17"/>
      <c r="E69" s="17"/>
      <c r="F69" s="17"/>
      <c r="G69" s="264" t="s">
        <v>139</v>
      </c>
      <c r="H69" s="264"/>
      <c r="I69" s="17"/>
      <c r="J69" s="17"/>
      <c r="K69" s="17"/>
      <c r="L69" s="17"/>
      <c r="M69" s="17"/>
      <c r="N69" s="17"/>
      <c r="O69" s="17"/>
      <c r="P69" s="17"/>
      <c r="Q69" s="17"/>
      <c r="R69" s="17"/>
      <c r="S69" s="17"/>
      <c r="T69" s="264"/>
      <c r="U69" s="264"/>
      <c r="V69" s="264"/>
      <c r="W69" s="264"/>
      <c r="X69" s="268"/>
      <c r="Y69" s="256"/>
      <c r="Z69" s="256"/>
      <c r="AA69" s="256"/>
      <c r="AB69" s="3543"/>
      <c r="AC69" s="3544"/>
      <c r="AD69" s="3545"/>
      <c r="AE69" s="256"/>
      <c r="AF69" s="258"/>
      <c r="AG69" s="258"/>
      <c r="AH69" s="258"/>
      <c r="AI69" s="258"/>
      <c r="AJ69" s="258"/>
      <c r="AK69" s="258"/>
      <c r="AL69" s="17"/>
      <c r="AM69" s="294"/>
      <c r="AN69" s="294"/>
      <c r="AO69" s="294"/>
      <c r="AP69" s="294"/>
      <c r="AQ69" s="17"/>
      <c r="AR69" s="17"/>
      <c r="AS69" s="17"/>
      <c r="AT69" s="9">
        <v>16</v>
      </c>
    </row>
    <row r="70" spans="1:46" ht="15.95" customHeight="1">
      <c r="A70" s="17"/>
      <c r="B70" s="312"/>
      <c r="C70" s="17"/>
      <c r="D70" s="17"/>
      <c r="E70" s="17"/>
      <c r="F70" s="17"/>
      <c r="G70" s="3560">
        <f>IF(G71=0,0,INT(G71/W57))</f>
        <v>2</v>
      </c>
      <c r="H70" s="3560"/>
      <c r="I70" s="17"/>
      <c r="J70" s="17"/>
      <c r="K70" s="17"/>
      <c r="L70" s="17"/>
      <c r="M70" s="17"/>
      <c r="N70" s="17"/>
      <c r="O70" s="17"/>
      <c r="P70" s="17"/>
      <c r="Q70" s="17"/>
      <c r="R70" s="17"/>
      <c r="S70" s="17"/>
      <c r="T70" s="313" t="s">
        <v>140</v>
      </c>
      <c r="U70" s="314">
        <f>D60-G71</f>
        <v>6.0150000000000006</v>
      </c>
      <c r="V70" s="315" t="s">
        <v>141</v>
      </c>
      <c r="W70" s="316">
        <f>COUNTIF(T63:T68,"&gt;0")</f>
        <v>5</v>
      </c>
      <c r="X70" s="317" t="s">
        <v>142</v>
      </c>
      <c r="Y70" s="256"/>
      <c r="Z70" s="256"/>
      <c r="AA70" s="256"/>
      <c r="AB70" s="3543"/>
      <c r="AC70" s="3544"/>
      <c r="AD70" s="3545"/>
      <c r="AE70" s="256"/>
      <c r="AF70" s="258"/>
      <c r="AG70" s="258"/>
      <c r="AH70" s="258"/>
      <c r="AI70" s="258"/>
      <c r="AJ70" s="258"/>
      <c r="AK70" s="258"/>
      <c r="AL70" s="17"/>
      <c r="AM70" s="17"/>
      <c r="AN70" s="17"/>
      <c r="AO70" s="17"/>
      <c r="AP70" s="17"/>
      <c r="AQ70" s="17"/>
      <c r="AR70" s="17"/>
      <c r="AS70" s="17"/>
      <c r="AT70" s="9">
        <v>16</v>
      </c>
    </row>
    <row r="71" spans="1:46" ht="15.95" customHeight="1">
      <c r="A71" s="17"/>
      <c r="B71" s="312"/>
      <c r="C71" s="17"/>
      <c r="D71" s="17"/>
      <c r="E71" s="17"/>
      <c r="F71" s="17"/>
      <c r="G71" s="3842">
        <f>SUM(G63:H68)*W57</f>
        <v>6</v>
      </c>
      <c r="H71" s="3842"/>
      <c r="I71" s="17"/>
      <c r="J71" s="17"/>
      <c r="K71" s="17"/>
      <c r="L71" s="17"/>
      <c r="M71" s="17"/>
      <c r="N71" s="17"/>
      <c r="O71" s="17"/>
      <c r="P71" s="17"/>
      <c r="Q71" s="17"/>
      <c r="R71" s="17"/>
      <c r="S71" s="17"/>
      <c r="T71" s="27"/>
      <c r="U71" s="318">
        <f>G71+U70</f>
        <v>12.015000000000001</v>
      </c>
      <c r="V71" s="17"/>
      <c r="W71" s="17"/>
      <c r="X71" s="283"/>
      <c r="Y71" s="256"/>
      <c r="Z71" s="256"/>
      <c r="AA71" s="256"/>
      <c r="AB71" s="188"/>
      <c r="AC71" s="271"/>
      <c r="AD71" s="272"/>
      <c r="AE71" s="256"/>
      <c r="AF71" s="256"/>
      <c r="AG71" s="256"/>
      <c r="AH71" s="256"/>
      <c r="AI71" s="256"/>
      <c r="AJ71" s="256"/>
      <c r="AK71" s="256"/>
      <c r="AL71" s="17"/>
      <c r="AM71" s="294"/>
      <c r="AN71" s="294"/>
      <c r="AO71" s="294"/>
      <c r="AP71" s="294"/>
      <c r="AQ71" s="17"/>
      <c r="AR71" s="17"/>
      <c r="AS71" s="17"/>
      <c r="AT71" s="9">
        <v>16</v>
      </c>
    </row>
    <row r="72" spans="1:46" ht="15.95" customHeight="1" thickBot="1">
      <c r="A72" s="17"/>
      <c r="B72" s="319"/>
      <c r="C72" s="320"/>
      <c r="D72" s="320"/>
      <c r="E72" s="320"/>
      <c r="F72" s="320"/>
      <c r="G72" s="320"/>
      <c r="H72" s="320"/>
      <c r="I72" s="320"/>
      <c r="J72" s="320"/>
      <c r="K72" s="320"/>
      <c r="L72" s="320"/>
      <c r="M72" s="320"/>
      <c r="N72" s="320"/>
      <c r="O72" s="320"/>
      <c r="P72" s="320"/>
      <c r="Q72" s="320"/>
      <c r="R72" s="320"/>
      <c r="S72" s="320"/>
      <c r="T72" s="320"/>
      <c r="U72" s="320"/>
      <c r="V72" s="320"/>
      <c r="W72" s="320"/>
      <c r="X72" s="321"/>
      <c r="Y72" s="256"/>
      <c r="Z72" s="256"/>
      <c r="AA72" s="256"/>
      <c r="AB72" s="3543" t="s">
        <v>143</v>
      </c>
      <c r="AC72" s="3544"/>
      <c r="AD72" s="3545"/>
      <c r="AE72" s="256"/>
      <c r="AF72" s="256"/>
      <c r="AG72" s="256"/>
      <c r="AH72" s="256"/>
      <c r="AI72" s="256"/>
      <c r="AJ72" s="256"/>
      <c r="AK72" s="256"/>
      <c r="AL72" s="17"/>
      <c r="AM72" s="294"/>
      <c r="AN72" s="294"/>
      <c r="AO72" s="294"/>
      <c r="AP72" s="294"/>
      <c r="AQ72" s="17"/>
      <c r="AR72" s="17"/>
      <c r="AS72" s="17"/>
      <c r="AT72" s="9">
        <v>16</v>
      </c>
    </row>
    <row r="73" spans="1:46" ht="15.95" customHeight="1" thickBot="1">
      <c r="A73" s="17"/>
      <c r="B73" s="17"/>
      <c r="C73" s="17"/>
      <c r="D73" s="17"/>
      <c r="E73" s="17"/>
      <c r="F73" s="17"/>
      <c r="G73" s="17"/>
      <c r="H73" s="17"/>
      <c r="I73" s="17"/>
      <c r="J73" s="17"/>
      <c r="K73" s="17"/>
      <c r="L73" s="17"/>
      <c r="M73" s="17"/>
      <c r="N73" s="17"/>
      <c r="O73" s="17"/>
      <c r="P73" s="17"/>
      <c r="Q73" s="17"/>
      <c r="R73" s="17"/>
      <c r="S73" s="17"/>
      <c r="T73" s="17"/>
      <c r="U73" s="17"/>
      <c r="V73" s="17"/>
      <c r="W73" s="17"/>
      <c r="X73" s="17"/>
      <c r="Y73" s="256"/>
      <c r="Z73" s="256"/>
      <c r="AA73" s="256"/>
      <c r="AB73" s="3543"/>
      <c r="AC73" s="3544"/>
      <c r="AD73" s="3545"/>
      <c r="AE73" s="256"/>
      <c r="AF73" s="256"/>
      <c r="AG73" s="256"/>
      <c r="AH73" s="256"/>
      <c r="AI73" s="256"/>
      <c r="AJ73" s="256"/>
      <c r="AK73" s="256"/>
      <c r="AL73" s="17"/>
      <c r="AM73" s="294"/>
      <c r="AN73" s="294"/>
      <c r="AO73" s="294"/>
      <c r="AP73" s="294"/>
      <c r="AQ73" s="17"/>
      <c r="AR73" s="17"/>
      <c r="AS73" s="17"/>
      <c r="AT73" s="9">
        <v>16</v>
      </c>
    </row>
    <row r="74" spans="1:46" ht="15.95" customHeight="1">
      <c r="A74" s="27"/>
      <c r="B74" s="3564" t="str">
        <f>C2</f>
        <v>SAISISSEZ LE NOM DE VOTRE PLAT cellule C 2</v>
      </c>
      <c r="C74" s="3565"/>
      <c r="D74" s="3565"/>
      <c r="E74" s="3565"/>
      <c r="F74" s="3565"/>
      <c r="G74" s="3565"/>
      <c r="H74" s="3565"/>
      <c r="I74" s="3565"/>
      <c r="J74" s="3565"/>
      <c r="K74" s="3565"/>
      <c r="L74" s="3565"/>
      <c r="M74" s="3565"/>
      <c r="N74" s="3565"/>
      <c r="O74" s="3565"/>
      <c r="P74" s="3565"/>
      <c r="Q74" s="3565"/>
      <c r="R74" s="3565"/>
      <c r="S74" s="3565"/>
      <c r="T74" s="3565"/>
      <c r="U74" s="3565"/>
      <c r="V74" s="3568" t="s">
        <v>116</v>
      </c>
      <c r="W74" s="3568"/>
      <c r="X74" s="3843">
        <v>22</v>
      </c>
      <c r="Y74" s="3845" t="s">
        <v>144</v>
      </c>
      <c r="Z74" s="256"/>
      <c r="AA74" s="256"/>
      <c r="AB74" s="188"/>
      <c r="AC74" s="271"/>
      <c r="AD74" s="272"/>
      <c r="AE74" s="256"/>
      <c r="AF74" s="256"/>
      <c r="AG74" s="256"/>
      <c r="AH74" s="256"/>
      <c r="AI74" s="256"/>
      <c r="AJ74" s="256"/>
      <c r="AK74" s="256"/>
      <c r="AL74" s="17"/>
      <c r="AM74" s="294"/>
      <c r="AN74" s="294"/>
      <c r="AO74" s="294"/>
      <c r="AP74" s="294"/>
      <c r="AQ74" s="17"/>
      <c r="AR74" s="17"/>
      <c r="AS74" s="17"/>
      <c r="AT74" s="9">
        <v>16</v>
      </c>
    </row>
    <row r="75" spans="1:46" ht="15.95" customHeight="1">
      <c r="A75" s="27"/>
      <c r="B75" s="3566"/>
      <c r="C75" s="3567"/>
      <c r="D75" s="3567"/>
      <c r="E75" s="3567"/>
      <c r="F75" s="3567"/>
      <c r="G75" s="3567"/>
      <c r="H75" s="3567"/>
      <c r="I75" s="3567"/>
      <c r="J75" s="3567"/>
      <c r="K75" s="3567"/>
      <c r="L75" s="3567"/>
      <c r="M75" s="3567"/>
      <c r="N75" s="3567"/>
      <c r="O75" s="3567"/>
      <c r="P75" s="3567"/>
      <c r="Q75" s="3567"/>
      <c r="R75" s="3567"/>
      <c r="S75" s="3567"/>
      <c r="T75" s="3567"/>
      <c r="U75" s="3567"/>
      <c r="V75" s="3569"/>
      <c r="W75" s="3569"/>
      <c r="X75" s="3844"/>
      <c r="Y75" s="3846"/>
      <c r="Z75" s="256"/>
      <c r="AA75" s="256"/>
      <c r="AB75" s="3543" t="s">
        <v>145</v>
      </c>
      <c r="AC75" s="3544"/>
      <c r="AD75" s="3545"/>
      <c r="AE75" s="256"/>
      <c r="AF75" s="256"/>
      <c r="AG75" s="256"/>
      <c r="AH75" s="256"/>
      <c r="AI75" s="256"/>
      <c r="AJ75" s="256"/>
      <c r="AK75" s="256"/>
      <c r="AL75" s="17"/>
      <c r="AM75" s="294"/>
      <c r="AN75" s="294"/>
      <c r="AO75" s="294"/>
      <c r="AP75" s="294"/>
      <c r="AQ75" s="17"/>
      <c r="AR75" s="17"/>
      <c r="AS75" s="17"/>
      <c r="AT75" s="9">
        <v>16</v>
      </c>
    </row>
    <row r="76" spans="1:46" ht="15.95" customHeight="1" thickBot="1">
      <c r="A76" s="27"/>
      <c r="B76" s="322" t="s">
        <v>119</v>
      </c>
      <c r="C76" s="17"/>
      <c r="D76" s="17"/>
      <c r="E76" s="323"/>
      <c r="F76" s="324"/>
      <c r="G76" s="325"/>
      <c r="H76" s="27"/>
      <c r="I76" s="17"/>
      <c r="J76" s="326" t="s">
        <v>120</v>
      </c>
      <c r="K76" s="17"/>
      <c r="L76" s="27"/>
      <c r="M76" s="27"/>
      <c r="N76" s="27"/>
      <c r="O76" s="27"/>
      <c r="P76" s="27"/>
      <c r="Q76" s="27"/>
      <c r="R76" s="27"/>
      <c r="S76" s="27"/>
      <c r="T76" s="27"/>
      <c r="U76" s="327"/>
      <c r="V76" s="27"/>
      <c r="W76" s="327" t="s">
        <v>121</v>
      </c>
      <c r="X76" s="328">
        <f>X74</f>
        <v>22</v>
      </c>
      <c r="Y76" s="329" t="str">
        <f>Y74</f>
        <v>Morceaux</v>
      </c>
      <c r="Z76" s="256"/>
      <c r="AA76" s="256"/>
      <c r="AB76" s="3546"/>
      <c r="AC76" s="3547"/>
      <c r="AD76" s="3548"/>
      <c r="AE76" s="256"/>
      <c r="AF76" s="256"/>
      <c r="AG76" s="256"/>
      <c r="AH76" s="256"/>
      <c r="AI76" s="256"/>
      <c r="AJ76" s="256"/>
      <c r="AK76" s="256"/>
      <c r="AL76" s="17"/>
      <c r="AM76" s="294"/>
      <c r="AN76" s="294"/>
      <c r="AO76" s="294"/>
      <c r="AP76" s="294"/>
      <c r="AQ76" s="17"/>
      <c r="AR76" s="17"/>
      <c r="AS76" s="17"/>
      <c r="AT76" s="9">
        <v>16</v>
      </c>
    </row>
    <row r="77" spans="1:46" ht="15.95" customHeight="1">
      <c r="A77" s="27"/>
      <c r="B77" s="3573">
        <f>SUM(C80:C85)</f>
        <v>722</v>
      </c>
      <c r="C77" s="3575">
        <f>SUM(E80:E85)</f>
        <v>1594.4</v>
      </c>
      <c r="D77" s="3830" t="str">
        <f>Y74</f>
        <v>Morceaux</v>
      </c>
      <c r="E77" s="3560">
        <f>IF(C77=0,0,INT(C77/X74))</f>
        <v>72</v>
      </c>
      <c r="F77" s="3560"/>
      <c r="G77" s="3847">
        <f>C77-(E77*X74)</f>
        <v>10.400000000000091</v>
      </c>
      <c r="H77" s="27"/>
      <c r="I77" s="330"/>
      <c r="J77" s="17"/>
      <c r="K77" s="17"/>
      <c r="L77" s="27"/>
      <c r="M77" s="27"/>
      <c r="N77" s="27"/>
      <c r="O77" s="27"/>
      <c r="P77" s="27"/>
      <c r="Q77" s="27"/>
      <c r="R77" s="27"/>
      <c r="S77" s="27"/>
      <c r="T77" s="3853" t="str">
        <f>IF(G77=0,0,Y74)</f>
        <v>Morceaux</v>
      </c>
      <c r="U77" s="17"/>
      <c r="V77" s="331"/>
      <c r="W77" s="3597">
        <f>IF(G77=0,0,E77+1)</f>
        <v>73</v>
      </c>
      <c r="X77" s="3847">
        <f>IF(G77=0,0,C77-(W77*X74))</f>
        <v>-11.599999999999909</v>
      </c>
      <c r="Y77" s="3557" t="str">
        <f>IF(X77=0,0,Y74)</f>
        <v>Morceaux</v>
      </c>
      <c r="Z77" s="256"/>
      <c r="AA77" s="256"/>
      <c r="AB77" s="256"/>
      <c r="AC77" s="256"/>
      <c r="AD77" s="256"/>
      <c r="AE77" s="256"/>
      <c r="AF77" s="256"/>
      <c r="AG77" s="256"/>
      <c r="AH77" s="256"/>
      <c r="AI77" s="256"/>
      <c r="AJ77" s="256"/>
      <c r="AK77" s="256"/>
      <c r="AL77" s="17"/>
      <c r="AM77" s="294"/>
      <c r="AN77" s="294"/>
      <c r="AO77" s="294"/>
      <c r="AP77" s="294"/>
      <c r="AQ77" s="17"/>
      <c r="AR77" s="17"/>
      <c r="AS77" s="17"/>
      <c r="AT77" s="9">
        <v>16</v>
      </c>
    </row>
    <row r="78" spans="1:46" ht="15.95" customHeight="1">
      <c r="A78" s="27"/>
      <c r="B78" s="3574"/>
      <c r="C78" s="3576"/>
      <c r="D78" s="3831"/>
      <c r="E78" s="3578"/>
      <c r="F78" s="3578"/>
      <c r="G78" s="3848"/>
      <c r="H78" s="332"/>
      <c r="I78" s="333"/>
      <c r="J78" s="273"/>
      <c r="K78" s="273"/>
      <c r="L78" s="332"/>
      <c r="M78" s="332"/>
      <c r="N78" s="332"/>
      <c r="O78" s="332"/>
      <c r="P78" s="332"/>
      <c r="Q78" s="332"/>
      <c r="R78" s="332"/>
      <c r="S78" s="332"/>
      <c r="T78" s="3854"/>
      <c r="U78" s="273"/>
      <c r="V78" s="334"/>
      <c r="W78" s="3598"/>
      <c r="X78" s="3848"/>
      <c r="Y78" s="3558"/>
      <c r="Z78" s="256"/>
      <c r="AA78" s="256"/>
      <c r="AB78" s="256"/>
      <c r="AC78" s="256"/>
      <c r="AD78" s="256"/>
      <c r="AE78" s="256"/>
      <c r="AF78" s="256"/>
      <c r="AG78" s="256"/>
      <c r="AH78" s="256"/>
      <c r="AI78" s="256"/>
      <c r="AJ78" s="256"/>
      <c r="AK78" s="256"/>
      <c r="AL78" s="17"/>
      <c r="AM78" s="294"/>
      <c r="AN78" s="294"/>
      <c r="AO78" s="294"/>
      <c r="AP78" s="294"/>
      <c r="AQ78" s="17"/>
      <c r="AR78" s="17"/>
      <c r="AS78" s="17"/>
      <c r="AT78" s="9">
        <v>16</v>
      </c>
    </row>
    <row r="79" spans="1:46" ht="15.95" customHeight="1">
      <c r="A79" s="27"/>
      <c r="B79" s="277"/>
      <c r="C79" s="278" t="s">
        <v>124</v>
      </c>
      <c r="D79" s="335" t="s">
        <v>146</v>
      </c>
      <c r="E79" s="17"/>
      <c r="F79" s="279"/>
      <c r="G79" s="280"/>
      <c r="H79" s="282"/>
      <c r="I79" s="282"/>
      <c r="J79" s="282"/>
      <c r="K79" s="27"/>
      <c r="L79" s="27"/>
      <c r="M79" s="27"/>
      <c r="N79" s="27"/>
      <c r="O79" s="27"/>
      <c r="P79" s="27"/>
      <c r="Q79" s="27"/>
      <c r="R79" s="27"/>
      <c r="S79" s="27"/>
      <c r="T79" s="27"/>
      <c r="U79" s="27"/>
      <c r="V79" s="282" t="s">
        <v>147</v>
      </c>
      <c r="W79" s="27"/>
      <c r="X79" s="27"/>
      <c r="Y79" s="336"/>
      <c r="Z79" s="256"/>
      <c r="AA79" s="256"/>
      <c r="AB79" s="256"/>
      <c r="AC79" s="256"/>
      <c r="AD79" s="256"/>
      <c r="AE79" s="256"/>
      <c r="AF79" s="256"/>
      <c r="AG79" s="256"/>
      <c r="AH79" s="256"/>
      <c r="AI79" s="256"/>
      <c r="AJ79" s="256"/>
      <c r="AK79" s="256"/>
      <c r="AL79" s="17"/>
      <c r="AM79" s="294"/>
      <c r="AN79" s="294"/>
      <c r="AO79" s="294"/>
      <c r="AP79" s="294"/>
      <c r="AQ79" s="17"/>
      <c r="AR79" s="17"/>
      <c r="AS79" s="17"/>
      <c r="AT79" s="9">
        <v>16</v>
      </c>
    </row>
    <row r="80" spans="1:46" ht="15.95" customHeight="1">
      <c r="A80" s="27"/>
      <c r="B80" s="284" t="s">
        <v>128</v>
      </c>
      <c r="C80" s="285">
        <f t="shared" ref="C80:C85" si="13">C63</f>
        <v>250</v>
      </c>
      <c r="D80" s="337">
        <v>1</v>
      </c>
      <c r="E80" s="338">
        <f t="shared" ref="E80:E85" si="14">C80*D80</f>
        <v>250</v>
      </c>
      <c r="F80" s="339" t="str">
        <f>Y77</f>
        <v>Morceaux</v>
      </c>
      <c r="G80" s="17"/>
      <c r="H80" s="340"/>
      <c r="I80" s="27"/>
      <c r="J80" s="27"/>
      <c r="K80" s="17"/>
      <c r="L80" s="27"/>
      <c r="M80" s="27"/>
      <c r="N80" s="27"/>
      <c r="O80" s="27"/>
      <c r="P80" s="27"/>
      <c r="Q80" s="27"/>
      <c r="R80" s="27"/>
      <c r="S80" s="27"/>
      <c r="T80" s="341">
        <f>IF(E80=0,0,INT(E80/X74))</f>
        <v>11</v>
      </c>
      <c r="U80" s="289">
        <f>E80-(T80*X74)</f>
        <v>8</v>
      </c>
      <c r="V80" s="342" t="str">
        <f>IF(U80=0,0,Y74)</f>
        <v>Morceaux</v>
      </c>
      <c r="W80" s="291">
        <f t="shared" ref="W80:W85" si="15">IF(U80=0,0,T80+1)</f>
        <v>12</v>
      </c>
      <c r="X80" s="292">
        <f>IF(U80=0,0,E80-(W80*X74))</f>
        <v>-14</v>
      </c>
      <c r="Y80" s="343" t="str">
        <f>IF(X80=0,0,Y74)</f>
        <v>Morceaux</v>
      </c>
      <c r="Z80" s="256"/>
      <c r="AA80" s="256"/>
      <c r="AB80" s="256"/>
      <c r="AC80" s="256"/>
      <c r="AD80" s="256"/>
      <c r="AE80" s="256"/>
      <c r="AF80" s="256"/>
      <c r="AG80" s="256"/>
      <c r="AH80" s="256"/>
      <c r="AI80" s="256"/>
      <c r="AJ80" s="256"/>
      <c r="AK80" s="256"/>
      <c r="AL80" s="17"/>
      <c r="AM80" s="294"/>
      <c r="AN80" s="294"/>
      <c r="AO80" s="294"/>
      <c r="AP80" s="294"/>
      <c r="AQ80" s="17"/>
      <c r="AR80" s="17"/>
      <c r="AS80" s="17"/>
      <c r="AT80" s="9">
        <v>16</v>
      </c>
    </row>
    <row r="81" spans="1:46" ht="15.95" customHeight="1">
      <c r="A81" s="27"/>
      <c r="B81" s="295" t="s">
        <v>129</v>
      </c>
      <c r="C81" s="285">
        <f t="shared" si="13"/>
        <v>260</v>
      </c>
      <c r="D81" s="337">
        <v>2.5</v>
      </c>
      <c r="E81" s="338">
        <f t="shared" si="14"/>
        <v>650</v>
      </c>
      <c r="F81" s="339" t="str">
        <f>Y77</f>
        <v>Morceaux</v>
      </c>
      <c r="G81" s="17"/>
      <c r="H81" s="340"/>
      <c r="I81" s="27"/>
      <c r="J81" s="27"/>
      <c r="K81" s="17"/>
      <c r="L81" s="27"/>
      <c r="M81" s="27"/>
      <c r="N81" s="27"/>
      <c r="O81" s="27"/>
      <c r="P81" s="27"/>
      <c r="Q81" s="27"/>
      <c r="R81" s="27"/>
      <c r="S81" s="27"/>
      <c r="T81" s="341">
        <f>IF(E81=0,0,INT(E81/X74))</f>
        <v>29</v>
      </c>
      <c r="U81" s="289">
        <f>E81-(T81*X74)</f>
        <v>12</v>
      </c>
      <c r="V81" s="342" t="str">
        <f>IF(U81=0,0,Y74)</f>
        <v>Morceaux</v>
      </c>
      <c r="W81" s="291">
        <f t="shared" si="15"/>
        <v>30</v>
      </c>
      <c r="X81" s="292">
        <f>IF(U81=0,0,E81-(W81*X74))</f>
        <v>-10</v>
      </c>
      <c r="Y81" s="343" t="str">
        <f>IF(X81=0,0,Y74)</f>
        <v>Morceaux</v>
      </c>
      <c r="Z81" s="256"/>
      <c r="AA81" s="256"/>
      <c r="AB81" s="256"/>
      <c r="AC81" s="256"/>
      <c r="AD81" s="256"/>
      <c r="AE81" s="256"/>
      <c r="AF81" s="256"/>
      <c r="AG81" s="256"/>
      <c r="AH81" s="256"/>
      <c r="AI81" s="256"/>
      <c r="AJ81" s="256"/>
      <c r="AK81" s="256"/>
      <c r="AL81" s="17"/>
      <c r="AM81" s="294"/>
      <c r="AN81" s="294"/>
      <c r="AO81" s="294"/>
      <c r="AP81" s="294"/>
      <c r="AQ81" s="17"/>
      <c r="AR81" s="17"/>
      <c r="AS81" s="17"/>
      <c r="AT81" s="9">
        <v>16</v>
      </c>
    </row>
    <row r="82" spans="1:46" ht="15.95" customHeight="1">
      <c r="A82" s="27"/>
      <c r="B82" s="299" t="s">
        <v>28</v>
      </c>
      <c r="C82" s="285">
        <f t="shared" si="13"/>
        <v>120</v>
      </c>
      <c r="D82" s="337">
        <v>3</v>
      </c>
      <c r="E82" s="338">
        <f t="shared" si="14"/>
        <v>360</v>
      </c>
      <c r="F82" s="339" t="str">
        <f>Y77</f>
        <v>Morceaux</v>
      </c>
      <c r="G82" s="17"/>
      <c r="H82" s="340"/>
      <c r="I82" s="27"/>
      <c r="J82" s="27"/>
      <c r="K82" s="17"/>
      <c r="L82" s="27"/>
      <c r="M82" s="27"/>
      <c r="N82" s="27"/>
      <c r="O82" s="27"/>
      <c r="P82" s="27"/>
      <c r="Q82" s="27"/>
      <c r="R82" s="27"/>
      <c r="S82" s="27"/>
      <c r="T82" s="341">
        <f>IF(E82=0,0,INT(E82/X74))</f>
        <v>16</v>
      </c>
      <c r="U82" s="289">
        <f>E82-(T82*X74)</f>
        <v>8</v>
      </c>
      <c r="V82" s="342" t="str">
        <f>IF(U82=0,0,Y74)</f>
        <v>Morceaux</v>
      </c>
      <c r="W82" s="291">
        <f t="shared" si="15"/>
        <v>17</v>
      </c>
      <c r="X82" s="292">
        <f>IF(U82=0,0,E82-(W82*X74))</f>
        <v>-14</v>
      </c>
      <c r="Y82" s="343" t="str">
        <f>IF(X82=0,0,Y74)</f>
        <v>Morceaux</v>
      </c>
      <c r="Z82" s="256"/>
      <c r="AA82" s="256"/>
      <c r="AB82" s="256"/>
      <c r="AC82" s="256"/>
      <c r="AD82" s="256"/>
      <c r="AE82" s="256"/>
      <c r="AF82" s="256"/>
      <c r="AG82" s="256"/>
      <c r="AH82" s="256"/>
      <c r="AI82" s="256"/>
      <c r="AJ82" s="256"/>
      <c r="AK82" s="256"/>
      <c r="AL82" s="17"/>
      <c r="AM82" s="294"/>
      <c r="AN82" s="294"/>
      <c r="AO82" s="294"/>
      <c r="AP82" s="294"/>
      <c r="AQ82" s="17"/>
      <c r="AR82" s="17"/>
      <c r="AS82" s="17"/>
      <c r="AT82" s="9">
        <v>16</v>
      </c>
    </row>
    <row r="83" spans="1:46" ht="15.95" customHeight="1">
      <c r="A83" s="27"/>
      <c r="B83" s="299" t="s">
        <v>136</v>
      </c>
      <c r="C83" s="285">
        <f t="shared" si="13"/>
        <v>60</v>
      </c>
      <c r="D83" s="337">
        <v>4.2</v>
      </c>
      <c r="E83" s="338">
        <f t="shared" si="14"/>
        <v>252</v>
      </c>
      <c r="F83" s="339" t="str">
        <f>Y77</f>
        <v>Morceaux</v>
      </c>
      <c r="G83" s="17"/>
      <c r="H83" s="340"/>
      <c r="I83" s="27"/>
      <c r="J83" s="27"/>
      <c r="K83" s="17"/>
      <c r="L83" s="27"/>
      <c r="M83" s="27"/>
      <c r="N83" s="27"/>
      <c r="O83" s="27"/>
      <c r="P83" s="27"/>
      <c r="Q83" s="27"/>
      <c r="R83" s="27"/>
      <c r="S83" s="27"/>
      <c r="T83" s="341">
        <f>IF(E83=0,0,INT(E83/X74))</f>
        <v>11</v>
      </c>
      <c r="U83" s="289">
        <f>E83-(T83*X74)</f>
        <v>10</v>
      </c>
      <c r="V83" s="342" t="str">
        <f>IF(U83=0,0,Y74)</f>
        <v>Morceaux</v>
      </c>
      <c r="W83" s="291">
        <f t="shared" si="15"/>
        <v>12</v>
      </c>
      <c r="X83" s="292">
        <f>IF(U83=0,0,E83-(W83*X74))</f>
        <v>-12</v>
      </c>
      <c r="Y83" s="343" t="str">
        <f>IF(X83=0,0,Y74)</f>
        <v>Morceaux</v>
      </c>
      <c r="Z83" s="256"/>
      <c r="AA83" s="256"/>
      <c r="AB83" s="256"/>
      <c r="AC83" s="256"/>
      <c r="AD83" s="256"/>
      <c r="AE83" s="256"/>
      <c r="AF83" s="256"/>
      <c r="AG83" s="256"/>
      <c r="AH83" s="256"/>
      <c r="AI83" s="256"/>
      <c r="AJ83" s="256"/>
      <c r="AK83" s="256"/>
      <c r="AL83" s="17"/>
      <c r="AM83" s="294"/>
      <c r="AN83" s="294"/>
      <c r="AO83" s="294"/>
      <c r="AP83" s="294"/>
      <c r="AQ83" s="17"/>
      <c r="AR83" s="17"/>
      <c r="AS83" s="17"/>
      <c r="AT83" s="9">
        <v>16</v>
      </c>
    </row>
    <row r="84" spans="1:46" ht="15.95" customHeight="1">
      <c r="A84" s="27"/>
      <c r="B84" s="299" t="s">
        <v>56</v>
      </c>
      <c r="C84" s="285">
        <f t="shared" si="13"/>
        <v>20</v>
      </c>
      <c r="D84" s="337">
        <v>2.5</v>
      </c>
      <c r="E84" s="338">
        <f t="shared" si="14"/>
        <v>50</v>
      </c>
      <c r="F84" s="339" t="str">
        <f>Y77</f>
        <v>Morceaux</v>
      </c>
      <c r="G84" s="17"/>
      <c r="H84" s="340"/>
      <c r="I84" s="27"/>
      <c r="J84" s="27"/>
      <c r="K84" s="17"/>
      <c r="L84" s="27"/>
      <c r="M84" s="27"/>
      <c r="N84" s="27"/>
      <c r="O84" s="27"/>
      <c r="P84" s="27"/>
      <c r="Q84" s="27"/>
      <c r="R84" s="27"/>
      <c r="S84" s="27"/>
      <c r="T84" s="341">
        <f>IF(E84=0,0,INT(E84/X74))</f>
        <v>2</v>
      </c>
      <c r="U84" s="289">
        <f>E84-(T84*X74)</f>
        <v>6</v>
      </c>
      <c r="V84" s="342" t="str">
        <f>IF(U84=0,0,Y74)</f>
        <v>Morceaux</v>
      </c>
      <c r="W84" s="291">
        <f t="shared" si="15"/>
        <v>3</v>
      </c>
      <c r="X84" s="292">
        <f>IF(U84=0,0,E84-(W84*X74))</f>
        <v>-16</v>
      </c>
      <c r="Y84" s="343" t="str">
        <f>IF(X84=0,0,Y74)</f>
        <v>Morceaux</v>
      </c>
      <c r="Z84" s="256"/>
      <c r="AA84" s="256"/>
      <c r="AB84" s="256"/>
      <c r="AC84" s="256"/>
      <c r="AD84" s="256"/>
      <c r="AE84" s="256"/>
      <c r="AF84" s="256"/>
      <c r="AG84" s="256"/>
      <c r="AH84" s="256"/>
      <c r="AI84" s="256"/>
      <c r="AJ84" s="256"/>
      <c r="AK84" s="256"/>
      <c r="AL84" s="17"/>
      <c r="AM84" s="294"/>
      <c r="AN84" s="294"/>
      <c r="AO84" s="294"/>
      <c r="AP84" s="294"/>
      <c r="AQ84" s="17"/>
      <c r="AR84" s="17"/>
      <c r="AS84" s="17"/>
      <c r="AT84" s="9">
        <v>16</v>
      </c>
    </row>
    <row r="85" spans="1:46" ht="15.95" customHeight="1">
      <c r="A85" s="27"/>
      <c r="B85" s="299" t="s">
        <v>57</v>
      </c>
      <c r="C85" s="285">
        <f t="shared" si="13"/>
        <v>12</v>
      </c>
      <c r="D85" s="337">
        <v>2.7</v>
      </c>
      <c r="E85" s="338">
        <f t="shared" si="14"/>
        <v>32.400000000000006</v>
      </c>
      <c r="F85" s="339" t="str">
        <f>Y77</f>
        <v>Morceaux</v>
      </c>
      <c r="G85" s="17"/>
      <c r="H85" s="340"/>
      <c r="I85" s="27"/>
      <c r="J85" s="27"/>
      <c r="K85" s="17"/>
      <c r="L85" s="27"/>
      <c r="M85" s="27"/>
      <c r="N85" s="27"/>
      <c r="O85" s="27"/>
      <c r="P85" s="27"/>
      <c r="Q85" s="27"/>
      <c r="R85" s="27"/>
      <c r="S85" s="27"/>
      <c r="T85" s="341">
        <f>IF(E85=0,0,INT(E85/X74))</f>
        <v>1</v>
      </c>
      <c r="U85" s="289">
        <f>E85-(T85*X74)</f>
        <v>10.400000000000006</v>
      </c>
      <c r="V85" s="342" t="str">
        <f>IF(U85=0,0,Y74)</f>
        <v>Morceaux</v>
      </c>
      <c r="W85" s="291">
        <f t="shared" si="15"/>
        <v>2</v>
      </c>
      <c r="X85" s="292">
        <f>IF(U85=0,0,E85-(W85*X74))</f>
        <v>-11.599999999999994</v>
      </c>
      <c r="Y85" s="343" t="str">
        <f>IF(X85=0,0,Y74)</f>
        <v>Morceaux</v>
      </c>
      <c r="Z85" s="256"/>
      <c r="AA85" s="256"/>
      <c r="AB85" s="256"/>
      <c r="AC85" s="256"/>
      <c r="AD85" s="256"/>
      <c r="AE85" s="256"/>
      <c r="AF85" s="256"/>
      <c r="AG85" s="256"/>
      <c r="AH85" s="256"/>
      <c r="AI85" s="256"/>
      <c r="AJ85" s="256"/>
      <c r="AK85" s="256"/>
      <c r="AL85" s="17"/>
      <c r="AM85" s="294"/>
      <c r="AN85" s="294"/>
      <c r="AO85" s="294"/>
      <c r="AP85" s="294"/>
      <c r="AQ85" s="17"/>
      <c r="AR85" s="17"/>
      <c r="AS85" s="17"/>
      <c r="AT85" s="9">
        <v>16</v>
      </c>
    </row>
    <row r="86" spans="1:46" ht="15.95" customHeight="1">
      <c r="A86" s="27"/>
      <c r="B86" s="312"/>
      <c r="C86" s="17"/>
      <c r="D86" s="17"/>
      <c r="E86" s="17"/>
      <c r="F86" s="17"/>
      <c r="G86" s="344" t="s">
        <v>139</v>
      </c>
      <c r="H86" s="345"/>
      <c r="I86" s="344"/>
      <c r="J86" s="344"/>
      <c r="K86" s="346"/>
      <c r="L86" s="346"/>
      <c r="M86" s="346"/>
      <c r="N86" s="346"/>
      <c r="O86" s="346"/>
      <c r="P86" s="346"/>
      <c r="Q86" s="346"/>
      <c r="R86" s="346"/>
      <c r="S86" s="346"/>
      <c r="T86" s="347"/>
      <c r="U86" s="347"/>
      <c r="V86" s="344"/>
      <c r="W86" s="344"/>
      <c r="X86" s="344"/>
      <c r="Y86" s="283"/>
      <c r="Z86" s="256"/>
      <c r="AA86" s="256"/>
      <c r="AB86" s="256"/>
      <c r="AC86" s="256"/>
      <c r="AD86" s="256"/>
      <c r="AE86" s="256"/>
      <c r="AF86" s="256"/>
      <c r="AG86" s="256"/>
      <c r="AH86" s="256"/>
      <c r="AI86" s="256"/>
      <c r="AJ86" s="256"/>
      <c r="AK86" s="256"/>
      <c r="AL86" s="17"/>
      <c r="AM86" s="294"/>
      <c r="AN86" s="294"/>
      <c r="AO86" s="294"/>
      <c r="AP86" s="294"/>
      <c r="AQ86" s="17"/>
      <c r="AR86" s="17"/>
      <c r="AS86" s="17"/>
      <c r="AT86" s="9">
        <v>16</v>
      </c>
    </row>
    <row r="87" spans="1:46" ht="15.95" customHeight="1">
      <c r="A87" s="27"/>
      <c r="B87" s="312"/>
      <c r="C87" s="17"/>
      <c r="D87" s="17"/>
      <c r="E87" s="348"/>
      <c r="F87" s="17"/>
      <c r="G87" s="3597">
        <f>IF(G89=0,0,INT(G89/X74))</f>
        <v>70</v>
      </c>
      <c r="H87" s="349"/>
      <c r="I87" s="27"/>
      <c r="J87" s="27"/>
      <c r="K87" s="27"/>
      <c r="L87" s="27"/>
      <c r="M87" s="27"/>
      <c r="N87" s="27"/>
      <c r="O87" s="27"/>
      <c r="P87" s="27"/>
      <c r="Q87" s="27"/>
      <c r="R87" s="27"/>
      <c r="S87" s="27"/>
      <c r="T87" s="3849" t="s">
        <v>140</v>
      </c>
      <c r="U87" s="3562">
        <f>C77-G89</f>
        <v>54.400000000000091</v>
      </c>
      <c r="V87" s="3830" t="str">
        <f>Y74</f>
        <v>Morceaux</v>
      </c>
      <c r="W87" s="3850" t="s">
        <v>141</v>
      </c>
      <c r="X87" s="3851">
        <f>COUNTIF(U80:U85,"&gt;0")</f>
        <v>6</v>
      </c>
      <c r="Y87" s="3852" t="s">
        <v>142</v>
      </c>
      <c r="Z87" s="256"/>
      <c r="AA87" s="256"/>
      <c r="AB87" s="256"/>
      <c r="AC87" s="256"/>
      <c r="AD87" s="256"/>
      <c r="AE87" s="256"/>
      <c r="AF87" s="256"/>
      <c r="AG87" s="256"/>
      <c r="AH87" s="256"/>
      <c r="AI87" s="256"/>
      <c r="AJ87" s="256"/>
      <c r="AK87" s="256"/>
      <c r="AL87" s="17"/>
      <c r="AM87" s="294"/>
      <c r="AN87" s="294"/>
      <c r="AO87" s="294"/>
      <c r="AP87" s="294"/>
      <c r="AQ87" s="17"/>
      <c r="AR87" s="17"/>
      <c r="AS87" s="17"/>
      <c r="AT87" s="9">
        <v>16</v>
      </c>
    </row>
    <row r="88" spans="1:46" ht="15.95" customHeight="1">
      <c r="A88" s="27"/>
      <c r="B88" s="312"/>
      <c r="C88" s="17"/>
      <c r="D88" s="17"/>
      <c r="E88" s="348"/>
      <c r="F88" s="17"/>
      <c r="G88" s="3597"/>
      <c r="H88" s="349"/>
      <c r="I88" s="27"/>
      <c r="J88" s="27"/>
      <c r="K88" s="27"/>
      <c r="L88" s="27"/>
      <c r="M88" s="27"/>
      <c r="N88" s="27"/>
      <c r="O88" s="27"/>
      <c r="P88" s="27"/>
      <c r="Q88" s="27"/>
      <c r="R88" s="27"/>
      <c r="S88" s="27"/>
      <c r="T88" s="3849"/>
      <c r="U88" s="3562"/>
      <c r="V88" s="3830"/>
      <c r="W88" s="3850"/>
      <c r="X88" s="3851"/>
      <c r="Y88" s="3852"/>
      <c r="Z88" s="256"/>
      <c r="AA88" s="256"/>
      <c r="AB88" s="256"/>
      <c r="AC88" s="256"/>
      <c r="AD88" s="256"/>
      <c r="AE88" s="256"/>
      <c r="AF88" s="256"/>
      <c r="AG88" s="256"/>
      <c r="AH88" s="256"/>
      <c r="AI88" s="256"/>
      <c r="AJ88" s="256"/>
      <c r="AK88" s="256"/>
      <c r="AL88" s="17"/>
      <c r="AM88" s="294"/>
      <c r="AN88" s="294"/>
      <c r="AO88" s="294"/>
      <c r="AP88" s="294"/>
      <c r="AQ88" s="17"/>
      <c r="AR88" s="17"/>
      <c r="AS88" s="17"/>
      <c r="AT88" s="9">
        <v>16</v>
      </c>
    </row>
    <row r="89" spans="1:46" ht="15.95" customHeight="1" thickBot="1">
      <c r="A89" s="27"/>
      <c r="B89" s="319"/>
      <c r="C89" s="320"/>
      <c r="D89" s="320"/>
      <c r="E89" s="351"/>
      <c r="F89" s="320"/>
      <c r="G89" s="352">
        <f>SUM(T80:T85)*X74</f>
        <v>1540</v>
      </c>
      <c r="H89" s="353"/>
      <c r="I89" s="354"/>
      <c r="J89" s="354"/>
      <c r="K89" s="354"/>
      <c r="L89" s="354"/>
      <c r="M89" s="354"/>
      <c r="N89" s="354"/>
      <c r="O89" s="354"/>
      <c r="P89" s="354"/>
      <c r="Q89" s="354"/>
      <c r="R89" s="354"/>
      <c r="S89" s="354"/>
      <c r="T89" s="355" t="str">
        <f>Y74</f>
        <v>Morceaux</v>
      </c>
      <c r="U89" s="352">
        <f>G89+U87</f>
        <v>1594.4</v>
      </c>
      <c r="V89" s="320"/>
      <c r="W89" s="320"/>
      <c r="X89" s="320"/>
      <c r="Y89" s="321"/>
      <c r="Z89" s="256"/>
      <c r="AA89" s="256"/>
      <c r="AB89" s="256"/>
      <c r="AC89" s="256"/>
      <c r="AD89" s="256"/>
      <c r="AE89" s="256"/>
      <c r="AF89" s="256"/>
      <c r="AG89" s="256"/>
      <c r="AH89" s="256"/>
      <c r="AI89" s="256"/>
      <c r="AJ89" s="256"/>
      <c r="AK89" s="256"/>
      <c r="AL89" s="17"/>
      <c r="AM89" s="294"/>
      <c r="AN89" s="294"/>
      <c r="AO89" s="294"/>
      <c r="AP89" s="294"/>
      <c r="AQ89" s="17"/>
      <c r="AR89" s="17"/>
      <c r="AS89" s="17"/>
      <c r="AT89" s="9">
        <v>16</v>
      </c>
    </row>
    <row r="90" spans="1:46" ht="15.95" customHeight="1">
      <c r="A90" s="17"/>
      <c r="B90" s="8"/>
      <c r="C90" s="8"/>
      <c r="D90" s="8" t="s">
        <v>148</v>
      </c>
      <c r="E90" s="8"/>
      <c r="F90" s="8"/>
      <c r="G90" s="17"/>
      <c r="H90" s="17"/>
      <c r="I90" s="17"/>
      <c r="J90" s="17"/>
      <c r="K90" s="17"/>
      <c r="L90" s="17"/>
      <c r="M90" s="17"/>
      <c r="N90" s="17"/>
      <c r="O90" s="17"/>
      <c r="P90" s="17"/>
      <c r="Q90" s="17"/>
      <c r="R90" s="17"/>
      <c r="S90" s="17"/>
      <c r="T90" s="17"/>
      <c r="U90" s="17"/>
      <c r="V90" s="17"/>
      <c r="W90" s="256"/>
      <c r="X90" s="256"/>
      <c r="Y90" s="256"/>
      <c r="Z90" s="256"/>
      <c r="AA90" s="256"/>
      <c r="AB90" s="256"/>
      <c r="AC90" s="256"/>
      <c r="AD90" s="256"/>
      <c r="AE90" s="256"/>
      <c r="AF90" s="256"/>
      <c r="AG90" s="256"/>
      <c r="AH90" s="256"/>
      <c r="AI90" s="256"/>
      <c r="AJ90" s="256"/>
      <c r="AK90" s="256"/>
      <c r="AL90" s="17"/>
      <c r="AM90" s="294"/>
      <c r="AN90" s="294"/>
      <c r="AO90" s="294"/>
      <c r="AP90" s="294"/>
      <c r="AQ90" s="17"/>
      <c r="AR90" s="17"/>
      <c r="AS90" s="17"/>
      <c r="AT90" s="9">
        <v>16</v>
      </c>
    </row>
    <row r="91" spans="1:46" ht="15.95" customHeight="1">
      <c r="A91" s="27"/>
      <c r="B91" s="356"/>
      <c r="C91" s="357"/>
      <c r="D91" s="358" t="s">
        <v>149</v>
      </c>
      <c r="E91" s="356">
        <v>16</v>
      </c>
      <c r="F91" s="356" t="s">
        <v>150</v>
      </c>
      <c r="G91" s="17"/>
      <c r="H91" s="17"/>
      <c r="I91" s="17"/>
      <c r="J91" s="17"/>
      <c r="K91" s="17"/>
      <c r="L91" s="17"/>
      <c r="M91" s="17"/>
      <c r="N91" s="17"/>
      <c r="O91" s="17"/>
      <c r="P91" s="17"/>
      <c r="Q91" s="17"/>
      <c r="R91" s="17"/>
      <c r="S91" s="17"/>
      <c r="T91" s="358" t="s">
        <v>151</v>
      </c>
      <c r="U91" s="356">
        <v>60</v>
      </c>
      <c r="V91" s="356" t="s">
        <v>152</v>
      </c>
      <c r="W91" s="256"/>
      <c r="X91" s="256"/>
      <c r="Y91" s="256"/>
      <c r="Z91" s="256"/>
      <c r="AA91" s="256"/>
      <c r="AB91" s="256"/>
      <c r="AC91" s="256"/>
      <c r="AD91" s="256"/>
      <c r="AE91" s="256"/>
      <c r="AF91" s="256"/>
      <c r="AG91" s="256"/>
      <c r="AH91" s="256"/>
      <c r="AI91" s="256"/>
      <c r="AJ91" s="256"/>
      <c r="AK91" s="256"/>
      <c r="AL91" s="17"/>
      <c r="AM91" s="294"/>
      <c r="AN91" s="294"/>
      <c r="AO91" s="294"/>
      <c r="AP91" s="294"/>
      <c r="AQ91" s="17"/>
      <c r="AR91" s="17"/>
      <c r="AS91" s="17"/>
      <c r="AT91" s="9">
        <v>16</v>
      </c>
    </row>
    <row r="92" spans="1:46" ht="15.95" customHeight="1">
      <c r="A92" s="27"/>
      <c r="B92" s="356"/>
      <c r="C92" s="359"/>
      <c r="D92" s="358" t="s">
        <v>153</v>
      </c>
      <c r="E92" s="356">
        <v>24</v>
      </c>
      <c r="F92" s="356" t="s">
        <v>150</v>
      </c>
      <c r="G92" s="17"/>
      <c r="H92" s="17"/>
      <c r="I92" s="17"/>
      <c r="J92" s="17"/>
      <c r="K92" s="17"/>
      <c r="L92" s="17"/>
      <c r="M92" s="17"/>
      <c r="N92" s="17"/>
      <c r="O92" s="17"/>
      <c r="P92" s="17"/>
      <c r="Q92" s="17"/>
      <c r="R92" s="17"/>
      <c r="S92" s="17"/>
      <c r="T92" s="358" t="s">
        <v>154</v>
      </c>
      <c r="U92" s="356">
        <v>20</v>
      </c>
      <c r="V92" s="356" t="s">
        <v>155</v>
      </c>
      <c r="W92" s="256"/>
      <c r="X92" s="256"/>
      <c r="Y92" s="256"/>
      <c r="Z92" s="256"/>
      <c r="AA92" s="256"/>
      <c r="AB92" s="256"/>
      <c r="AC92" s="256"/>
      <c r="AD92" s="256"/>
      <c r="AE92" s="256"/>
      <c r="AF92" s="256"/>
      <c r="AG92" s="256"/>
      <c r="AH92" s="256"/>
      <c r="AI92" s="256"/>
      <c r="AJ92" s="256"/>
      <c r="AK92" s="256"/>
      <c r="AL92" s="17"/>
      <c r="AM92" s="294"/>
      <c r="AN92" s="294"/>
      <c r="AO92" s="294"/>
      <c r="AP92" s="294"/>
      <c r="AQ92" s="17"/>
      <c r="AR92" s="17"/>
      <c r="AS92" s="17"/>
      <c r="AT92" s="9">
        <v>16</v>
      </c>
    </row>
    <row r="93" spans="1:46" ht="15.95" customHeight="1">
      <c r="A93" s="27"/>
      <c r="B93" s="356"/>
      <c r="C93" s="17"/>
      <c r="D93" s="358" t="s">
        <v>156</v>
      </c>
      <c r="E93" s="356">
        <v>20</v>
      </c>
      <c r="F93" s="356" t="s">
        <v>150</v>
      </c>
      <c r="G93" s="17"/>
      <c r="H93" s="17"/>
      <c r="I93" s="17"/>
      <c r="J93" s="17"/>
      <c r="K93" s="17"/>
      <c r="L93" s="17"/>
      <c r="M93" s="17"/>
      <c r="N93" s="17"/>
      <c r="O93" s="17"/>
      <c r="P93" s="17"/>
      <c r="Q93" s="17"/>
      <c r="R93" s="17"/>
      <c r="S93" s="17"/>
      <c r="T93" s="358" t="s">
        <v>157</v>
      </c>
      <c r="U93" s="356">
        <v>3</v>
      </c>
      <c r="V93" s="356" t="s">
        <v>22</v>
      </c>
      <c r="W93" s="256"/>
      <c r="X93" s="256"/>
      <c r="Y93" s="256"/>
      <c r="Z93" s="256"/>
      <c r="AA93" s="256"/>
      <c r="AB93" s="256"/>
      <c r="AC93" s="256"/>
      <c r="AD93" s="256"/>
      <c r="AE93" s="256"/>
      <c r="AF93" s="256"/>
      <c r="AG93" s="256"/>
      <c r="AH93" s="256"/>
      <c r="AI93" s="256"/>
      <c r="AJ93" s="256"/>
      <c r="AK93" s="256"/>
      <c r="AL93" s="17"/>
      <c r="AM93" s="294"/>
      <c r="AN93" s="294"/>
      <c r="AO93" s="294"/>
      <c r="AP93" s="294"/>
      <c r="AQ93" s="17"/>
      <c r="AR93" s="17"/>
      <c r="AS93" s="17"/>
      <c r="AT93" s="9">
        <v>16</v>
      </c>
    </row>
    <row r="94" spans="1:46" ht="15.95" customHeight="1">
      <c r="A94" s="27"/>
      <c r="B94" s="356"/>
      <c r="C94" s="17"/>
      <c r="D94" s="358" t="s">
        <v>158</v>
      </c>
      <c r="E94" s="356">
        <v>25</v>
      </c>
      <c r="F94" s="356" t="s">
        <v>159</v>
      </c>
      <c r="G94" s="17"/>
      <c r="H94" s="17"/>
      <c r="I94" s="17"/>
      <c r="J94" s="17"/>
      <c r="K94" s="17"/>
      <c r="L94" s="17"/>
      <c r="M94" s="17"/>
      <c r="N94" s="17"/>
      <c r="O94" s="17"/>
      <c r="P94" s="17"/>
      <c r="Q94" s="17"/>
      <c r="R94" s="17"/>
      <c r="S94" s="17"/>
      <c r="T94" s="358" t="s">
        <v>160</v>
      </c>
      <c r="U94" s="356">
        <v>7.2</v>
      </c>
      <c r="V94" s="360" t="s">
        <v>22</v>
      </c>
      <c r="W94" s="256"/>
      <c r="X94" s="256"/>
      <c r="Y94" s="256"/>
      <c r="Z94" s="256"/>
      <c r="AA94" s="256"/>
      <c r="AB94" s="256"/>
      <c r="AC94" s="256"/>
      <c r="AD94" s="256"/>
      <c r="AE94" s="256"/>
      <c r="AF94" s="256"/>
      <c r="AG94" s="256"/>
      <c r="AH94" s="256"/>
      <c r="AI94" s="256"/>
      <c r="AJ94" s="256"/>
      <c r="AK94" s="256"/>
      <c r="AL94" s="17"/>
      <c r="AM94" s="294"/>
      <c r="AN94" s="294"/>
      <c r="AO94" s="294"/>
      <c r="AP94" s="294"/>
      <c r="AQ94" s="17"/>
      <c r="AR94" s="17"/>
      <c r="AS94" s="17"/>
      <c r="AT94" s="9">
        <v>16</v>
      </c>
    </row>
    <row r="95" spans="1:46" ht="15.95" customHeight="1">
      <c r="A95" s="27"/>
      <c r="B95" s="17"/>
      <c r="C95" s="17"/>
      <c r="D95" s="358" t="s">
        <v>161</v>
      </c>
      <c r="E95" s="356">
        <v>25</v>
      </c>
      <c r="F95" s="356" t="s">
        <v>162</v>
      </c>
      <c r="G95" s="17"/>
      <c r="H95" s="17"/>
      <c r="I95" s="17"/>
      <c r="J95" s="17"/>
      <c r="K95" s="17"/>
      <c r="L95" s="17"/>
      <c r="M95" s="17"/>
      <c r="N95" s="17"/>
      <c r="O95" s="17"/>
      <c r="P95" s="17"/>
      <c r="Q95" s="17"/>
      <c r="R95" s="17"/>
      <c r="S95" s="17"/>
      <c r="T95" s="358" t="s">
        <v>163</v>
      </c>
      <c r="U95" s="356">
        <v>4</v>
      </c>
      <c r="V95" s="360" t="s">
        <v>22</v>
      </c>
      <c r="W95" s="256"/>
      <c r="X95" s="256"/>
      <c r="Y95" s="256"/>
      <c r="Z95" s="256"/>
      <c r="AA95" s="256"/>
      <c r="AB95" s="256"/>
      <c r="AC95" s="256"/>
      <c r="AD95" s="256"/>
      <c r="AE95" s="256"/>
      <c r="AF95" s="256"/>
      <c r="AG95" s="256"/>
      <c r="AH95" s="256"/>
      <c r="AI95" s="256"/>
      <c r="AJ95" s="256"/>
      <c r="AK95" s="256"/>
      <c r="AL95" s="17"/>
      <c r="AM95" s="294"/>
      <c r="AN95" s="294"/>
      <c r="AO95" s="294"/>
      <c r="AP95" s="294"/>
      <c r="AQ95" s="17"/>
      <c r="AR95" s="17"/>
      <c r="AS95" s="17"/>
      <c r="AT95" s="9">
        <v>16</v>
      </c>
    </row>
    <row r="96" spans="1:46" ht="15.95" customHeight="1">
      <c r="A96" s="27"/>
      <c r="B96" s="17"/>
      <c r="C96" s="17"/>
      <c r="D96" s="358" t="s">
        <v>164</v>
      </c>
      <c r="E96" s="356">
        <v>12</v>
      </c>
      <c r="F96" s="356" t="s">
        <v>150</v>
      </c>
      <c r="G96" s="17"/>
      <c r="H96" s="17"/>
      <c r="I96" s="17"/>
      <c r="J96" s="17"/>
      <c r="K96" s="17"/>
      <c r="L96" s="17"/>
      <c r="M96" s="17"/>
      <c r="N96" s="17"/>
      <c r="O96" s="17"/>
      <c r="P96" s="17"/>
      <c r="Q96" s="17"/>
      <c r="R96" s="17"/>
      <c r="S96" s="17"/>
      <c r="T96" s="17"/>
      <c r="U96" s="17"/>
      <c r="V96" s="17"/>
      <c r="W96" s="256"/>
      <c r="X96" s="256"/>
      <c r="Y96" s="256"/>
      <c r="Z96" s="256"/>
      <c r="AA96" s="256"/>
      <c r="AB96" s="256"/>
      <c r="AC96" s="256"/>
      <c r="AD96" s="256"/>
      <c r="AE96" s="256"/>
      <c r="AF96" s="256"/>
      <c r="AG96" s="256"/>
      <c r="AH96" s="256"/>
      <c r="AI96" s="256"/>
      <c r="AJ96" s="256"/>
      <c r="AK96" s="256"/>
      <c r="AL96" s="17"/>
      <c r="AM96" s="294"/>
      <c r="AN96" s="294"/>
      <c r="AO96" s="294"/>
      <c r="AP96" s="294"/>
      <c r="AQ96" s="17"/>
      <c r="AR96" s="17"/>
      <c r="AS96" s="17"/>
      <c r="AT96" s="9">
        <v>16</v>
      </c>
    </row>
    <row r="97" spans="1:46" ht="15.95" customHeight="1">
      <c r="A97" s="27"/>
      <c r="B97" s="17"/>
      <c r="C97" s="17"/>
      <c r="D97" s="17"/>
      <c r="E97" s="17"/>
      <c r="F97" s="17"/>
      <c r="G97" s="17"/>
      <c r="H97" s="17"/>
      <c r="I97" s="17"/>
      <c r="J97" s="17"/>
      <c r="K97" s="17"/>
      <c r="L97" s="17"/>
      <c r="M97" s="17"/>
      <c r="N97" s="17"/>
      <c r="O97" s="17"/>
      <c r="P97" s="17"/>
      <c r="Q97" s="17"/>
      <c r="R97" s="17"/>
      <c r="S97" s="17"/>
      <c r="T97" s="17"/>
      <c r="U97" s="17"/>
      <c r="V97" s="17"/>
      <c r="W97" s="256"/>
      <c r="X97" s="256"/>
      <c r="Y97" s="256"/>
      <c r="Z97" s="256"/>
      <c r="AA97" s="256"/>
      <c r="AB97" s="256"/>
      <c r="AC97" s="256"/>
      <c r="AD97" s="256"/>
      <c r="AE97" s="256"/>
      <c r="AF97" s="256"/>
      <c r="AG97" s="256"/>
      <c r="AH97" s="256"/>
      <c r="AI97" s="256"/>
      <c r="AJ97" s="256"/>
      <c r="AK97" s="256"/>
      <c r="AL97" s="17"/>
      <c r="AM97" s="294"/>
      <c r="AN97" s="294"/>
      <c r="AO97" s="294"/>
      <c r="AP97" s="294"/>
      <c r="AQ97" s="17"/>
      <c r="AR97" s="17"/>
      <c r="AS97" s="17"/>
      <c r="AT97" s="9">
        <v>16</v>
      </c>
    </row>
    <row r="98" spans="1:46" ht="15.95" customHeight="1">
      <c r="A98" s="27"/>
      <c r="B98" s="361" t="s">
        <v>165</v>
      </c>
      <c r="C98" s="357"/>
      <c r="D98" s="17"/>
      <c r="E98" s="17"/>
      <c r="F98" s="17"/>
      <c r="G98" s="17"/>
      <c r="H98" s="17"/>
      <c r="I98" s="17"/>
      <c r="J98" s="17"/>
      <c r="K98" s="17"/>
      <c r="L98" s="17"/>
      <c r="M98" s="17"/>
      <c r="N98" s="17"/>
      <c r="O98" s="17"/>
      <c r="P98" s="17"/>
      <c r="Q98" s="17"/>
      <c r="R98" s="17"/>
      <c r="S98" s="17"/>
      <c r="T98" s="17"/>
      <c r="U98" s="17"/>
      <c r="V98" s="17"/>
      <c r="W98" s="256"/>
      <c r="X98" s="256"/>
      <c r="Y98" s="256"/>
      <c r="Z98" s="256"/>
      <c r="AA98" s="256"/>
      <c r="AB98" s="256"/>
      <c r="AC98" s="256"/>
      <c r="AD98" s="256"/>
      <c r="AE98" s="256"/>
      <c r="AF98" s="256"/>
      <c r="AG98" s="256"/>
      <c r="AH98" s="256"/>
      <c r="AI98" s="256"/>
      <c r="AJ98" s="256"/>
      <c r="AK98" s="256"/>
      <c r="AL98" s="17"/>
      <c r="AM98" s="294"/>
      <c r="AN98" s="294"/>
      <c r="AO98" s="294"/>
      <c r="AP98" s="294"/>
      <c r="AQ98" s="17"/>
      <c r="AR98" s="17"/>
      <c r="AS98" s="17"/>
      <c r="AT98" s="9">
        <v>16</v>
      </c>
    </row>
    <row r="99" spans="1:46" ht="15.95" customHeight="1">
      <c r="A99" s="27"/>
      <c r="B99" s="361" t="s">
        <v>166</v>
      </c>
      <c r="C99" s="359"/>
      <c r="D99" s="17"/>
      <c r="E99" s="17"/>
      <c r="F99" s="17"/>
      <c r="G99" s="17"/>
      <c r="H99" s="17"/>
      <c r="I99" s="17"/>
      <c r="J99" s="17"/>
      <c r="K99" s="17"/>
      <c r="L99" s="17"/>
      <c r="M99" s="17"/>
      <c r="N99" s="17"/>
      <c r="O99" s="17"/>
      <c r="P99" s="17"/>
      <c r="Q99" s="17"/>
      <c r="R99" s="17"/>
      <c r="S99" s="17"/>
      <c r="T99" s="17"/>
      <c r="U99" s="17"/>
      <c r="V99" s="17"/>
      <c r="W99" s="256"/>
      <c r="X99" s="256"/>
      <c r="Y99" s="256"/>
      <c r="Z99" s="256"/>
      <c r="AA99" s="256"/>
      <c r="AB99" s="256"/>
      <c r="AC99" s="256"/>
      <c r="AD99" s="256"/>
      <c r="AE99" s="256"/>
      <c r="AF99" s="256"/>
      <c r="AG99" s="256"/>
      <c r="AH99" s="256"/>
      <c r="AI99" s="256"/>
      <c r="AJ99" s="256"/>
      <c r="AK99" s="256"/>
      <c r="AL99" s="17"/>
      <c r="AM99" s="294"/>
      <c r="AN99" s="294"/>
      <c r="AO99" s="294"/>
      <c r="AP99" s="294"/>
      <c r="AQ99" s="17"/>
      <c r="AR99" s="17"/>
      <c r="AS99" s="17"/>
      <c r="AT99" s="9">
        <v>16</v>
      </c>
    </row>
    <row r="100" spans="1:46" ht="15.75">
      <c r="A100" s="27"/>
      <c r="B100" s="361" t="s">
        <v>167</v>
      </c>
      <c r="C100" s="17"/>
      <c r="D100" s="17"/>
      <c r="E100" s="17"/>
      <c r="F100" s="17"/>
      <c r="G100" s="17"/>
      <c r="H100" s="17"/>
      <c r="I100" s="17"/>
      <c r="J100" s="17"/>
      <c r="K100" s="17"/>
      <c r="L100" s="17"/>
      <c r="M100" s="17"/>
      <c r="N100" s="17"/>
      <c r="O100" s="17"/>
      <c r="P100" s="17"/>
      <c r="Q100" s="17"/>
      <c r="R100" s="17"/>
      <c r="S100" s="17"/>
      <c r="T100" s="17"/>
      <c r="U100" s="17"/>
      <c r="V100" s="17"/>
      <c r="W100" s="27"/>
      <c r="X100" s="27"/>
      <c r="Y100" s="27"/>
      <c r="Z100" s="27"/>
      <c r="AA100" s="27"/>
      <c r="AB100" s="27"/>
      <c r="AC100" s="27"/>
      <c r="AD100" s="27"/>
      <c r="AE100" s="27"/>
      <c r="AF100" s="27"/>
      <c r="AG100" s="27"/>
      <c r="AH100" s="27"/>
      <c r="AI100" s="27"/>
      <c r="AJ100" s="27"/>
      <c r="AK100" s="27"/>
      <c r="AL100" s="27"/>
      <c r="AM100" s="362"/>
      <c r="AN100" s="362"/>
      <c r="AO100" s="362"/>
      <c r="AP100" s="362"/>
      <c r="AQ100" s="27"/>
      <c r="AR100" s="27"/>
      <c r="AS100" s="27"/>
      <c r="AT100" s="363" t="s">
        <v>168</v>
      </c>
    </row>
  </sheetData>
  <mergeCells count="100">
    <mergeCell ref="W77:W78"/>
    <mergeCell ref="X77:X78"/>
    <mergeCell ref="Y77:Y78"/>
    <mergeCell ref="G87:G88"/>
    <mergeCell ref="T87:T88"/>
    <mergeCell ref="U87:U88"/>
    <mergeCell ref="V87:V88"/>
    <mergeCell ref="W87:W88"/>
    <mergeCell ref="X87:X88"/>
    <mergeCell ref="Y87:Y88"/>
    <mergeCell ref="T77:T78"/>
    <mergeCell ref="B77:B78"/>
    <mergeCell ref="C77:C78"/>
    <mergeCell ref="D77:D78"/>
    <mergeCell ref="E77:F78"/>
    <mergeCell ref="G77:G78"/>
    <mergeCell ref="G71:H71"/>
    <mergeCell ref="AB72:AD73"/>
    <mergeCell ref="B74:U75"/>
    <mergeCell ref="V74:W75"/>
    <mergeCell ref="X74:X75"/>
    <mergeCell ref="Y74:Y75"/>
    <mergeCell ref="AB75:AD76"/>
    <mergeCell ref="AB60:AD61"/>
    <mergeCell ref="AB62:AD64"/>
    <mergeCell ref="AM64:AO64"/>
    <mergeCell ref="AQ64:AQ67"/>
    <mergeCell ref="G65:H65"/>
    <mergeCell ref="AB65:AD65"/>
    <mergeCell ref="G66:H66"/>
    <mergeCell ref="AB66:AD66"/>
    <mergeCell ref="G67:H67"/>
    <mergeCell ref="AB67:AD70"/>
    <mergeCell ref="G68:H68"/>
    <mergeCell ref="G70:H70"/>
    <mergeCell ref="G63:H63"/>
    <mergeCell ref="G64:H64"/>
    <mergeCell ref="B60:B61"/>
    <mergeCell ref="C60:C61"/>
    <mergeCell ref="D60:D61"/>
    <mergeCell ref="E60:F61"/>
    <mergeCell ref="G60:G61"/>
    <mergeCell ref="T60:U61"/>
    <mergeCell ref="B57:T58"/>
    <mergeCell ref="U57:V58"/>
    <mergeCell ref="W57:W58"/>
    <mergeCell ref="X57:X58"/>
    <mergeCell ref="V60:V61"/>
    <mergeCell ref="W60:W61"/>
    <mergeCell ref="X60:X61"/>
    <mergeCell ref="AB57:AD59"/>
    <mergeCell ref="AM57:AN57"/>
    <mergeCell ref="AM33:AO35"/>
    <mergeCell ref="AM43:AO45"/>
    <mergeCell ref="AM50:AO51"/>
    <mergeCell ref="AK51:AK54"/>
    <mergeCell ref="AM53:AO54"/>
    <mergeCell ref="AM55:AO55"/>
    <mergeCell ref="T11:T13"/>
    <mergeCell ref="U11:U13"/>
    <mergeCell ref="AM31:AO32"/>
    <mergeCell ref="V11:X11"/>
    <mergeCell ref="Y11:Z11"/>
    <mergeCell ref="AA11:AJ11"/>
    <mergeCell ref="V12:V13"/>
    <mergeCell ref="W12:W13"/>
    <mergeCell ref="X12:X13"/>
    <mergeCell ref="Y12:Z12"/>
    <mergeCell ref="AM13:AM14"/>
    <mergeCell ref="AN13:AN14"/>
    <mergeCell ref="AO13:AO14"/>
    <mergeCell ref="AM26:AN26"/>
    <mergeCell ref="AM29:AO29"/>
    <mergeCell ref="B11:B13"/>
    <mergeCell ref="C11:C13"/>
    <mergeCell ref="D11:D13"/>
    <mergeCell ref="E11:E13"/>
    <mergeCell ref="G11:G13"/>
    <mergeCell ref="AD8:AE9"/>
    <mergeCell ref="AF8:AG9"/>
    <mergeCell ref="AH8:AI9"/>
    <mergeCell ref="B9:B10"/>
    <mergeCell ref="C9:C10"/>
    <mergeCell ref="T10:U10"/>
    <mergeCell ref="AH2:AI2"/>
    <mergeCell ref="AK2:AK50"/>
    <mergeCell ref="AM2:AO3"/>
    <mergeCell ref="A3:A54"/>
    <mergeCell ref="AH4:AH5"/>
    <mergeCell ref="AI4:AJ5"/>
    <mergeCell ref="AM4:AO4"/>
    <mergeCell ref="AM5:AO5"/>
    <mergeCell ref="AN6:AO6"/>
    <mergeCell ref="AM7:AN8"/>
    <mergeCell ref="AO7:AO8"/>
    <mergeCell ref="T8:V9"/>
    <mergeCell ref="W8:X9"/>
    <mergeCell ref="Y8:Z9"/>
    <mergeCell ref="AA8:AB9"/>
    <mergeCell ref="AC8:AC9"/>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214D3C-A159-45CA-B394-3C1D8131E6D9}">
  <dimension ref="A1:BM115"/>
  <sheetViews>
    <sheetView showZeros="0" workbookViewId="0">
      <selection activeCell="W7" sqref="W7"/>
    </sheetView>
  </sheetViews>
  <sheetFormatPr baseColWidth="10" defaultRowHeight="15"/>
  <cols>
    <col min="1" max="1" width="3.140625" style="376" customWidth="1"/>
    <col min="2" max="3" width="11.42578125" style="376"/>
    <col min="4" max="4" width="7.7109375" style="376" customWidth="1"/>
    <col min="5" max="5" width="8.7109375" style="376" customWidth="1"/>
    <col min="6" max="6" width="10.7109375" style="376" customWidth="1"/>
    <col min="7" max="7" width="7.7109375" style="376" customWidth="1"/>
    <col min="8" max="8" width="8.7109375" style="376" customWidth="1"/>
    <col min="9" max="9" width="10.7109375" style="376" customWidth="1"/>
    <col min="10" max="10" width="7.7109375" style="376" customWidth="1"/>
    <col min="11" max="11" width="8.7109375" style="376" customWidth="1"/>
    <col min="12" max="12" width="10.7109375" style="376" customWidth="1"/>
    <col min="13" max="13" width="7.7109375" style="376" customWidth="1"/>
    <col min="14" max="14" width="8.7109375" style="376" customWidth="1"/>
    <col min="15" max="15" width="10.7109375" style="376" customWidth="1"/>
    <col min="16" max="16" width="7.7109375" style="376" customWidth="1"/>
    <col min="17" max="17" width="8.7109375" style="376" customWidth="1"/>
    <col min="18" max="18" width="10.7109375" style="376" customWidth="1"/>
    <col min="19" max="19" width="7.7109375" style="376" customWidth="1"/>
    <col min="20" max="20" width="8.7109375" style="376" customWidth="1"/>
    <col min="21" max="21" width="10.7109375" style="376" customWidth="1"/>
    <col min="22" max="24" width="11.7109375" style="376" customWidth="1"/>
    <col min="25" max="25" width="7.7109375" style="376" customWidth="1"/>
    <col min="26" max="26" width="4.42578125" style="376" customWidth="1"/>
    <col min="27" max="31" width="11.7109375" style="376" customWidth="1"/>
    <col min="32" max="33" width="15.7109375" style="376" customWidth="1"/>
    <col min="34" max="40" width="11.7109375" style="376" customWidth="1"/>
    <col min="41" max="41" width="7.7109375" style="376" customWidth="1"/>
    <col min="42" max="56" width="11.42578125" style="376" customWidth="1"/>
    <col min="57" max="59" width="12.7109375" style="376" customWidth="1"/>
    <col min="60" max="64" width="11.42578125" style="376" customWidth="1"/>
    <col min="65" max="16384" width="11.42578125" style="376"/>
  </cols>
  <sheetData>
    <row r="1" spans="1:65" ht="19.5" thickBot="1">
      <c r="A1" s="1" t="s">
        <v>0</v>
      </c>
      <c r="B1" s="3" t="s">
        <v>1</v>
      </c>
      <c r="C1" s="4"/>
      <c r="D1" s="5"/>
      <c r="E1" s="5"/>
      <c r="F1" s="5"/>
      <c r="G1" s="5"/>
      <c r="H1" s="5"/>
      <c r="I1" s="5"/>
      <c r="J1" s="5"/>
      <c r="K1" s="5"/>
      <c r="L1" s="5"/>
      <c r="M1" s="5"/>
      <c r="N1" s="5"/>
      <c r="O1" s="5"/>
      <c r="P1" s="5"/>
      <c r="Q1" s="5"/>
      <c r="R1" s="830"/>
      <c r="S1" s="5"/>
      <c r="T1" s="5"/>
      <c r="U1" s="829"/>
      <c r="V1" s="829"/>
      <c r="W1" s="828"/>
      <c r="X1" s="1" t="s">
        <v>312</v>
      </c>
      <c r="Y1" s="1"/>
      <c r="Z1" s="827">
        <f ca="1">CELL("largeur",Z1)</f>
        <v>4</v>
      </c>
      <c r="AA1" s="3" t="s">
        <v>1</v>
      </c>
      <c r="AB1" s="4"/>
      <c r="AC1" s="4"/>
      <c r="AD1" s="4"/>
      <c r="AE1" s="4"/>
      <c r="AF1" s="4"/>
      <c r="AG1" s="4"/>
      <c r="AH1" s="4"/>
      <c r="AI1" s="4"/>
      <c r="AJ1" s="5"/>
      <c r="AK1" s="5"/>
      <c r="AL1" s="5"/>
      <c r="AM1" s="5"/>
      <c r="AN1" s="5"/>
      <c r="AO1" s="827">
        <f ca="1">CELL("largeur",AO1)</f>
        <v>7</v>
      </c>
      <c r="AP1" s="826"/>
      <c r="AQ1" s="7"/>
      <c r="AR1" s="7"/>
      <c r="AS1" s="7"/>
      <c r="AT1" s="7"/>
      <c r="AU1" s="7"/>
      <c r="AV1" s="7"/>
      <c r="AW1" s="7"/>
      <c r="AX1" s="7"/>
      <c r="AY1" s="7"/>
      <c r="AZ1" s="7"/>
      <c r="BA1" s="7"/>
      <c r="BB1" s="7"/>
      <c r="BC1" s="7"/>
      <c r="BD1" s="7"/>
      <c r="BE1" s="7"/>
      <c r="BF1" s="7"/>
      <c r="BG1" s="7"/>
      <c r="BH1" s="7"/>
      <c r="BI1" s="7"/>
      <c r="BJ1" s="7"/>
      <c r="BK1" s="7"/>
      <c r="BL1" s="7"/>
      <c r="BM1" s="5"/>
    </row>
    <row r="2" spans="1:65" ht="33" customHeight="1" thickBot="1">
      <c r="A2" s="799"/>
      <c r="B2" s="825" t="s">
        <v>311</v>
      </c>
      <c r="C2" s="824"/>
      <c r="D2" s="824"/>
      <c r="E2" s="824"/>
      <c r="F2" s="824"/>
      <c r="G2" s="824"/>
      <c r="H2" s="824"/>
      <c r="I2" s="824"/>
      <c r="J2" s="824"/>
      <c r="K2" s="824"/>
      <c r="L2" s="824"/>
      <c r="M2" s="824"/>
      <c r="N2" s="824"/>
      <c r="O2" s="824"/>
      <c r="P2" s="824"/>
      <c r="Q2" s="824"/>
      <c r="R2" s="824"/>
      <c r="S2" s="823"/>
      <c r="T2" s="823"/>
      <c r="U2" s="823" t="s">
        <v>9</v>
      </c>
      <c r="V2" s="823"/>
      <c r="W2" s="824"/>
      <c r="X2" s="824"/>
      <c r="Y2" s="823" t="s">
        <v>311</v>
      </c>
      <c r="Z2" s="820"/>
      <c r="AA2" s="822" t="s">
        <v>310</v>
      </c>
      <c r="AB2" s="821"/>
      <c r="AC2" s="821"/>
      <c r="AD2" s="821"/>
      <c r="AE2" s="821"/>
      <c r="AF2" s="821"/>
      <c r="AG2" s="821"/>
      <c r="AH2" s="821"/>
      <c r="AI2" s="821"/>
      <c r="AJ2" s="821"/>
      <c r="AK2" s="821"/>
      <c r="AL2" s="821"/>
      <c r="AM2" s="821"/>
      <c r="AN2" s="821"/>
      <c r="AO2" s="821"/>
      <c r="AP2" s="820"/>
      <c r="AQ2" s="7"/>
      <c r="AR2" s="819" t="s">
        <v>309</v>
      </c>
      <c r="AS2" s="818"/>
      <c r="AT2" s="818"/>
      <c r="AU2" s="818"/>
      <c r="AV2" s="818"/>
      <c r="AW2" s="818"/>
      <c r="AX2" s="818"/>
      <c r="AY2" s="818"/>
      <c r="AZ2" s="818"/>
      <c r="BA2" s="818"/>
      <c r="BB2" s="818"/>
      <c r="BC2" s="817"/>
      <c r="BD2" s="7"/>
      <c r="BE2" s="3636" t="s">
        <v>6</v>
      </c>
      <c r="BF2" s="3637"/>
      <c r="BG2" s="3638"/>
      <c r="BH2" s="7"/>
      <c r="BI2" s="3868" t="s">
        <v>308</v>
      </c>
      <c r="BJ2" s="3868"/>
      <c r="BK2" s="3868"/>
      <c r="BL2" s="8"/>
      <c r="BM2" s="381">
        <v>33</v>
      </c>
    </row>
    <row r="3" spans="1:65" ht="28.5" customHeight="1" thickBot="1">
      <c r="A3" s="816" t="s">
        <v>307</v>
      </c>
      <c r="B3" s="815" t="str">
        <f>AA3</f>
        <v>SAISISSEZ LE NOM DE VOTRE PLAT cellule AA3</v>
      </c>
      <c r="C3" s="814"/>
      <c r="D3" s="814"/>
      <c r="E3" s="814"/>
      <c r="F3" s="814"/>
      <c r="G3" s="814"/>
      <c r="H3" s="814"/>
      <c r="I3" s="814"/>
      <c r="J3" s="814"/>
      <c r="K3" s="814"/>
      <c r="L3" s="814"/>
      <c r="M3" s="814"/>
      <c r="N3" s="814"/>
      <c r="O3" s="814"/>
      <c r="P3" s="814"/>
      <c r="Q3" s="814"/>
      <c r="R3" s="814"/>
      <c r="S3" s="814"/>
      <c r="T3" s="814"/>
      <c r="U3" s="814"/>
      <c r="V3" s="3869" t="str">
        <f>AL3</f>
        <v>Produit principal</v>
      </c>
      <c r="W3" s="3870"/>
      <c r="X3" s="810" t="str">
        <f>AN3</f>
        <v>021</v>
      </c>
      <c r="Y3" s="813"/>
      <c r="Z3" s="672"/>
      <c r="AA3" s="812" t="s">
        <v>306</v>
      </c>
      <c r="AB3" s="811"/>
      <c r="AC3" s="811"/>
      <c r="AD3" s="811"/>
      <c r="AE3" s="811"/>
      <c r="AF3" s="811"/>
      <c r="AG3" s="811"/>
      <c r="AH3" s="811"/>
      <c r="AI3" s="811"/>
      <c r="AJ3" s="811"/>
      <c r="AK3" s="811"/>
      <c r="AL3" s="3629" t="s">
        <v>305</v>
      </c>
      <c r="AM3" s="3629"/>
      <c r="AN3" s="810" t="s">
        <v>88</v>
      </c>
      <c r="AO3" s="809"/>
      <c r="AP3" s="672"/>
      <c r="AQ3" s="7"/>
      <c r="AR3" s="808" t="s">
        <v>304</v>
      </c>
      <c r="AS3" s="7"/>
      <c r="AT3" s="7"/>
      <c r="AU3" s="7"/>
      <c r="AV3" s="7"/>
      <c r="AW3" s="7"/>
      <c r="AX3" s="7"/>
      <c r="AY3" s="7"/>
      <c r="AZ3" s="7"/>
      <c r="BA3" s="807"/>
      <c r="BB3" s="806"/>
      <c r="BC3" s="805"/>
      <c r="BD3" s="7"/>
      <c r="BE3" s="3639"/>
      <c r="BF3" s="3640"/>
      <c r="BG3" s="3641"/>
      <c r="BH3" s="7"/>
      <c r="BI3" s="3868"/>
      <c r="BJ3" s="3868"/>
      <c r="BK3" s="3868"/>
      <c r="BL3" s="804"/>
      <c r="BM3" s="381">
        <v>28.5</v>
      </c>
    </row>
    <row r="4" spans="1:65" ht="28.5" customHeight="1">
      <c r="A4" s="3862" t="str">
        <f>B3</f>
        <v>SAISISSEZ LE NOM DE VOTRE PLAT cellule AA3</v>
      </c>
      <c r="B4" s="803" t="s">
        <v>14</v>
      </c>
      <c r="C4" s="802" t="str">
        <f>AC4</f>
        <v>Nom références cellule AC4</v>
      </c>
      <c r="D4" s="801"/>
      <c r="E4" s="801"/>
      <c r="F4" s="801"/>
      <c r="G4" s="801"/>
      <c r="H4" s="801"/>
      <c r="I4" s="801"/>
      <c r="J4" s="801"/>
      <c r="K4" s="801"/>
      <c r="L4" s="801"/>
      <c r="M4" s="801"/>
      <c r="N4" s="801"/>
      <c r="O4" s="801"/>
      <c r="P4" s="801"/>
      <c r="Q4" s="801"/>
      <c r="R4" s="801"/>
      <c r="S4" s="801"/>
      <c r="T4" s="801"/>
      <c r="U4" s="801"/>
      <c r="V4" s="801"/>
      <c r="W4" s="801"/>
      <c r="X4" s="801"/>
      <c r="Y4" s="3863" t="str">
        <f>AO4</f>
        <v>PLAT PRINCIPAL</v>
      </c>
      <c r="Z4" s="672"/>
      <c r="AA4" s="800" t="s">
        <v>8</v>
      </c>
      <c r="AB4" s="799"/>
      <c r="AC4" s="798" t="s">
        <v>303</v>
      </c>
      <c r="AD4" s="797"/>
      <c r="AE4" s="797"/>
      <c r="AF4" s="797"/>
      <c r="AG4" s="797"/>
      <c r="AH4" s="796"/>
      <c r="AI4" s="796"/>
      <c r="AJ4" s="796"/>
      <c r="AK4" s="795"/>
      <c r="AL4" s="795"/>
      <c r="AM4" s="795"/>
      <c r="AN4" s="794"/>
      <c r="AO4" s="3684" t="s">
        <v>302</v>
      </c>
      <c r="AP4" s="672"/>
      <c r="AQ4" s="7"/>
      <c r="AR4" s="793" t="s">
        <v>301</v>
      </c>
      <c r="AS4" s="356"/>
      <c r="AT4" s="356"/>
      <c r="AU4" s="356"/>
      <c r="AV4" s="356"/>
      <c r="AW4" s="356"/>
      <c r="AX4" s="356"/>
      <c r="AY4" s="356"/>
      <c r="AZ4" s="356"/>
      <c r="BA4" s="7"/>
      <c r="BB4" s="7"/>
      <c r="BC4" s="792"/>
      <c r="BD4" s="7"/>
      <c r="BE4" s="3720" t="s">
        <v>11</v>
      </c>
      <c r="BF4" s="3721"/>
      <c r="BG4" s="3722"/>
      <c r="BH4" s="7"/>
      <c r="BI4" s="3872" t="s">
        <v>300</v>
      </c>
      <c r="BJ4" s="3873"/>
      <c r="BK4" s="3874"/>
      <c r="BL4" s="791"/>
      <c r="BM4" s="381">
        <v>28.5</v>
      </c>
    </row>
    <row r="5" spans="1:65" ht="28.5" customHeight="1">
      <c r="A5" s="3862"/>
      <c r="B5" s="764" t="s">
        <v>295</v>
      </c>
      <c r="C5" s="764"/>
      <c r="D5" s="778" t="s">
        <v>294</v>
      </c>
      <c r="E5" s="356"/>
      <c r="F5" s="356"/>
      <c r="G5" s="786"/>
      <c r="H5" s="786"/>
      <c r="I5" s="786"/>
      <c r="J5" s="786"/>
      <c r="K5" s="786"/>
      <c r="L5" s="786"/>
      <c r="M5" s="786"/>
      <c r="N5" s="786"/>
      <c r="O5" s="786"/>
      <c r="P5" s="785"/>
      <c r="Q5" s="785"/>
      <c r="R5" s="785"/>
      <c r="S5" s="784"/>
      <c r="T5" s="784"/>
      <c r="U5" s="784"/>
      <c r="V5" s="784"/>
      <c r="W5" s="784"/>
      <c r="X5" s="790"/>
      <c r="Y5" s="3864"/>
      <c r="Z5" s="672"/>
      <c r="AA5" s="780"/>
      <c r="AB5" s="789"/>
      <c r="AC5" s="789"/>
      <c r="AD5" s="789"/>
      <c r="AE5" s="789"/>
      <c r="AF5" s="789"/>
      <c r="AG5" s="789"/>
      <c r="AH5" s="3723" t="s">
        <v>21</v>
      </c>
      <c r="AI5" s="3866"/>
      <c r="AJ5" s="3867"/>
      <c r="AK5" s="3726" t="s">
        <v>299</v>
      </c>
      <c r="AL5" s="3881"/>
      <c r="AM5" s="3881"/>
      <c r="AN5" s="3882"/>
      <c r="AO5" s="3685"/>
      <c r="AP5" s="672"/>
      <c r="AQ5" s="7"/>
      <c r="AR5" s="3883" t="s">
        <v>298</v>
      </c>
      <c r="AS5" s="3884"/>
      <c r="AT5" s="356"/>
      <c r="AU5" s="378"/>
      <c r="AV5" s="768"/>
      <c r="AW5" s="378"/>
      <c r="AX5" s="788" t="s">
        <v>297</v>
      </c>
      <c r="AY5" s="378"/>
      <c r="AZ5" s="378"/>
      <c r="BA5" s="7"/>
      <c r="BB5" s="3885" t="s">
        <v>296</v>
      </c>
      <c r="BC5" s="3886"/>
      <c r="BD5" s="7"/>
      <c r="BE5" s="3732" t="s">
        <v>13</v>
      </c>
      <c r="BF5" s="3733"/>
      <c r="BG5" s="3734"/>
      <c r="BH5" s="7"/>
      <c r="BI5" s="3875"/>
      <c r="BJ5" s="3876"/>
      <c r="BK5" s="3877"/>
      <c r="BL5" s="356"/>
      <c r="BM5" s="381">
        <v>28.5</v>
      </c>
    </row>
    <row r="6" spans="1:65" ht="28.5" customHeight="1">
      <c r="A6" s="3862"/>
      <c r="B6" s="764"/>
      <c r="C6" s="764"/>
      <c r="D6" s="787"/>
      <c r="E6" s="356"/>
      <c r="F6" s="31"/>
      <c r="G6" s="786"/>
      <c r="H6" s="786"/>
      <c r="I6" s="786"/>
      <c r="J6" s="786"/>
      <c r="K6" s="786"/>
      <c r="L6" s="786"/>
      <c r="M6" s="786"/>
      <c r="N6" s="786"/>
      <c r="O6" s="786"/>
      <c r="P6" s="785"/>
      <c r="Q6" s="785"/>
      <c r="R6" s="785"/>
      <c r="S6" s="784"/>
      <c r="T6" s="784"/>
      <c r="U6" s="783" t="s">
        <v>21</v>
      </c>
      <c r="V6" s="3424">
        <f>BA13</f>
        <v>42.665000000000006</v>
      </c>
      <c r="W6" s="782"/>
      <c r="X6" s="781"/>
      <c r="Y6" s="3864"/>
      <c r="Z6" s="672"/>
      <c r="AA6" s="780" t="s">
        <v>295</v>
      </c>
      <c r="AB6" s="779"/>
      <c r="AC6" s="778" t="s">
        <v>294</v>
      </c>
      <c r="AD6" s="758"/>
      <c r="AE6" s="758"/>
      <c r="AF6" s="758"/>
      <c r="AG6" s="758"/>
      <c r="AH6" s="777" t="s">
        <v>293</v>
      </c>
      <c r="AI6" s="776" t="s">
        <v>193</v>
      </c>
      <c r="AJ6" s="775" t="s">
        <v>197</v>
      </c>
      <c r="AK6" s="3729"/>
      <c r="AL6" s="3730"/>
      <c r="AM6" s="3730"/>
      <c r="AN6" s="3731"/>
      <c r="AO6" s="3685"/>
      <c r="AP6" s="672"/>
      <c r="AQ6" s="7"/>
      <c r="AR6" s="774" t="s">
        <v>63</v>
      </c>
      <c r="AS6" s="773" t="s">
        <v>135</v>
      </c>
      <c r="AT6" s="356"/>
      <c r="AU6" s="772" t="s">
        <v>63</v>
      </c>
      <c r="AV6" s="772" t="s">
        <v>193</v>
      </c>
      <c r="AW6" s="771" t="s">
        <v>197</v>
      </c>
      <c r="AX6" s="770" t="s">
        <v>292</v>
      </c>
      <c r="AY6" s="769" t="s">
        <v>230</v>
      </c>
      <c r="AZ6" s="768" t="s">
        <v>291</v>
      </c>
      <c r="BA6" s="767" t="s">
        <v>290</v>
      </c>
      <c r="BB6" s="3878" t="s">
        <v>193</v>
      </c>
      <c r="BC6" s="3879"/>
      <c r="BD6" s="7"/>
      <c r="BE6" s="35" t="s">
        <v>14</v>
      </c>
      <c r="BF6" s="3753" t="s">
        <v>15</v>
      </c>
      <c r="BG6" s="3880"/>
      <c r="BH6" s="7"/>
      <c r="BI6" s="3809" t="s">
        <v>93</v>
      </c>
      <c r="BJ6" s="3810"/>
      <c r="BK6" s="3871"/>
      <c r="BL6" s="356"/>
      <c r="BM6" s="381">
        <v>28.5</v>
      </c>
    </row>
    <row r="7" spans="1:65" ht="28.5" customHeight="1">
      <c r="A7" s="3862"/>
      <c r="B7" s="764"/>
      <c r="C7" s="764"/>
      <c r="D7" s="641"/>
      <c r="E7" s="641"/>
      <c r="F7" s="641"/>
      <c r="G7" s="763"/>
      <c r="H7" s="763"/>
      <c r="I7" s="763"/>
      <c r="J7" s="763"/>
      <c r="K7" s="763"/>
      <c r="L7" s="763"/>
      <c r="M7" s="763"/>
      <c r="N7" s="763"/>
      <c r="O7" s="763"/>
      <c r="P7" s="763"/>
      <c r="Q7" s="763"/>
      <c r="R7" s="641"/>
      <c r="S7" s="641"/>
      <c r="T7" s="762"/>
      <c r="U7" s="761"/>
      <c r="V7" s="761"/>
      <c r="W7" s="760"/>
      <c r="X7" s="759"/>
      <c r="Y7" s="3864"/>
      <c r="Z7" s="672"/>
      <c r="AA7" s="745"/>
      <c r="AB7" s="744"/>
      <c r="AC7" s="758"/>
      <c r="AD7" s="744"/>
      <c r="AE7" s="744"/>
      <c r="AF7" s="744"/>
      <c r="AG7" s="744"/>
      <c r="AH7" s="757">
        <v>150</v>
      </c>
      <c r="AI7" s="669">
        <v>180</v>
      </c>
      <c r="AJ7" s="756">
        <f>(AI7*AH7)/1000</f>
        <v>27</v>
      </c>
      <c r="AK7" s="3645" t="s">
        <v>289</v>
      </c>
      <c r="AL7" s="3646"/>
      <c r="AM7" s="3646"/>
      <c r="AN7" s="3647"/>
      <c r="AO7" s="3685"/>
      <c r="AP7" s="672"/>
      <c r="AQ7" s="7"/>
      <c r="AR7" s="3888">
        <f>AB10</f>
        <v>100</v>
      </c>
      <c r="AS7" s="3889">
        <f>AD10</f>
        <v>3.64</v>
      </c>
      <c r="AT7" s="671" t="s">
        <v>189</v>
      </c>
      <c r="AU7" s="670">
        <v>125</v>
      </c>
      <c r="AV7" s="669">
        <v>50</v>
      </c>
      <c r="AW7" s="493">
        <f t="shared" ref="AW7:AW12" si="0">(AU7*AV7)/1000</f>
        <v>6.25</v>
      </c>
      <c r="AX7" s="755">
        <v>14</v>
      </c>
      <c r="AY7" s="754">
        <v>6.25</v>
      </c>
      <c r="AZ7" s="666" t="s">
        <v>288</v>
      </c>
      <c r="BA7" s="493">
        <f>IF(ISBLANK(AY7),0,(AA10/AX7)*AY7)</f>
        <v>1.625</v>
      </c>
      <c r="BB7" s="665">
        <f t="shared" ref="BB7:BB12" si="1">(AY7/AU7)*1000</f>
        <v>50</v>
      </c>
      <c r="BC7" s="664">
        <f t="shared" ref="BC7:BC12" si="2">BA7/AU7</f>
        <v>1.2999999999999999E-2</v>
      </c>
      <c r="BD7" s="7"/>
      <c r="BE7" s="3755" t="s">
        <v>17</v>
      </c>
      <c r="BF7" s="3756"/>
      <c r="BG7" s="3890" t="str">
        <f>LEFT(ADDRESS(1,COLUMN(AF12),4),LEN(ADDRESS(1,COLUMN(AF12),4))-1)</f>
        <v>AF</v>
      </c>
      <c r="BH7" s="7"/>
      <c r="BI7" s="3809"/>
      <c r="BJ7" s="3810"/>
      <c r="BK7" s="3871"/>
      <c r="BL7" s="356"/>
      <c r="BM7" s="381">
        <v>28.5</v>
      </c>
    </row>
    <row r="8" spans="1:65" ht="28.5" customHeight="1">
      <c r="A8" s="3862"/>
      <c r="B8" s="753" t="s">
        <v>287</v>
      </c>
      <c r="C8" s="752"/>
      <c r="D8" s="751"/>
      <c r="E8" s="751"/>
      <c r="F8" s="751"/>
      <c r="G8" s="750"/>
      <c r="H8" s="750"/>
      <c r="I8" s="749"/>
      <c r="J8" s="749"/>
      <c r="K8" s="749"/>
      <c r="L8" s="749"/>
      <c r="M8" s="749"/>
      <c r="N8" s="749"/>
      <c r="O8" s="749"/>
      <c r="P8" s="748"/>
      <c r="Q8" s="748"/>
      <c r="R8" s="746"/>
      <c r="S8" s="747"/>
      <c r="T8" s="747"/>
      <c r="U8" s="746" t="s">
        <v>285</v>
      </c>
      <c r="V8" s="3887">
        <f ca="1">TODAY()</f>
        <v>44608</v>
      </c>
      <c r="W8" s="3887"/>
      <c r="X8" s="3887"/>
      <c r="Y8" s="3864"/>
      <c r="Z8" s="672"/>
      <c r="AA8" s="745"/>
      <c r="AB8" s="744"/>
      <c r="AC8" s="744"/>
      <c r="AD8" s="744"/>
      <c r="AE8" s="744"/>
      <c r="AF8" s="744"/>
      <c r="AG8" s="744"/>
      <c r="AH8" s="743" t="s">
        <v>231</v>
      </c>
      <c r="AI8" s="742" t="s">
        <v>230</v>
      </c>
      <c r="AJ8" s="741" t="s">
        <v>286</v>
      </c>
      <c r="AK8" s="740"/>
      <c r="AL8" s="740" t="s">
        <v>285</v>
      </c>
      <c r="AM8" s="3694">
        <f ca="1">TODAY()</f>
        <v>44608</v>
      </c>
      <c r="AN8" s="3694"/>
      <c r="AO8" s="3685"/>
      <c r="AP8" s="672"/>
      <c r="AQ8" s="7"/>
      <c r="AR8" s="3888"/>
      <c r="AS8" s="3889"/>
      <c r="AT8" s="671" t="s">
        <v>282</v>
      </c>
      <c r="AU8" s="670">
        <v>260</v>
      </c>
      <c r="AV8" s="669">
        <v>70</v>
      </c>
      <c r="AW8" s="493">
        <f t="shared" si="0"/>
        <v>18.2</v>
      </c>
      <c r="AX8" s="693"/>
      <c r="AY8" s="692"/>
      <c r="AZ8" s="666"/>
      <c r="BA8" s="493">
        <f>IF(ISBLANK(AY8),0,(AA10/AX8)*AY8)</f>
        <v>0</v>
      </c>
      <c r="BB8" s="665">
        <f t="shared" si="1"/>
        <v>0</v>
      </c>
      <c r="BC8" s="664">
        <f t="shared" si="2"/>
        <v>0</v>
      </c>
      <c r="BD8" s="7"/>
      <c r="BE8" s="3755"/>
      <c r="BF8" s="3756"/>
      <c r="BG8" s="3890"/>
      <c r="BH8" s="7"/>
      <c r="BI8" s="3601" t="s">
        <v>284</v>
      </c>
      <c r="BJ8" s="3602"/>
      <c r="BK8" s="3603"/>
      <c r="BL8" s="356"/>
      <c r="BM8" s="381">
        <v>28.5</v>
      </c>
    </row>
    <row r="9" spans="1:65" ht="28.5" customHeight="1">
      <c r="A9" s="3862"/>
      <c r="B9" s="3855" t="s">
        <v>283</v>
      </c>
      <c r="C9" s="3856"/>
      <c r="D9" s="3859" t="s">
        <v>189</v>
      </c>
      <c r="E9" s="3860"/>
      <c r="F9" s="3861"/>
      <c r="G9" s="3859" t="s">
        <v>282</v>
      </c>
      <c r="H9" s="3860"/>
      <c r="I9" s="3861"/>
      <c r="J9" s="3859" t="s">
        <v>28</v>
      </c>
      <c r="K9" s="3860"/>
      <c r="L9" s="3861"/>
      <c r="M9" s="3859" t="s">
        <v>136</v>
      </c>
      <c r="N9" s="3860"/>
      <c r="O9" s="3861"/>
      <c r="P9" s="3859" t="s">
        <v>56</v>
      </c>
      <c r="Q9" s="3860"/>
      <c r="R9" s="3861"/>
      <c r="S9" s="3859" t="s">
        <v>57</v>
      </c>
      <c r="T9" s="3860"/>
      <c r="U9" s="3861"/>
      <c r="V9" s="3428" t="s">
        <v>281</v>
      </c>
      <c r="W9" s="739">
        <f>D11+G11+J11+M11+P11+S11</f>
        <v>597</v>
      </c>
      <c r="X9" s="739" t="s">
        <v>280</v>
      </c>
      <c r="Y9" s="3864"/>
      <c r="Z9" s="672"/>
      <c r="AA9" s="738" t="s">
        <v>279</v>
      </c>
      <c r="AB9" s="737" t="s">
        <v>246</v>
      </c>
      <c r="AC9" s="736" t="s">
        <v>193</v>
      </c>
      <c r="AD9" s="736" t="s">
        <v>135</v>
      </c>
      <c r="AE9" s="735" t="s">
        <v>46</v>
      </c>
      <c r="AF9" s="734" t="s">
        <v>278</v>
      </c>
      <c r="AG9" s="733" t="s">
        <v>193</v>
      </c>
      <c r="AH9" s="732"/>
      <c r="AI9" s="731"/>
      <c r="AJ9" s="730"/>
      <c r="AK9" s="729" t="s">
        <v>277</v>
      </c>
      <c r="AL9" s="729"/>
      <c r="AM9" s="356"/>
      <c r="AN9" s="356"/>
      <c r="AO9" s="3685"/>
      <c r="AP9" s="672"/>
      <c r="AQ9" s="7"/>
      <c r="AR9" s="3888"/>
      <c r="AS9" s="3889"/>
      <c r="AT9" s="671" t="s">
        <v>28</v>
      </c>
      <c r="AU9" s="670">
        <v>120</v>
      </c>
      <c r="AV9" s="669">
        <v>110</v>
      </c>
      <c r="AW9" s="493">
        <f t="shared" si="0"/>
        <v>13.2</v>
      </c>
      <c r="AX9" s="693"/>
      <c r="AY9" s="692"/>
      <c r="AZ9" s="666"/>
      <c r="BA9" s="493">
        <f>IF(ISBLANK(AY9),0,(AA10/AX9)*AY9)</f>
        <v>0</v>
      </c>
      <c r="BB9" s="665">
        <f t="shared" si="1"/>
        <v>0</v>
      </c>
      <c r="BC9" s="664">
        <f t="shared" si="2"/>
        <v>0</v>
      </c>
      <c r="BD9" s="7"/>
      <c r="BE9" s="46"/>
      <c r="BF9" s="47" t="s">
        <v>26</v>
      </c>
      <c r="BG9" s="455" t="str">
        <f>LEFT(ADDRESS(1,COLUMN(AA12),4),LEN(ADDRESS(1,COLUMN(AA12),4))-1)</f>
        <v>AA</v>
      </c>
      <c r="BH9" s="7"/>
      <c r="BI9" s="3601"/>
      <c r="BJ9" s="3602"/>
      <c r="BK9" s="3603"/>
      <c r="BL9" s="356"/>
      <c r="BM9" s="381">
        <v>28.5</v>
      </c>
    </row>
    <row r="10" spans="1:65" ht="23.25" customHeight="1" thickBot="1">
      <c r="A10" s="3862"/>
      <c r="B10" s="3857"/>
      <c r="C10" s="3858"/>
      <c r="D10" s="481" t="s">
        <v>190</v>
      </c>
      <c r="E10" s="491" t="s">
        <v>193</v>
      </c>
      <c r="F10" s="492" t="str">
        <f>F65</f>
        <v>Total ❿</v>
      </c>
      <c r="G10" s="481" t="s">
        <v>190</v>
      </c>
      <c r="H10" s="491" t="s">
        <v>193</v>
      </c>
      <c r="I10" s="492" t="str">
        <f>I65</f>
        <v>❼ Total</v>
      </c>
      <c r="J10" s="481" t="s">
        <v>190</v>
      </c>
      <c r="K10" s="491" t="s">
        <v>193</v>
      </c>
      <c r="L10" s="492" t="str">
        <f>L65</f>
        <v>❼ Total</v>
      </c>
      <c r="M10" s="481" t="s">
        <v>190</v>
      </c>
      <c r="N10" s="491" t="s">
        <v>193</v>
      </c>
      <c r="O10" s="492" t="str">
        <f>O65</f>
        <v>❼ Total</v>
      </c>
      <c r="P10" s="481" t="s">
        <v>190</v>
      </c>
      <c r="Q10" s="491" t="s">
        <v>193</v>
      </c>
      <c r="R10" s="492" t="str">
        <f>R65</f>
        <v>❼ Total</v>
      </c>
      <c r="S10" s="481" t="s">
        <v>190</v>
      </c>
      <c r="T10" s="491" t="s">
        <v>193</v>
      </c>
      <c r="U10" s="492" t="str">
        <f>U65</f>
        <v>❼ Total</v>
      </c>
      <c r="V10" s="727"/>
      <c r="W10" s="726" t="s">
        <v>276</v>
      </c>
      <c r="X10" s="725">
        <f>SUM(X13:X62)</f>
        <v>60.410826923076918</v>
      </c>
      <c r="Y10" s="3864"/>
      <c r="Z10" s="672"/>
      <c r="AA10" s="724">
        <f>IF(ISBLANK(AA13),AC13,AA13*AC13)+IF(ISBLANK(AA14),AC14,AA14*AC14)+IF(ISBLANK(AA15),AC15,AA15*AC15)+IF(ISBLANK(AA16),AC16,AA16*AC16)+IF(ISBLANK(AA17),AC17,AA17*AC17)+IF(ISBLANK(AA18),AC18,AA18*AC18)+IF(ISBLANK(AA19),AC19,AA19*AC19)+IF(ISBLANK(AA20),AC20,AA20*AC20)+IF(ISBLANK(AA21),AC21,AA21*AC21)+IF(ISBLANK(AA22),AC22,AA22*AC22)+IF(ISBLANK(AA23),AC23,AA23*AC23)+IF(ISBLANK(AA24),AC24,AA24*AC24)+IF(ISBLANK(AA25),AC25,AA25*AC25)+IF(ISBLANK(AA26),AC26,AA26*AC26)+IF(ISBLANK(AA27),AC27,AA27*AC27)+IF(ISBLANK(AA28),AC28,AA28*AC28)+IF(ISBLANK(AA29),AC29,AA29*AC29)+IF(ISBLANK(AA30),AC30,AA30*AC30)+IF(ISBLANK(AA31),AC31,AA31*AC31)+IF(ISBLANK(AA32),AC32,AA32*AC32)+IF(ISBLANK(AA33),AC33,AA33*AC33)+IF(ISBLANK(AA34),AC34,AA34*AC34)+IF(ISBLANK(AA35),AC35,AA35*AC35)+IF(ISBLANK(AA36),AC36,AA36*AC36)+IF(ISBLANK(AA37),AC37,AA37*AC37)+IF(ISBLANK(AA38),AC38,AA38*AC38)+IF(ISBLANK(AA39),AC39,AA39*AC39)+ IF(ISBLANK(AA40),AC40,AA40*AC40)+ IF(ISBLANK(AA41),AC41,AA41*AC41)+ IF(ISBLANK(AA42),AC42,AA42*AC42)+ IF(ISBLANK(AA43),AC43,AA43*AC43)+ IF(ISBLANK(AA44),AC44,AA44*AC44)+ IF(ISBLANK(AA45),AC45,AA45*AC45)+ IF(ISBLANK(AA46),AC46,AA46*AC46)+ IF(ISBLANK(AA47),AC47,AA47*AC47)+ IF(ISBLANK(AA48),AC48,AA48*AC48)+IF(ISBLANK(AA49),AC49,AA49*AC49)+IF(ISBLANK(AA50),AC50,AA50*AC50)+ IF(ISBLANK(AA51),AC51,AA51*AC51) +IF(ISBLANK(AA52),AC52,AA52*AC52) +IF(ISBLANK(AA53),AC53,AA53*AC53) +IF(ISBLANK(AA54),AC54,AA54*AC54) +IF(ISBLANK(AA55),AC55,AA55*AC55) +IF(ISBLANK(AA56),AC56,AA56*AC56) +IF(ISBLANK(AA57),AC57,AA57*AC57) +IF(ISBLANK(AA58),AC58,AA58*AC58) +IF(ISBLANK(AA59),AC59,AA59*AC59) +IF(ISBLANK(AA60),AC60,AA60*AC60) +IF(ISBLANK(AA61),AC61,AA61*AC61) +IF(ISBLANK(AA62),AC62,AA62*AC62)</f>
        <v>3.64</v>
      </c>
      <c r="AB10" s="723">
        <v>100</v>
      </c>
      <c r="AC10" s="722">
        <f>(AD10/AB10)*1000</f>
        <v>36.4</v>
      </c>
      <c r="AD10" s="721">
        <f>SUM(AD13:AD62)</f>
        <v>3.64</v>
      </c>
      <c r="AE10" s="720">
        <v>10</v>
      </c>
      <c r="AF10" s="719">
        <f>IF(ISBLANK(AE10),"",IF(AD10=0,0,((AD10-(AD10*AE10%)))))</f>
        <v>3.2760000000000002</v>
      </c>
      <c r="AG10" s="718">
        <f>IF(ISBLANK(AE10),"",(AF10/AB10)*1000)</f>
        <v>32.760000000000005</v>
      </c>
      <c r="AH10" s="717" t="s">
        <v>190</v>
      </c>
      <c r="AI10" s="711"/>
      <c r="AJ10" s="716" t="s">
        <v>37</v>
      </c>
      <c r="AK10" s="715">
        <f>IF(ISBLANK(AI9),AH7,"")</f>
        <v>150</v>
      </c>
      <c r="AL10" s="714" t="str">
        <f>IF(ISBLANK(AI9),"Portions","")</f>
        <v>Portions</v>
      </c>
      <c r="AM10" s="713">
        <f>IF(ISBLANK(AI9),AJ7,AI9)</f>
        <v>27</v>
      </c>
      <c r="AN10" s="712" t="str">
        <f>IF(ISBLANK(AI9),"Kg",AJ9)</f>
        <v>Kg</v>
      </c>
      <c r="AO10" s="3685"/>
      <c r="AP10" s="672"/>
      <c r="AQ10" s="7"/>
      <c r="AR10" s="3888"/>
      <c r="AS10" s="711" t="s">
        <v>193</v>
      </c>
      <c r="AT10" s="671" t="s">
        <v>136</v>
      </c>
      <c r="AU10" s="670">
        <v>60</v>
      </c>
      <c r="AV10" s="669">
        <v>120</v>
      </c>
      <c r="AW10" s="493">
        <f t="shared" si="0"/>
        <v>7.2</v>
      </c>
      <c r="AX10" s="693"/>
      <c r="AY10" s="692"/>
      <c r="AZ10" s="666"/>
      <c r="BA10" s="493">
        <f>IF(ISBLANK(AY10),0,(AA10/AX10)*AY10)</f>
        <v>0</v>
      </c>
      <c r="BB10" s="665">
        <f t="shared" si="1"/>
        <v>0</v>
      </c>
      <c r="BC10" s="664">
        <f t="shared" si="2"/>
        <v>0</v>
      </c>
      <c r="BD10" s="7"/>
      <c r="BE10" s="59"/>
      <c r="BF10" s="60" t="s">
        <v>38</v>
      </c>
      <c r="BG10" s="455" t="str">
        <f>LEFT(ADDRESS(1,COLUMN(AB12),4),LEN(ADDRESS(1,COLUMN(AB12),4))-1)</f>
        <v>AB</v>
      </c>
      <c r="BH10" s="7"/>
      <c r="BI10" s="3601" t="s">
        <v>275</v>
      </c>
      <c r="BJ10" s="3602"/>
      <c r="BK10" s="3603"/>
      <c r="BL10" s="356"/>
      <c r="BM10" s="381">
        <v>23.25</v>
      </c>
    </row>
    <row r="11" spans="1:65" ht="23.25" customHeight="1" thickTop="1" thickBot="1">
      <c r="A11" s="3862"/>
      <c r="B11" s="710" t="s">
        <v>135</v>
      </c>
      <c r="C11" s="709">
        <f>V64</f>
        <v>42.664999999999999</v>
      </c>
      <c r="D11" s="708">
        <f>AU7</f>
        <v>125</v>
      </c>
      <c r="E11" s="286">
        <f>E66</f>
        <v>13</v>
      </c>
      <c r="F11" s="707">
        <f>F66</f>
        <v>1.625</v>
      </c>
      <c r="G11" s="708">
        <f>AU8</f>
        <v>260</v>
      </c>
      <c r="H11" s="286">
        <f>H66</f>
        <v>69.999999999999986</v>
      </c>
      <c r="I11" s="707">
        <f>I66</f>
        <v>18.2</v>
      </c>
      <c r="J11" s="708">
        <f>AU9</f>
        <v>120</v>
      </c>
      <c r="K11" s="286">
        <f>K66</f>
        <v>109.99999999999997</v>
      </c>
      <c r="L11" s="707">
        <f>L66</f>
        <v>13.2</v>
      </c>
      <c r="M11" s="708">
        <f>AU10</f>
        <v>60</v>
      </c>
      <c r="N11" s="286">
        <f>N66</f>
        <v>120.00000000000001</v>
      </c>
      <c r="O11" s="707">
        <f>O66</f>
        <v>7.2</v>
      </c>
      <c r="P11" s="708">
        <f>AU11</f>
        <v>20</v>
      </c>
      <c r="Q11" s="286">
        <f>Q66</f>
        <v>79.999999999999986</v>
      </c>
      <c r="R11" s="707">
        <f>R66</f>
        <v>1.6</v>
      </c>
      <c r="S11" s="708">
        <f>AU12</f>
        <v>12</v>
      </c>
      <c r="T11" s="286">
        <f>T66</f>
        <v>70</v>
      </c>
      <c r="U11" s="707">
        <f>U66</f>
        <v>0.84</v>
      </c>
      <c r="V11" s="706"/>
      <c r="W11" s="705" t="s">
        <v>274</v>
      </c>
      <c r="X11" s="704">
        <v>2.5</v>
      </c>
      <c r="Y11" s="3864"/>
      <c r="Z11" s="672"/>
      <c r="AA11" s="703" t="s">
        <v>59</v>
      </c>
      <c r="AB11" s="702" t="s">
        <v>60</v>
      </c>
      <c r="AC11" s="701" t="s">
        <v>61</v>
      </c>
      <c r="AD11" s="700"/>
      <c r="AE11" s="3717" t="s">
        <v>44</v>
      </c>
      <c r="AF11" s="3717"/>
      <c r="AG11" s="3717"/>
      <c r="AH11" s="699">
        <f>AB10</f>
        <v>100</v>
      </c>
      <c r="AI11" s="384"/>
      <c r="AJ11" s="698">
        <f>AJ64</f>
        <v>27</v>
      </c>
      <c r="AK11" s="697">
        <f>AL65</f>
        <v>7.7884615384615365</v>
      </c>
      <c r="AL11" s="696">
        <f>AL64</f>
        <v>19.211538461538463</v>
      </c>
      <c r="AM11" s="695"/>
      <c r="AN11" s="694" t="s">
        <v>37</v>
      </c>
      <c r="AO11" s="3685"/>
      <c r="AP11" s="672"/>
      <c r="AQ11" s="7"/>
      <c r="AR11" s="3888"/>
      <c r="AS11" s="3900">
        <f>AC10</f>
        <v>36.4</v>
      </c>
      <c r="AT11" s="671" t="s">
        <v>56</v>
      </c>
      <c r="AU11" s="670">
        <v>20</v>
      </c>
      <c r="AV11" s="669">
        <v>80</v>
      </c>
      <c r="AW11" s="493">
        <f t="shared" si="0"/>
        <v>1.6</v>
      </c>
      <c r="AX11" s="693"/>
      <c r="AY11" s="692"/>
      <c r="AZ11" s="666"/>
      <c r="BA11" s="493">
        <f>IF(ISBLANK(AY11),0,(AA10/AX11)*AY11)</f>
        <v>0</v>
      </c>
      <c r="BB11" s="665">
        <f t="shared" si="1"/>
        <v>0</v>
      </c>
      <c r="BC11" s="664">
        <f t="shared" si="2"/>
        <v>0</v>
      </c>
      <c r="BD11" s="7"/>
      <c r="BE11" s="59"/>
      <c r="BF11" s="60" t="s">
        <v>51</v>
      </c>
      <c r="BG11" s="455" t="str">
        <f>LEFT(ADDRESS(1,COLUMN(AC12),4),LEN(ADDRESS(1,COLUMN(AC12),4))-1)</f>
        <v>AC</v>
      </c>
      <c r="BH11" s="7"/>
      <c r="BI11" s="3601"/>
      <c r="BJ11" s="3602"/>
      <c r="BK11" s="3603"/>
      <c r="BL11" s="356"/>
      <c r="BM11" s="381">
        <v>23.25</v>
      </c>
    </row>
    <row r="12" spans="1:65" ht="23.25" customHeight="1" thickTop="1">
      <c r="A12" s="3862"/>
      <c r="B12" s="691" t="s">
        <v>273</v>
      </c>
      <c r="C12" s="690"/>
      <c r="D12" s="689" t="s">
        <v>40</v>
      </c>
      <c r="E12" s="688" t="s">
        <v>41</v>
      </c>
      <c r="F12" s="687" t="s">
        <v>272</v>
      </c>
      <c r="G12" s="689" t="s">
        <v>40</v>
      </c>
      <c r="H12" s="688" t="s">
        <v>41</v>
      </c>
      <c r="I12" s="687" t="s">
        <v>272</v>
      </c>
      <c r="J12" s="689" t="s">
        <v>40</v>
      </c>
      <c r="K12" s="688" t="s">
        <v>41</v>
      </c>
      <c r="L12" s="687" t="s">
        <v>272</v>
      </c>
      <c r="M12" s="689" t="s">
        <v>40</v>
      </c>
      <c r="N12" s="688" t="s">
        <v>41</v>
      </c>
      <c r="O12" s="687" t="s">
        <v>272</v>
      </c>
      <c r="P12" s="689" t="s">
        <v>40</v>
      </c>
      <c r="Q12" s="688" t="s">
        <v>41</v>
      </c>
      <c r="R12" s="687" t="s">
        <v>272</v>
      </c>
      <c r="S12" s="689" t="s">
        <v>40</v>
      </c>
      <c r="T12" s="688" t="s">
        <v>41</v>
      </c>
      <c r="U12" s="687" t="s">
        <v>272</v>
      </c>
      <c r="V12" s="686" t="s">
        <v>272</v>
      </c>
      <c r="W12" s="685" t="s">
        <v>271</v>
      </c>
      <c r="X12" s="684">
        <f>X10*X11</f>
        <v>151.02706730769231</v>
      </c>
      <c r="Y12" s="3864"/>
      <c r="Z12" s="672"/>
      <c r="AA12" s="683" t="s">
        <v>270</v>
      </c>
      <c r="AB12" s="682" t="s">
        <v>41</v>
      </c>
      <c r="AC12" s="682" t="s">
        <v>65</v>
      </c>
      <c r="AD12" s="681" t="s">
        <v>269</v>
      </c>
      <c r="AE12" s="680" t="s">
        <v>268</v>
      </c>
      <c r="AF12" s="679" t="s">
        <v>267</v>
      </c>
      <c r="AG12" s="678"/>
      <c r="AH12" s="677" t="s">
        <v>40</v>
      </c>
      <c r="AI12" s="676" t="s">
        <v>41</v>
      </c>
      <c r="AJ12" s="676" t="s">
        <v>20</v>
      </c>
      <c r="AK12" s="430" t="s">
        <v>46</v>
      </c>
      <c r="AL12" s="675" t="s">
        <v>47</v>
      </c>
      <c r="AM12" s="674" t="s">
        <v>266</v>
      </c>
      <c r="AN12" s="673">
        <f>SUM(AN13:AN62)</f>
        <v>38.230219780219777</v>
      </c>
      <c r="AO12" s="3685"/>
      <c r="AP12" s="672"/>
      <c r="AQ12" s="7"/>
      <c r="AR12" s="3888"/>
      <c r="AS12" s="3900"/>
      <c r="AT12" s="671" t="s">
        <v>57</v>
      </c>
      <c r="AU12" s="670">
        <v>12</v>
      </c>
      <c r="AV12" s="669">
        <v>70</v>
      </c>
      <c r="AW12" s="493">
        <f t="shared" si="0"/>
        <v>0.84</v>
      </c>
      <c r="AX12" s="668"/>
      <c r="AY12" s="667"/>
      <c r="AZ12" s="666"/>
      <c r="BA12" s="493">
        <f>IF(ISBLANK(AY12),0,(AA10/AX12)*AY12)</f>
        <v>0</v>
      </c>
      <c r="BB12" s="665">
        <f t="shared" si="1"/>
        <v>0</v>
      </c>
      <c r="BC12" s="664">
        <f t="shared" si="2"/>
        <v>0</v>
      </c>
      <c r="BD12" s="7"/>
      <c r="BE12" s="74" t="s">
        <v>59</v>
      </c>
      <c r="BF12" s="75" t="s">
        <v>60</v>
      </c>
      <c r="BG12" s="663" t="s">
        <v>61</v>
      </c>
      <c r="BH12" s="7"/>
      <c r="BI12" s="3630" t="s">
        <v>265</v>
      </c>
      <c r="BJ12" s="3631"/>
      <c r="BK12" s="3632"/>
      <c r="BL12" s="356"/>
      <c r="BM12" s="381">
        <v>23.25</v>
      </c>
    </row>
    <row r="13" spans="1:65" ht="15" customHeight="1" thickBot="1">
      <c r="A13" s="3862"/>
      <c r="B13" s="551" t="str">
        <f t="shared" ref="B13:B44" si="3">AF13</f>
        <v>huile</v>
      </c>
      <c r="C13" s="546"/>
      <c r="D13" s="534">
        <f>IF(ISBLANK(AX7),(AA13/AS7)*AW7,(AA13/AX7)*AY7)</f>
        <v>0</v>
      </c>
      <c r="E13" s="533">
        <f t="shared" ref="E13:E44" si="4">AB13</f>
        <v>0</v>
      </c>
      <c r="F13" s="532">
        <f>IF(ISBLANK(AX7),(AD13/AS7)*AW7,(AD13/AX7)*AY7)</f>
        <v>1.3392857142857142</v>
      </c>
      <c r="G13" s="534">
        <f>IF(ISBLANK(AX8),(AA13/AS7)*AW8,(AA13/AX8)*AY8)</f>
        <v>0</v>
      </c>
      <c r="H13" s="533">
        <f t="shared" ref="H13:H44" si="5">AB13</f>
        <v>0</v>
      </c>
      <c r="I13" s="532">
        <f>IF(ISBLANK(AX8),(AD13/AS7)*AW8,(AD13/AX8)*AY8)</f>
        <v>14.999999999999998</v>
      </c>
      <c r="J13" s="534">
        <f>IF(ISBLANK(AX9),(AA13/AS7)*AW9,(AA13/AX9)*AY9)</f>
        <v>0</v>
      </c>
      <c r="K13" s="533">
        <f t="shared" ref="K13:K44" si="6">AB13</f>
        <v>0</v>
      </c>
      <c r="L13" s="532">
        <f>IF(ISBLANK(AX9),(AD13/AS7)*AW9,(AD13/AX9)*AY9)</f>
        <v>10.879120879120878</v>
      </c>
      <c r="M13" s="534">
        <f>IF(ISBLANK(AX10),(AA13/AS7)*AW10,(AA13/AX10)*AY10)</f>
        <v>0</v>
      </c>
      <c r="N13" s="533">
        <f t="shared" ref="N13:N44" si="7">AB13</f>
        <v>0</v>
      </c>
      <c r="O13" s="532">
        <f>IF(ISBLANK(AX10),(AD13/AS7)*AW10,(AD13/AX10)*AY10)</f>
        <v>5.9340659340659343</v>
      </c>
      <c r="P13" s="534">
        <f>IF(ISBLANK(AX11),(AA13/AS7)*AW11,(AA13/AX11)*AY11)</f>
        <v>0</v>
      </c>
      <c r="Q13" s="533">
        <f t="shared" ref="Q13:Q44" si="8">AB13</f>
        <v>0</v>
      </c>
      <c r="R13" s="532">
        <f>IF(ISBLANK(AX11),(AD13/AS7)*AW11,(AD13/AX11)*AY11)</f>
        <v>1.3186813186813187</v>
      </c>
      <c r="S13" s="534">
        <f>IF(ISBLANK(AX12),(AA13/AS7)*AW12,(AA13/AX12)*AY12)</f>
        <v>0</v>
      </c>
      <c r="T13" s="533">
        <f t="shared" ref="T13:T44" si="9">AB13</f>
        <v>0</v>
      </c>
      <c r="U13" s="532">
        <f>IF(ISBLANK(AX12),(AD13/AS7)*AW12,(AD13/AX12)*AY12)</f>
        <v>0.69230769230769229</v>
      </c>
      <c r="V13" s="531">
        <f t="shared" ref="V13:V44" si="10">SUM(F13,I13,L13,O13,R13,U13)</f>
        <v>35.16346153846154</v>
      </c>
      <c r="W13" s="530">
        <f t="shared" ref="W13:W44" si="11">SUM(D13,G13,J13,M13,P13,S13)</f>
        <v>0</v>
      </c>
      <c r="X13" s="529">
        <f t="shared" ref="X13:X44" si="12">IF(V13&lt;0.001,AM13*W13,AM13*V13)</f>
        <v>52.745192307692307</v>
      </c>
      <c r="Y13" s="3864"/>
      <c r="Z13" s="515"/>
      <c r="AA13" s="545"/>
      <c r="AB13" s="544"/>
      <c r="AC13" s="543">
        <v>3</v>
      </c>
      <c r="AD13" s="662">
        <f t="shared" ref="AD13:AD44" si="13">IF(ISBLANK(AA13),AC13,AA13*AC13)</f>
        <v>3</v>
      </c>
      <c r="AE13" s="541">
        <v>263551</v>
      </c>
      <c r="AF13" s="661" t="s">
        <v>69</v>
      </c>
      <c r="AG13" s="660"/>
      <c r="AH13" s="540">
        <f>IF(ISBLANK(AH9),(AA13/AD10)*AJ7,(AA13/AH9)*AI9)</f>
        <v>0</v>
      </c>
      <c r="AI13" s="539">
        <f t="shared" ref="AI13:AI44" si="14">AB13</f>
        <v>0</v>
      </c>
      <c r="AJ13" s="538">
        <f>IF(ISBLANK(AH9),(AD13/AD10)*AJ7,(AD13/AH9)*AI9)</f>
        <v>22.252747252747252</v>
      </c>
      <c r="AK13" s="518">
        <v>35</v>
      </c>
      <c r="AL13" s="537">
        <f t="shared" ref="AL13:AL44" si="15">IF(AD13=0,0,((AJ13-(AJ13*AK13%))))</f>
        <v>14.464285714285715</v>
      </c>
      <c r="AM13" s="516">
        <v>1.5</v>
      </c>
      <c r="AN13" s="372">
        <f t="shared" ref="AN13:AN44" si="16">IF(ISBLANK(AC13),AH13*AM13,AJ13*AM13)</f>
        <v>33.379120879120876</v>
      </c>
      <c r="AO13" s="3685"/>
      <c r="AP13" s="515"/>
      <c r="AQ13" s="378"/>
      <c r="AR13" s="571"/>
      <c r="AS13" s="570"/>
      <c r="AT13" s="570"/>
      <c r="AU13" s="570"/>
      <c r="AV13" s="570"/>
      <c r="AW13" s="658"/>
      <c r="AX13" s="659"/>
      <c r="AY13" s="658"/>
      <c r="AZ13" s="657" t="s">
        <v>264</v>
      </c>
      <c r="BA13" s="656">
        <f>IF(ISBLANK(AY7),AW7,BA7)+IF(ISBLANK(AY8),AW8,BA8)+IF(ISBLANK(AY9),AW9,BA9)+IF(ISBLANK(AY10),AW10,BA10)+IF(ISBLANK(AY11),AW11,BA11)+IF(ISBLANK(AY12),AW12,BA12)</f>
        <v>42.665000000000006</v>
      </c>
      <c r="BB13" s="656"/>
      <c r="BC13" s="655"/>
      <c r="BD13" s="654"/>
      <c r="BE13" s="3718" t="s">
        <v>64</v>
      </c>
      <c r="BF13" s="3650" t="s">
        <v>41</v>
      </c>
      <c r="BG13" s="3652" t="s">
        <v>65</v>
      </c>
      <c r="BH13" s="7"/>
      <c r="BI13" s="3630"/>
      <c r="BJ13" s="3631"/>
      <c r="BK13" s="3632"/>
      <c r="BL13" s="356"/>
      <c r="BM13" s="381">
        <v>15</v>
      </c>
    </row>
    <row r="14" spans="1:65" ht="15" customHeight="1" thickBot="1">
      <c r="A14" s="3862"/>
      <c r="B14" s="551" t="str">
        <f t="shared" si="3"/>
        <v>vinaigre de vin</v>
      </c>
      <c r="C14" s="546"/>
      <c r="D14" s="534">
        <f>IF(ISBLANK(AX7),(AA14/AS7)*AW7,(AA14/AX7)*AY7)</f>
        <v>0</v>
      </c>
      <c r="E14" s="533">
        <f t="shared" si="4"/>
        <v>0</v>
      </c>
      <c r="F14" s="532">
        <f>IF(ISBLANK(AX7),(AD14/AS7)*AW7,(AD14/AX7)*AY7)</f>
        <v>0.2232142857142857</v>
      </c>
      <c r="G14" s="534">
        <f>IF(ISBLANK(AX8),(AA14/AS7)*AW8,(AA14/AX8)*AY8)</f>
        <v>0</v>
      </c>
      <c r="H14" s="533">
        <f t="shared" si="5"/>
        <v>0</v>
      </c>
      <c r="I14" s="532">
        <f>IF(ISBLANK(AX8),(AD14/AS7)*AW8,(AD14/AX8)*AY8)</f>
        <v>2.4999999999999996</v>
      </c>
      <c r="J14" s="534">
        <f>IF(ISBLANK(AX9),(AA14/AS7)*AW9,(AA14/AX9)*AY9)</f>
        <v>0</v>
      </c>
      <c r="K14" s="533">
        <f t="shared" si="6"/>
        <v>0</v>
      </c>
      <c r="L14" s="532">
        <f>IF(ISBLANK(AX9),(AD14/AS7)*AW9,(AD14/AX9)*AY9)</f>
        <v>1.813186813186813</v>
      </c>
      <c r="M14" s="534">
        <f>IF(ISBLANK(AX10),(AA14/AS7)*AW10,(AA14/AX10)*AY10)</f>
        <v>0</v>
      </c>
      <c r="N14" s="533">
        <f t="shared" si="7"/>
        <v>0</v>
      </c>
      <c r="O14" s="532">
        <f>IF(ISBLANK(AX10),(AD14/AS7)*AW10,(AD14/AX10)*AY10)</f>
        <v>0.98901098901098894</v>
      </c>
      <c r="P14" s="534">
        <f>IF(ISBLANK(AX11),(AA14/AS7)*AW11,(AA14/AX11)*AY11)</f>
        <v>0</v>
      </c>
      <c r="Q14" s="533">
        <f t="shared" si="8"/>
        <v>0</v>
      </c>
      <c r="R14" s="532">
        <f>IF(ISBLANK(AX11),(AD14/AS7)*AW11,(AD14/AX11)*AY11)</f>
        <v>0.21978021978021978</v>
      </c>
      <c r="S14" s="534">
        <f>IF(ISBLANK(AX12),(AA14/AS7)*AW12,(AA14/AX12)*AY12)</f>
        <v>0</v>
      </c>
      <c r="T14" s="533">
        <f t="shared" si="9"/>
        <v>0</v>
      </c>
      <c r="U14" s="532">
        <f>IF(ISBLANK(AX12),(AD14/AS7)*AW12,(AD14/AX12)*AY12)</f>
        <v>0.11538461538461536</v>
      </c>
      <c r="V14" s="531">
        <f t="shared" si="10"/>
        <v>5.8605769230769225</v>
      </c>
      <c r="W14" s="530">
        <f t="shared" si="11"/>
        <v>0</v>
      </c>
      <c r="X14" s="529">
        <f t="shared" si="12"/>
        <v>5.8605769230769225</v>
      </c>
      <c r="Y14" s="3864"/>
      <c r="Z14" s="515"/>
      <c r="AA14" s="528"/>
      <c r="AB14" s="527"/>
      <c r="AC14" s="526">
        <v>0.5</v>
      </c>
      <c r="AD14" s="525">
        <f t="shared" si="13"/>
        <v>0.5</v>
      </c>
      <c r="AE14" s="524"/>
      <c r="AF14" s="523" t="s">
        <v>263</v>
      </c>
      <c r="AG14" s="522"/>
      <c r="AH14" s="521">
        <f>IF(ISBLANK(AH9),(AA14/AD10)*AJ7,(AA14/AH9)*AI9)</f>
        <v>0</v>
      </c>
      <c r="AI14" s="520">
        <f t="shared" si="14"/>
        <v>0</v>
      </c>
      <c r="AJ14" s="519">
        <f>IF(ISBLANK(AH9),(AD14/AD10)*AJ7,(AD14/AH9)*AI9)</f>
        <v>3.7087912087912085</v>
      </c>
      <c r="AK14" s="518"/>
      <c r="AL14" s="517">
        <f t="shared" si="15"/>
        <v>3.7087912087912085</v>
      </c>
      <c r="AM14" s="516">
        <v>1</v>
      </c>
      <c r="AN14" s="372">
        <f t="shared" si="16"/>
        <v>3.7087912087912085</v>
      </c>
      <c r="AO14" s="3685"/>
      <c r="AP14" s="515"/>
      <c r="AQ14" s="378"/>
      <c r="AZ14" s="653" t="s">
        <v>262</v>
      </c>
      <c r="BA14" s="652" t="s">
        <v>261</v>
      </c>
      <c r="BB14" s="7"/>
      <c r="BC14" s="7"/>
      <c r="BD14" s="7"/>
      <c r="BE14" s="3719"/>
      <c r="BF14" s="3651"/>
      <c r="BG14" s="3653"/>
      <c r="BH14" s="7"/>
      <c r="BI14" s="3630"/>
      <c r="BJ14" s="3631"/>
      <c r="BK14" s="3632"/>
      <c r="BL14" s="356"/>
      <c r="BM14" s="381">
        <v>15</v>
      </c>
    </row>
    <row r="15" spans="1:65" ht="15" customHeight="1">
      <c r="A15" s="3862"/>
      <c r="B15" s="551" t="str">
        <f t="shared" si="3"/>
        <v>moutarde</v>
      </c>
      <c r="C15" s="546"/>
      <c r="D15" s="534">
        <f>IF(ISBLANK(AX7),(AA15/AS7)*AW7,(AA15/AX7)*AY7)</f>
        <v>0</v>
      </c>
      <c r="E15" s="533">
        <f t="shared" si="4"/>
        <v>0</v>
      </c>
      <c r="F15" s="532">
        <f>IF(ISBLANK(AX7),(AD15/AS7)*AW7,(AD15/AX7)*AY7)</f>
        <v>5.5803571428571425E-2</v>
      </c>
      <c r="G15" s="534">
        <f>IF(ISBLANK(AX8),(AA15/AS7)*AW8,(AA15/AX8)*AY8)</f>
        <v>0</v>
      </c>
      <c r="H15" s="533">
        <f t="shared" si="5"/>
        <v>0</v>
      </c>
      <c r="I15" s="532">
        <f>IF(ISBLANK(AX8),(AD15/AS7)*AW8,(AD15/AX8)*AY8)</f>
        <v>0.62499999999999989</v>
      </c>
      <c r="J15" s="534">
        <f>IF(ISBLANK(AX9),(AA15/AS7)*AW9,(AA15/AX9)*AY9)</f>
        <v>0</v>
      </c>
      <c r="K15" s="533">
        <f t="shared" si="6"/>
        <v>0</v>
      </c>
      <c r="L15" s="532">
        <f>IF(ISBLANK(AX9),(AD15/AS7)*AW9,(AD15/AX9)*AY9)</f>
        <v>0.45329670329670324</v>
      </c>
      <c r="M15" s="534">
        <f>IF(ISBLANK(AX10),(AA15/AS7)*AW10,(AA15/AX10)*AY10)</f>
        <v>0</v>
      </c>
      <c r="N15" s="533">
        <f t="shared" si="7"/>
        <v>0</v>
      </c>
      <c r="O15" s="532">
        <f>IF(ISBLANK(AX10),(AD15/AS7)*AW10,(AD15/AX10)*AY10)</f>
        <v>0.24725274725274723</v>
      </c>
      <c r="P15" s="534">
        <f>IF(ISBLANK(AX11),(AA15/AS7)*AW11,(AA15/AX11)*AY11)</f>
        <v>0</v>
      </c>
      <c r="Q15" s="533">
        <f t="shared" si="8"/>
        <v>0</v>
      </c>
      <c r="R15" s="532">
        <f>IF(ISBLANK(AX11),(AD15/AS7)*AW11,(AD15/AX11)*AY11)</f>
        <v>5.4945054945054944E-2</v>
      </c>
      <c r="S15" s="534">
        <f>IF(ISBLANK(AX12),(AA15/AS7)*AW12,(AA15/AX12)*AY12)</f>
        <v>0</v>
      </c>
      <c r="T15" s="533">
        <f t="shared" si="9"/>
        <v>0</v>
      </c>
      <c r="U15" s="532">
        <f>IF(ISBLANK(AX12),(AD15/AS7)*AW12,(AD15/AX12)*AY12)</f>
        <v>2.8846153846153841E-2</v>
      </c>
      <c r="V15" s="531">
        <f t="shared" si="10"/>
        <v>1.4651442307692306</v>
      </c>
      <c r="W15" s="530">
        <f t="shared" si="11"/>
        <v>0</v>
      </c>
      <c r="X15" s="529">
        <f t="shared" si="12"/>
        <v>1.4651442307692306</v>
      </c>
      <c r="Y15" s="3864"/>
      <c r="Z15" s="515"/>
      <c r="AA15" s="545"/>
      <c r="AB15" s="544"/>
      <c r="AC15" s="543">
        <v>0.125</v>
      </c>
      <c r="AD15" s="542">
        <f t="shared" si="13"/>
        <v>0.125</v>
      </c>
      <c r="AE15" s="541">
        <v>2124568</v>
      </c>
      <c r="AF15" s="523" t="s">
        <v>260</v>
      </c>
      <c r="AG15" s="522"/>
      <c r="AH15" s="540">
        <f>IF(ISBLANK(AH9),(AA15/AD10)*AJ7,(AA15/AH9)*AI9)</f>
        <v>0</v>
      </c>
      <c r="AI15" s="539">
        <f t="shared" si="14"/>
        <v>0</v>
      </c>
      <c r="AJ15" s="538">
        <f>IF(ISBLANK(AH9),(AD15/AD10)*AJ7,(AD15/AH9)*AI9)</f>
        <v>0.92719780219780212</v>
      </c>
      <c r="AK15" s="518"/>
      <c r="AL15" s="537">
        <f t="shared" si="15"/>
        <v>0.92719780219780212</v>
      </c>
      <c r="AM15" s="516">
        <v>1</v>
      </c>
      <c r="AN15" s="372">
        <f t="shared" si="16"/>
        <v>0.92719780219780212</v>
      </c>
      <c r="AO15" s="3685"/>
      <c r="AP15" s="515"/>
      <c r="AQ15" s="378"/>
      <c r="AR15" s="651" t="s">
        <v>259</v>
      </c>
      <c r="AS15" s="650"/>
      <c r="AT15" s="650"/>
      <c r="AU15" s="650"/>
      <c r="AV15" s="650"/>
      <c r="AW15" s="650"/>
      <c r="AX15" s="650"/>
      <c r="AY15" s="650"/>
      <c r="AZ15" s="649"/>
      <c r="BA15" s="7"/>
      <c r="BB15" s="7"/>
      <c r="BC15" s="7"/>
      <c r="BD15" s="7"/>
      <c r="BE15" s="126">
        <v>2</v>
      </c>
      <c r="BF15" s="127" t="s">
        <v>71</v>
      </c>
      <c r="BG15" s="633">
        <v>0.05</v>
      </c>
      <c r="BH15" s="7"/>
      <c r="BI15" s="3630" t="s">
        <v>258</v>
      </c>
      <c r="BJ15" s="3631"/>
      <c r="BK15" s="3632"/>
      <c r="BL15" s="356"/>
      <c r="BM15" s="381">
        <v>15</v>
      </c>
    </row>
    <row r="16" spans="1:65" ht="15" customHeight="1">
      <c r="A16" s="3862"/>
      <c r="B16" s="551" t="str">
        <f t="shared" si="3"/>
        <v>sel</v>
      </c>
      <c r="C16" s="546"/>
      <c r="D16" s="534">
        <f>IF(ISBLANK(AX7),(AA16/AS7)*AW7,(AA16/AX7)*AY7)</f>
        <v>0</v>
      </c>
      <c r="E16" s="533">
        <f t="shared" si="4"/>
        <v>0</v>
      </c>
      <c r="F16" s="532">
        <f>IF(ISBLANK(AX7),(AD16/AS7)*AW7,(AD16/AX7)*AY7)</f>
        <v>6.6964285714285719E-3</v>
      </c>
      <c r="G16" s="534">
        <f>IF(ISBLANK(AX8),(AA16/AS7)*AW8,(AA16/AX8)*AY8)</f>
        <v>0</v>
      </c>
      <c r="H16" s="533">
        <f t="shared" si="5"/>
        <v>0</v>
      </c>
      <c r="I16" s="532">
        <f>IF(ISBLANK(AX8),(AD16/AS7)*AW8,(AD16/AX8)*AY8)</f>
        <v>7.4999999999999997E-2</v>
      </c>
      <c r="J16" s="534">
        <f>IF(ISBLANK(AX9),(AA16/AS7)*AW9,(AA16/AX9)*AY9)</f>
        <v>0</v>
      </c>
      <c r="K16" s="533">
        <f t="shared" si="6"/>
        <v>0</v>
      </c>
      <c r="L16" s="532">
        <f>IF(ISBLANK(AX9),(AD16/AS7)*AW9,(AD16/AX9)*AY9)</f>
        <v>5.4395604395604397E-2</v>
      </c>
      <c r="M16" s="534">
        <f>IF(ISBLANK(AX10),(AA16/AS7)*AW10,(AA16/AX10)*AY10)</f>
        <v>0</v>
      </c>
      <c r="N16" s="533">
        <f t="shared" si="7"/>
        <v>0</v>
      </c>
      <c r="O16" s="532">
        <f>IF(ISBLANK(AX10),(AD16/AS7)*AW10,(AD16/AX10)*AY10)</f>
        <v>2.9670329670329672E-2</v>
      </c>
      <c r="P16" s="534">
        <f>IF(ISBLANK(AX11),(AA16/AS7)*AW11,(AA16/AX11)*AY11)</f>
        <v>0</v>
      </c>
      <c r="Q16" s="533">
        <f t="shared" si="8"/>
        <v>0</v>
      </c>
      <c r="R16" s="532">
        <f>IF(ISBLANK(AX11),(AD16/AS7)*AW11,(AD16/AX11)*AY11)</f>
        <v>6.5934065934065943E-3</v>
      </c>
      <c r="S16" s="534">
        <f>IF(ISBLANK(AX12),(AA16/AS7)*AW12,(AA16/AX12)*AY12)</f>
        <v>0</v>
      </c>
      <c r="T16" s="533">
        <f t="shared" si="9"/>
        <v>0</v>
      </c>
      <c r="U16" s="532">
        <f>IF(ISBLANK(AX12),(AD16/AS7)*AW12,(AD16/AX12)*AY12)</f>
        <v>3.4615384615384616E-3</v>
      </c>
      <c r="V16" s="531">
        <f t="shared" si="10"/>
        <v>0.17581730769230772</v>
      </c>
      <c r="W16" s="530">
        <f t="shared" si="11"/>
        <v>0</v>
      </c>
      <c r="X16" s="529">
        <f t="shared" si="12"/>
        <v>0.17581730769230772</v>
      </c>
      <c r="Y16" s="3864"/>
      <c r="Z16" s="515"/>
      <c r="AA16" s="528"/>
      <c r="AB16" s="527"/>
      <c r="AC16" s="526">
        <v>1.4999999999999999E-2</v>
      </c>
      <c r="AD16" s="525">
        <f t="shared" si="13"/>
        <v>1.4999999999999999E-2</v>
      </c>
      <c r="AE16" s="524"/>
      <c r="AF16" s="523" t="s">
        <v>257</v>
      </c>
      <c r="AG16" s="522"/>
      <c r="AH16" s="521">
        <f>IF(ISBLANK(AH9),(AA16/AD10)*AJ7,(AA16/AH9)*AI9)</f>
        <v>0</v>
      </c>
      <c r="AI16" s="520">
        <f t="shared" si="14"/>
        <v>0</v>
      </c>
      <c r="AJ16" s="519">
        <f>IF(ISBLANK(AH9),(AD16/AD10)*AJ7,(AD16/AH9)*AI9)</f>
        <v>0.11126373626373627</v>
      </c>
      <c r="AK16" s="518"/>
      <c r="AL16" s="517">
        <f t="shared" si="15"/>
        <v>0.11126373626373627</v>
      </c>
      <c r="AM16" s="516">
        <v>1</v>
      </c>
      <c r="AN16" s="372">
        <f t="shared" si="16"/>
        <v>0.11126373626373627</v>
      </c>
      <c r="AO16" s="3685"/>
      <c r="AP16" s="515"/>
      <c r="AQ16" s="378"/>
      <c r="AR16" s="648"/>
      <c r="AS16" s="356"/>
      <c r="AT16" s="356"/>
      <c r="AU16" s="378"/>
      <c r="AV16" s="378"/>
      <c r="AW16" s="647" t="s">
        <v>256</v>
      </c>
      <c r="AX16" s="3642" t="s">
        <v>255</v>
      </c>
      <c r="AY16" s="3642"/>
      <c r="AZ16" s="646"/>
      <c r="BA16" s="7"/>
      <c r="BB16" s="7"/>
      <c r="BC16" s="7"/>
      <c r="BD16" s="7"/>
      <c r="BE16" s="145"/>
      <c r="BF16" s="146" t="s">
        <v>73</v>
      </c>
      <c r="BG16" s="635"/>
      <c r="BH16" s="7"/>
      <c r="BI16" s="3630"/>
      <c r="BJ16" s="3631"/>
      <c r="BK16" s="3632"/>
      <c r="BL16" s="356"/>
      <c r="BM16" s="381">
        <v>15</v>
      </c>
    </row>
    <row r="17" spans="1:65" ht="15" customHeight="1">
      <c r="A17" s="3862"/>
      <c r="B17" s="551" t="str">
        <f t="shared" si="3"/>
        <v>poivre</v>
      </c>
      <c r="C17" s="546"/>
      <c r="D17" s="534">
        <f>IF(ISBLANK(AX7),(AA17/AS7)*AW7,(AA17/AX7)*AY7)</f>
        <v>0.4464285714285714</v>
      </c>
      <c r="E17" s="533" t="str">
        <f t="shared" si="4"/>
        <v>pincée(s)</v>
      </c>
      <c r="F17" s="532">
        <f>IF(ISBLANK(AX7),(AD17/AS7)*AW7,(AD17/AX7)*AY7)</f>
        <v>0</v>
      </c>
      <c r="G17" s="534">
        <f>IF(ISBLANK(AX8),(AA17/AS7)*AW8,(AA17/AX8)*AY8)</f>
        <v>4.9999999999999991</v>
      </c>
      <c r="H17" s="533" t="str">
        <f t="shared" si="5"/>
        <v>pincée(s)</v>
      </c>
      <c r="I17" s="532">
        <f>IF(ISBLANK(AX8),(AD17/AS7)*AW8,(AD17/AX8)*AY8)</f>
        <v>0</v>
      </c>
      <c r="J17" s="534">
        <f>IF(ISBLANK(AX9),(AA17/AS7)*AW9,(AA17/AX9)*AY9)</f>
        <v>3.6263736263736259</v>
      </c>
      <c r="K17" s="533" t="str">
        <f t="shared" si="6"/>
        <v>pincée(s)</v>
      </c>
      <c r="L17" s="532">
        <f>IF(ISBLANK(AX9),(AD17/AS7)*AW9,(AD17/AX9)*AY9)</f>
        <v>0</v>
      </c>
      <c r="M17" s="534">
        <f>IF(ISBLANK(AX10),(AA17/AS7)*AW10,(AA17/AX10)*AY10)</f>
        <v>1.9780219780219779</v>
      </c>
      <c r="N17" s="533" t="str">
        <f t="shared" si="7"/>
        <v>pincée(s)</v>
      </c>
      <c r="O17" s="532">
        <f>IF(ISBLANK(AX10),(AD17/AS7)*AW10,(AD17/AX10)*AY10)</f>
        <v>0</v>
      </c>
      <c r="P17" s="534">
        <f>IF(ISBLANK(AX11),(AA17/AS7)*AW11,(AA17/AX11)*AY11)</f>
        <v>0.43956043956043955</v>
      </c>
      <c r="Q17" s="533" t="str">
        <f t="shared" si="8"/>
        <v>pincée(s)</v>
      </c>
      <c r="R17" s="532">
        <f>IF(ISBLANK(AX11),(AD17/AS7)*AW11,(AD17/AX11)*AY11)</f>
        <v>0</v>
      </c>
      <c r="S17" s="534">
        <f>IF(ISBLANK(AX12),(AA17/AS7)*AW12,(AA17/AX12)*AY12)</f>
        <v>0.23076923076923073</v>
      </c>
      <c r="T17" s="533" t="str">
        <f t="shared" si="9"/>
        <v>pincée(s)</v>
      </c>
      <c r="U17" s="532">
        <f>IF(ISBLANK(AX12),(AD17/AS7)*AW12,(AD17/AX12)*AY12)</f>
        <v>0</v>
      </c>
      <c r="V17" s="531">
        <f t="shared" si="10"/>
        <v>0</v>
      </c>
      <c r="W17" s="530">
        <f t="shared" si="11"/>
        <v>11.721153846153845</v>
      </c>
      <c r="X17" s="529">
        <f t="shared" si="12"/>
        <v>2.3442307692307689E-2</v>
      </c>
      <c r="Y17" s="3864"/>
      <c r="Z17" s="515"/>
      <c r="AA17" s="545">
        <v>1</v>
      </c>
      <c r="AB17" s="544" t="s">
        <v>254</v>
      </c>
      <c r="AC17" s="543"/>
      <c r="AD17" s="542">
        <f t="shared" si="13"/>
        <v>0</v>
      </c>
      <c r="AE17" s="541"/>
      <c r="AF17" s="523" t="s">
        <v>253</v>
      </c>
      <c r="AG17" s="522"/>
      <c r="AH17" s="540">
        <f>IF(ISBLANK(AH9),(AA17/AD10)*AJ7,(AA17/AH9)*AI9)</f>
        <v>7.417582417582417</v>
      </c>
      <c r="AI17" s="539" t="str">
        <f t="shared" si="14"/>
        <v>pincée(s)</v>
      </c>
      <c r="AJ17" s="538">
        <f>IF(ISBLANK(AH9),(AD17/AD10)*AJ7,(AD17/AH9)*AI9)</f>
        <v>0</v>
      </c>
      <c r="AK17" s="518"/>
      <c r="AL17" s="537">
        <f t="shared" si="15"/>
        <v>0</v>
      </c>
      <c r="AM17" s="642">
        <v>2E-3</v>
      </c>
      <c r="AN17" s="372">
        <f t="shared" si="16"/>
        <v>1.4835164835164835E-2</v>
      </c>
      <c r="AO17" s="3685"/>
      <c r="AP17" s="515"/>
      <c r="AQ17" s="378"/>
      <c r="AR17" s="645"/>
      <c r="AS17" s="590"/>
      <c r="AT17" s="590"/>
      <c r="AU17" s="644"/>
      <c r="AV17" s="590"/>
      <c r="AW17" s="644"/>
      <c r="AX17" s="643"/>
      <c r="AY17" s="643"/>
      <c r="AZ17" s="608"/>
      <c r="BA17" s="378"/>
      <c r="BB17" s="378"/>
      <c r="BC17" s="378"/>
      <c r="BD17" s="378"/>
      <c r="BE17" s="126"/>
      <c r="BF17" s="127"/>
      <c r="BG17" s="633">
        <v>0.15</v>
      </c>
      <c r="BH17" s="378"/>
      <c r="BI17" s="3630"/>
      <c r="BJ17" s="3631"/>
      <c r="BK17" s="3632"/>
      <c r="BL17" s="356"/>
      <c r="BM17" s="381">
        <v>15</v>
      </c>
    </row>
    <row r="18" spans="1:65" ht="15" customHeight="1">
      <c r="A18" s="3862"/>
      <c r="B18" s="551" t="str">
        <f t="shared" si="3"/>
        <v xml:space="preserve">Clous de girofle </v>
      </c>
      <c r="C18" s="546"/>
      <c r="D18" s="534">
        <f>IF(ISBLANK(AX7),(AA18/AS7)*AW7,(AA18/AX7)*AY7)</f>
        <v>5.3571428571428568</v>
      </c>
      <c r="E18" s="533" t="str">
        <f t="shared" si="4"/>
        <v>clous</v>
      </c>
      <c r="F18" s="532">
        <f>IF(ISBLANK(AX7),(AD18/AS7)*AW7,(AD18/AX7)*AY7)</f>
        <v>0</v>
      </c>
      <c r="G18" s="534">
        <f>IF(ISBLANK(AX8),(AA18/AS7)*AW8,(AA18/AX8)*AY8)</f>
        <v>59.999999999999993</v>
      </c>
      <c r="H18" s="533" t="str">
        <f t="shared" si="5"/>
        <v>clous</v>
      </c>
      <c r="I18" s="532">
        <f>IF(ISBLANK(AX8),(AD18/AS7)*AW8,(AD18/AX8)*AY8)</f>
        <v>0</v>
      </c>
      <c r="J18" s="534">
        <f>IF(ISBLANK(AX9),(AA18/AS7)*AW9,(AA18/AX9)*AY9)</f>
        <v>43.516483516483511</v>
      </c>
      <c r="K18" s="533" t="str">
        <f t="shared" si="6"/>
        <v>clous</v>
      </c>
      <c r="L18" s="532">
        <f>IF(ISBLANK(AX9),(AD18/AS7)*AW9,(AD18/AX9)*AY9)</f>
        <v>0</v>
      </c>
      <c r="M18" s="534">
        <f>IF(ISBLANK(AX10),(AA18/AS7)*AW10,(AA18/AX10)*AY10)</f>
        <v>23.736263736263737</v>
      </c>
      <c r="N18" s="533" t="str">
        <f t="shared" si="7"/>
        <v>clous</v>
      </c>
      <c r="O18" s="532">
        <f>IF(ISBLANK(AX10),(AD18/AS7)*AW10,(AD18/AX10)*AY10)</f>
        <v>0</v>
      </c>
      <c r="P18" s="534">
        <f>IF(ISBLANK(AX11),(AA18/AS7)*AW11,(AA18/AX11)*AY11)</f>
        <v>5.2747252747252746</v>
      </c>
      <c r="Q18" s="533" t="str">
        <f t="shared" si="8"/>
        <v>clous</v>
      </c>
      <c r="R18" s="532">
        <f>IF(ISBLANK(AX11),(AD18/AS7)*AW11,(AD18/AX11)*AY11)</f>
        <v>0</v>
      </c>
      <c r="S18" s="534">
        <f>IF(ISBLANK(AX12),(AA18/AS7)*AW12,(AA18/AX12)*AY12)</f>
        <v>2.7692307692307692</v>
      </c>
      <c r="T18" s="533" t="str">
        <f t="shared" si="9"/>
        <v>clous</v>
      </c>
      <c r="U18" s="532">
        <f>IF(ISBLANK(AX12),(AD18/AS7)*AW12,(AD18/AX12)*AY12)</f>
        <v>0</v>
      </c>
      <c r="V18" s="531">
        <f t="shared" si="10"/>
        <v>0</v>
      </c>
      <c r="W18" s="530">
        <f t="shared" si="11"/>
        <v>140.65384615384616</v>
      </c>
      <c r="X18" s="529">
        <f t="shared" si="12"/>
        <v>0.14065384615384616</v>
      </c>
      <c r="Y18" s="3864"/>
      <c r="Z18" s="515"/>
      <c r="AA18" s="528">
        <v>12</v>
      </c>
      <c r="AB18" s="527" t="s">
        <v>252</v>
      </c>
      <c r="AC18" s="526"/>
      <c r="AD18" s="525">
        <f t="shared" si="13"/>
        <v>0</v>
      </c>
      <c r="AE18" s="524"/>
      <c r="AF18" s="523" t="s">
        <v>251</v>
      </c>
      <c r="AG18" s="522"/>
      <c r="AH18" s="521">
        <f>IF(ISBLANK(AH9),(AA18/AD10)*AJ7,(AA18/AH9)*AI9)</f>
        <v>89.010989010989007</v>
      </c>
      <c r="AI18" s="520" t="str">
        <f t="shared" si="14"/>
        <v>clous</v>
      </c>
      <c r="AJ18" s="519">
        <f>IF(ISBLANK(AH9),(AD18/AD10)*AJ7,(AD18/AH9)*AI9)</f>
        <v>0</v>
      </c>
      <c r="AK18" s="518"/>
      <c r="AL18" s="517">
        <f t="shared" si="15"/>
        <v>0</v>
      </c>
      <c r="AM18" s="642">
        <v>1E-3</v>
      </c>
      <c r="AN18" s="372">
        <f t="shared" si="16"/>
        <v>8.9010989010989014E-2</v>
      </c>
      <c r="AO18" s="3685"/>
      <c r="AP18" s="515"/>
      <c r="AQ18" s="378"/>
      <c r="AR18" s="639" t="s">
        <v>250</v>
      </c>
      <c r="AS18" s="378"/>
      <c r="AT18" s="378"/>
      <c r="AU18" s="638" t="s">
        <v>249</v>
      </c>
      <c r="AV18" s="378"/>
      <c r="AW18" s="638" t="s">
        <v>242</v>
      </c>
      <c r="AX18" s="641"/>
      <c r="AY18" s="641"/>
      <c r="AZ18" s="640"/>
      <c r="BA18" s="378"/>
      <c r="BB18" s="378"/>
      <c r="BC18" s="378"/>
      <c r="BD18" s="378"/>
      <c r="BE18" s="145"/>
      <c r="BF18" s="146" t="s">
        <v>77</v>
      </c>
      <c r="BG18" s="635"/>
      <c r="BH18" s="378"/>
      <c r="BI18" s="3630" t="s">
        <v>248</v>
      </c>
      <c r="BJ18" s="3631"/>
      <c r="BK18" s="3632"/>
      <c r="BL18" s="356"/>
      <c r="BM18" s="381">
        <v>15</v>
      </c>
    </row>
    <row r="19" spans="1:65" ht="15" customHeight="1">
      <c r="A19" s="3862"/>
      <c r="B19" s="551">
        <f t="shared" si="3"/>
        <v>0</v>
      </c>
      <c r="C19" s="546"/>
      <c r="D19" s="534">
        <f>IF(ISBLANK(AX7),(AA19/AS7)*AW7,(AA19/AX7)*AY7)</f>
        <v>0</v>
      </c>
      <c r="E19" s="533">
        <f t="shared" si="4"/>
        <v>0</v>
      </c>
      <c r="F19" s="532">
        <f>IF(ISBLANK(AX7),(AD19/AS7)*AW7,(AD19/AX7)*AY7)</f>
        <v>0</v>
      </c>
      <c r="G19" s="534">
        <f>IF(ISBLANK(AX8),(AA19/AS7)*AW8,(AA19/AX8)*AY8)</f>
        <v>0</v>
      </c>
      <c r="H19" s="533">
        <f t="shared" si="5"/>
        <v>0</v>
      </c>
      <c r="I19" s="532">
        <f>IF(ISBLANK(AX8),(AD19/AS7)*AW8,(AD19/AX8)*AY8)</f>
        <v>0</v>
      </c>
      <c r="J19" s="534">
        <f>IF(ISBLANK(AX9),(AA19/AS7)*AW9,(AA19/AX9)*AY9)</f>
        <v>0</v>
      </c>
      <c r="K19" s="533">
        <f t="shared" si="6"/>
        <v>0</v>
      </c>
      <c r="L19" s="532">
        <f>IF(ISBLANK(AX9),(AD19/AS7)*AW9,(AD19/AX9)*AY9)</f>
        <v>0</v>
      </c>
      <c r="M19" s="534">
        <f>IF(ISBLANK(AX10),(AA19/AS7)*AW10,(AA19/AX10)*AY10)</f>
        <v>0</v>
      </c>
      <c r="N19" s="533">
        <f t="shared" si="7"/>
        <v>0</v>
      </c>
      <c r="O19" s="532">
        <f>IF(ISBLANK(AX10),(AD19/AS7)*AW10,(AD19/AX10)*AY10)</f>
        <v>0</v>
      </c>
      <c r="P19" s="534">
        <f>IF(ISBLANK(AX11),(AA19/AS7)*AW11,(AA19/AX11)*AY11)</f>
        <v>0</v>
      </c>
      <c r="Q19" s="533">
        <f t="shared" si="8"/>
        <v>0</v>
      </c>
      <c r="R19" s="532">
        <f>IF(ISBLANK(AX11),(AD19/AS7)*AW11,(AD19/AX11)*AY11)</f>
        <v>0</v>
      </c>
      <c r="S19" s="534">
        <f>IF(ISBLANK(AX12),(AA19/AS7)*AW12,(AA19/AX12)*AY12)</f>
        <v>0</v>
      </c>
      <c r="T19" s="533">
        <f t="shared" si="9"/>
        <v>0</v>
      </c>
      <c r="U19" s="532">
        <f>IF(ISBLANK(AX12),(AD19/AS7)*AW12,(AD19/AX12)*AY12)</f>
        <v>0</v>
      </c>
      <c r="V19" s="531">
        <f t="shared" si="10"/>
        <v>0</v>
      </c>
      <c r="W19" s="530">
        <f t="shared" si="11"/>
        <v>0</v>
      </c>
      <c r="X19" s="529">
        <f t="shared" si="12"/>
        <v>0</v>
      </c>
      <c r="Y19" s="3864"/>
      <c r="Z19" s="515"/>
      <c r="AA19" s="545"/>
      <c r="AB19" s="544"/>
      <c r="AC19" s="543"/>
      <c r="AD19" s="542">
        <f t="shared" si="13"/>
        <v>0</v>
      </c>
      <c r="AE19" s="541"/>
      <c r="AF19" s="523"/>
      <c r="AG19" s="522"/>
      <c r="AH19" s="540">
        <f>IF(ISBLANK(AH9),(AA19/AD10)*AJ7,(AA19/AH9)*AI9)</f>
        <v>0</v>
      </c>
      <c r="AI19" s="539">
        <f t="shared" si="14"/>
        <v>0</v>
      </c>
      <c r="AJ19" s="538">
        <f>IF(ISBLANK(AH9),(AD19/AD10)*AJ7,(AD19/AH9)*AI9)</f>
        <v>0</v>
      </c>
      <c r="AK19" s="518"/>
      <c r="AL19" s="537">
        <f t="shared" si="15"/>
        <v>0</v>
      </c>
      <c r="AM19" s="516"/>
      <c r="AN19" s="372">
        <f t="shared" si="16"/>
        <v>0</v>
      </c>
      <c r="AO19" s="3685"/>
      <c r="AP19" s="515"/>
      <c r="AQ19" s="378"/>
      <c r="AR19" s="639"/>
      <c r="AS19" s="378"/>
      <c r="AT19" s="378"/>
      <c r="AU19" s="638"/>
      <c r="AV19" s="378"/>
      <c r="AW19" s="637" t="s">
        <v>247</v>
      </c>
      <c r="AX19" s="637"/>
      <c r="AY19" s="637"/>
      <c r="AZ19" s="636"/>
      <c r="BA19" s="378"/>
      <c r="BB19" s="378"/>
      <c r="BC19" s="378"/>
      <c r="BD19" s="378"/>
      <c r="BE19" s="126">
        <v>3</v>
      </c>
      <c r="BF19" s="127" t="s">
        <v>79</v>
      </c>
      <c r="BG19" s="633">
        <v>0.02</v>
      </c>
      <c r="BH19" s="378"/>
      <c r="BI19" s="3630"/>
      <c r="BJ19" s="3631"/>
      <c r="BK19" s="3632"/>
      <c r="BL19" s="356"/>
      <c r="BM19" s="381">
        <v>15</v>
      </c>
    </row>
    <row r="20" spans="1:65" ht="15" customHeight="1">
      <c r="A20" s="3862"/>
      <c r="B20" s="551">
        <f t="shared" si="3"/>
        <v>0</v>
      </c>
      <c r="C20" s="546"/>
      <c r="D20" s="534">
        <f>IF(ISBLANK(AX7),(AA20/AS7)*AW7,(AA20/AX7)*AY7)</f>
        <v>0</v>
      </c>
      <c r="E20" s="533">
        <f t="shared" si="4"/>
        <v>0</v>
      </c>
      <c r="F20" s="532">
        <f>IF(ISBLANK(AX7),(AD20/AS7)*AW7,(AD20/AX7)*AY7)</f>
        <v>0</v>
      </c>
      <c r="G20" s="534">
        <f>IF(ISBLANK(AX8),(AA20/AS7)*AW8,(AA20/AX8)*AY8)</f>
        <v>0</v>
      </c>
      <c r="H20" s="533">
        <f t="shared" si="5"/>
        <v>0</v>
      </c>
      <c r="I20" s="532">
        <f>IF(ISBLANK(AX8),(AD20/AS7)*AW8,(AD20/AX8)*AY8)</f>
        <v>0</v>
      </c>
      <c r="J20" s="534">
        <f>IF(ISBLANK(AX9),(AA20/AS7)*AW9,(AA20/AX9)*AY9)</f>
        <v>0</v>
      </c>
      <c r="K20" s="533">
        <f t="shared" si="6"/>
        <v>0</v>
      </c>
      <c r="L20" s="532">
        <f>IF(ISBLANK(AX9),(AD20/AS7)*AW9,(AD20/AX9)*AY9)</f>
        <v>0</v>
      </c>
      <c r="M20" s="534">
        <f>IF(ISBLANK(AX10),(AA20/AS7)*AW10,(AA20/AX10)*AY10)</f>
        <v>0</v>
      </c>
      <c r="N20" s="533">
        <f t="shared" si="7"/>
        <v>0</v>
      </c>
      <c r="O20" s="532">
        <f>IF(ISBLANK(AX10),(AD20/AS7)*AW10,(AD20/AX10)*AY10)</f>
        <v>0</v>
      </c>
      <c r="P20" s="534">
        <f>IF(ISBLANK(AX11),(AA20/AS7)*AW11,(AA20/AX11)*AY11)</f>
        <v>0</v>
      </c>
      <c r="Q20" s="533">
        <f t="shared" si="8"/>
        <v>0</v>
      </c>
      <c r="R20" s="532">
        <f>IF(ISBLANK(AX11),(AD20/AS7)*AW11,(AD20/AX11)*AY11)</f>
        <v>0</v>
      </c>
      <c r="S20" s="534">
        <f>IF(ISBLANK(AX12),(AA20/AS7)*AW12,(AA20/AX12)*AY12)</f>
        <v>0</v>
      </c>
      <c r="T20" s="533">
        <f t="shared" si="9"/>
        <v>0</v>
      </c>
      <c r="U20" s="532">
        <f>IF(ISBLANK(AX12),(AD20/AS7)*AW12,(AD20/AX12)*AY12)</f>
        <v>0</v>
      </c>
      <c r="V20" s="531">
        <f t="shared" si="10"/>
        <v>0</v>
      </c>
      <c r="W20" s="530">
        <f t="shared" si="11"/>
        <v>0</v>
      </c>
      <c r="X20" s="529">
        <f t="shared" si="12"/>
        <v>0</v>
      </c>
      <c r="Y20" s="3864"/>
      <c r="Z20" s="515"/>
      <c r="AA20" s="528"/>
      <c r="AB20" s="527"/>
      <c r="AC20" s="526"/>
      <c r="AD20" s="525">
        <f t="shared" si="13"/>
        <v>0</v>
      </c>
      <c r="AE20" s="524"/>
      <c r="AF20" s="523"/>
      <c r="AG20" s="522"/>
      <c r="AH20" s="521">
        <f>IF(ISBLANK(AH9),(AA20/AD10)*AJ7,(AA20/AH9)*AI9)</f>
        <v>0</v>
      </c>
      <c r="AI20" s="520">
        <f t="shared" si="14"/>
        <v>0</v>
      </c>
      <c r="AJ20" s="519">
        <f>IF(ISBLANK(AH9),(AD20/AD10)*AJ7,(AD20/AH9)*AI9)</f>
        <v>0</v>
      </c>
      <c r="AK20" s="518"/>
      <c r="AL20" s="517">
        <f t="shared" si="15"/>
        <v>0</v>
      </c>
      <c r="AM20" s="516"/>
      <c r="AN20" s="372">
        <f t="shared" si="16"/>
        <v>0</v>
      </c>
      <c r="AO20" s="3685"/>
      <c r="AP20" s="515"/>
      <c r="AQ20" s="378"/>
      <c r="AR20" s="609"/>
      <c r="AS20" s="378"/>
      <c r="AT20" s="378"/>
      <c r="AU20" s="378"/>
      <c r="AV20" s="378"/>
      <c r="AW20" s="378"/>
      <c r="AX20" s="378"/>
      <c r="AY20" s="378"/>
      <c r="AZ20" s="608"/>
      <c r="BA20" s="378"/>
      <c r="BB20" s="378"/>
      <c r="BC20" s="378"/>
      <c r="BD20" s="378"/>
      <c r="BE20" s="145"/>
      <c r="BF20" s="146" t="s">
        <v>81</v>
      </c>
      <c r="BG20" s="635"/>
      <c r="BH20" s="378"/>
      <c r="BI20" s="3630"/>
      <c r="BJ20" s="3631"/>
      <c r="BK20" s="3632"/>
      <c r="BL20" s="356"/>
      <c r="BM20" s="381">
        <v>15</v>
      </c>
    </row>
    <row r="21" spans="1:65" ht="15" customHeight="1">
      <c r="A21" s="3862"/>
      <c r="B21" s="551">
        <f t="shared" si="3"/>
        <v>0</v>
      </c>
      <c r="C21" s="546"/>
      <c r="D21" s="534">
        <f>IF(ISBLANK(AX7),(AA21/AS7)*AW7,(AA21/AX7)*AY7)</f>
        <v>0</v>
      </c>
      <c r="E21" s="533">
        <f t="shared" si="4"/>
        <v>0</v>
      </c>
      <c r="F21" s="532">
        <f>IF(ISBLANK(AX7),(AD21/AS7)*AW7,(AD21/AX7)*AY7)</f>
        <v>0</v>
      </c>
      <c r="G21" s="534">
        <f>IF(ISBLANK(AX8),(AA21/AS7)*AW8,(AA21/AX8)*AY8)</f>
        <v>0</v>
      </c>
      <c r="H21" s="533">
        <f t="shared" si="5"/>
        <v>0</v>
      </c>
      <c r="I21" s="532">
        <f>IF(ISBLANK(AX8),(AD21/AS7)*AW8,(AD21/AX8)*AY8)</f>
        <v>0</v>
      </c>
      <c r="J21" s="534">
        <f>IF(ISBLANK(AX9),(AA21/AS7)*AW9,(AA21/AX9)*AY9)</f>
        <v>0</v>
      </c>
      <c r="K21" s="533">
        <f t="shared" si="6"/>
        <v>0</v>
      </c>
      <c r="L21" s="532">
        <f>IF(ISBLANK(AX9),(AD21/AS7)*AW9,(AD21/AX9)*AY9)</f>
        <v>0</v>
      </c>
      <c r="M21" s="534">
        <f>IF(ISBLANK(AX10),(AA21/AS7)*AW10,(AA21/AX10)*AY10)</f>
        <v>0</v>
      </c>
      <c r="N21" s="533">
        <f t="shared" si="7"/>
        <v>0</v>
      </c>
      <c r="O21" s="532">
        <f>IF(ISBLANK(AX10),(AD21/AS7)*AW10,(AD21/AX10)*AY10)</f>
        <v>0</v>
      </c>
      <c r="P21" s="534">
        <f>IF(ISBLANK(AX11),(AA21/AS7)*AW11,(AA21/AX11)*AY11)</f>
        <v>0</v>
      </c>
      <c r="Q21" s="533">
        <f t="shared" si="8"/>
        <v>0</v>
      </c>
      <c r="R21" s="532">
        <f>IF(ISBLANK(AX11),(AD21/AS7)*AW11,(AD21/AX11)*AY11)</f>
        <v>0</v>
      </c>
      <c r="S21" s="534">
        <f>IF(ISBLANK(AX12),(AA21/AS7)*AW12,(AA21/AX12)*AY12)</f>
        <v>0</v>
      </c>
      <c r="T21" s="533">
        <f t="shared" si="9"/>
        <v>0</v>
      </c>
      <c r="U21" s="532">
        <f>IF(ISBLANK(AX12),(AD21/AS7)*AW12,(AD21/AX12)*AY12)</f>
        <v>0</v>
      </c>
      <c r="V21" s="531">
        <f t="shared" si="10"/>
        <v>0</v>
      </c>
      <c r="W21" s="530">
        <f t="shared" si="11"/>
        <v>0</v>
      </c>
      <c r="X21" s="529">
        <f t="shared" si="12"/>
        <v>0</v>
      </c>
      <c r="Y21" s="3864"/>
      <c r="Z21" s="515"/>
      <c r="AA21" s="545"/>
      <c r="AB21" s="544"/>
      <c r="AC21" s="543"/>
      <c r="AD21" s="542">
        <f t="shared" si="13"/>
        <v>0</v>
      </c>
      <c r="AE21" s="541"/>
      <c r="AF21" s="523"/>
      <c r="AG21" s="522"/>
      <c r="AH21" s="540">
        <f>IF(ISBLANK(AH9),(AA21/AD10)*AJ7,(AA21/AH9)*AI9)</f>
        <v>0</v>
      </c>
      <c r="AI21" s="539">
        <f t="shared" si="14"/>
        <v>0</v>
      </c>
      <c r="AJ21" s="538">
        <f>IF(ISBLANK(AH9),(AD21/AD10)*AJ7,(AD21/AH9)*AI9)</f>
        <v>0</v>
      </c>
      <c r="AK21" s="518"/>
      <c r="AL21" s="537">
        <f t="shared" si="15"/>
        <v>0</v>
      </c>
      <c r="AM21" s="516"/>
      <c r="AN21" s="372">
        <f t="shared" si="16"/>
        <v>0</v>
      </c>
      <c r="AO21" s="3685"/>
      <c r="AP21" s="515"/>
      <c r="AQ21" s="378"/>
      <c r="AR21" s="609"/>
      <c r="AS21" s="3737" t="s">
        <v>246</v>
      </c>
      <c r="AT21" s="3738" t="s">
        <v>245</v>
      </c>
      <c r="AU21" s="3697" t="s">
        <v>46</v>
      </c>
      <c r="AV21" s="3698" t="s">
        <v>244</v>
      </c>
      <c r="AW21" s="3735" t="s">
        <v>243</v>
      </c>
      <c r="AX21" s="3736" t="s">
        <v>225</v>
      </c>
      <c r="AY21" s="634"/>
      <c r="AZ21" s="608"/>
      <c r="BA21" s="378"/>
      <c r="BB21" s="378"/>
      <c r="BC21" s="378"/>
      <c r="BD21" s="378"/>
      <c r="BE21" s="126">
        <v>5</v>
      </c>
      <c r="BF21" s="127" t="s">
        <v>83</v>
      </c>
      <c r="BG21" s="633">
        <v>0.05</v>
      </c>
      <c r="BH21" s="378"/>
      <c r="BI21" s="3610" t="s">
        <v>177</v>
      </c>
      <c r="BJ21" s="3611"/>
      <c r="BK21" s="3612"/>
      <c r="BL21" s="356"/>
      <c r="BM21" s="381">
        <v>15</v>
      </c>
    </row>
    <row r="22" spans="1:65" ht="15" customHeight="1">
      <c r="A22" s="3862"/>
      <c r="B22" s="551">
        <f t="shared" si="3"/>
        <v>0</v>
      </c>
      <c r="C22" s="546"/>
      <c r="D22" s="534">
        <f>IF(ISBLANK(AX7),(AA22/AS7)*AW7,(AA22/AX7)*AY7)</f>
        <v>0</v>
      </c>
      <c r="E22" s="533">
        <f t="shared" si="4"/>
        <v>0</v>
      </c>
      <c r="F22" s="532">
        <f>IF(ISBLANK(AX7),(AD22/AS7)*AW7,(AD22/AX7)*AY7)</f>
        <v>0</v>
      </c>
      <c r="G22" s="534">
        <f>IF(ISBLANK(AX8),(AA22/AS7)*AW8,(AA22/AX8)*AY8)</f>
        <v>0</v>
      </c>
      <c r="H22" s="533">
        <f t="shared" si="5"/>
        <v>0</v>
      </c>
      <c r="I22" s="532">
        <f>IF(ISBLANK(AX8),(AD22/AS7)*AW8,(AD22/AX8)*AY8)</f>
        <v>0</v>
      </c>
      <c r="J22" s="534">
        <f>IF(ISBLANK(AX9),(AA22/AS7)*AW9,(AA22/AX9)*AY9)</f>
        <v>0</v>
      </c>
      <c r="K22" s="533">
        <f t="shared" si="6"/>
        <v>0</v>
      </c>
      <c r="L22" s="532">
        <f>IF(ISBLANK(AX9),(AD22/AS7)*AW9,(AD22/AX9)*AY9)</f>
        <v>0</v>
      </c>
      <c r="M22" s="534">
        <f>IF(ISBLANK(AX10),(AA22/AS7)*AW10,(AA22/AX10)*AY10)</f>
        <v>0</v>
      </c>
      <c r="N22" s="533">
        <f t="shared" si="7"/>
        <v>0</v>
      </c>
      <c r="O22" s="532">
        <f>IF(ISBLANK(AX10),(AD22/AS7)*AW10,(AD22/AX10)*AY10)</f>
        <v>0</v>
      </c>
      <c r="P22" s="534">
        <f>IF(ISBLANK(AX11),(AA22/AS7)*AW11,(AA22/AX11)*AY11)</f>
        <v>0</v>
      </c>
      <c r="Q22" s="533">
        <f t="shared" si="8"/>
        <v>0</v>
      </c>
      <c r="R22" s="532">
        <f>IF(ISBLANK(AX11),(AD22/AS7)*AW11,(AD22/AX11)*AY11)</f>
        <v>0</v>
      </c>
      <c r="S22" s="534">
        <f>IF(ISBLANK(AX12),(AA22/AS7)*AW12,(AA22/AX12)*AY12)</f>
        <v>0</v>
      </c>
      <c r="T22" s="533">
        <f t="shared" si="9"/>
        <v>0</v>
      </c>
      <c r="U22" s="532">
        <f>IF(ISBLANK(AX12),(AD22/AS7)*AW12,(AD22/AX12)*AY12)</f>
        <v>0</v>
      </c>
      <c r="V22" s="531">
        <f t="shared" si="10"/>
        <v>0</v>
      </c>
      <c r="W22" s="530">
        <f t="shared" si="11"/>
        <v>0</v>
      </c>
      <c r="X22" s="529">
        <f t="shared" si="12"/>
        <v>0</v>
      </c>
      <c r="Y22" s="3864"/>
      <c r="Z22" s="515"/>
      <c r="AA22" s="528"/>
      <c r="AB22" s="527"/>
      <c r="AC22" s="526"/>
      <c r="AD22" s="525">
        <f t="shared" si="13"/>
        <v>0</v>
      </c>
      <c r="AE22" s="524"/>
      <c r="AF22" s="523"/>
      <c r="AG22" s="522"/>
      <c r="AH22" s="521">
        <f>IF(ISBLANK(AH9),(AA22/AD10)*AJ7,(AA22/AH9)*AI9)</f>
        <v>0</v>
      </c>
      <c r="AI22" s="520">
        <f t="shared" si="14"/>
        <v>0</v>
      </c>
      <c r="AJ22" s="519">
        <f>IF(ISBLANK(AH9),(AD22/AD10)*AJ7,(AD22/AH9)*AI9)</f>
        <v>0</v>
      </c>
      <c r="AK22" s="518"/>
      <c r="AL22" s="517">
        <f t="shared" si="15"/>
        <v>0</v>
      </c>
      <c r="AM22" s="516"/>
      <c r="AN22" s="372">
        <f t="shared" si="16"/>
        <v>0</v>
      </c>
      <c r="AO22" s="3685"/>
      <c r="AP22" s="515"/>
      <c r="AQ22" s="378"/>
      <c r="AR22" s="609"/>
      <c r="AS22" s="3737"/>
      <c r="AT22" s="3738"/>
      <c r="AU22" s="3697"/>
      <c r="AV22" s="3698"/>
      <c r="AW22" s="3735"/>
      <c r="AX22" s="3736"/>
      <c r="AY22" s="632" t="str">
        <f>ADDRESS(ROW(AX23),COLUMN(AX23),4)</f>
        <v>AX23</v>
      </c>
      <c r="AZ22" s="608"/>
      <c r="BA22" s="378"/>
      <c r="BB22" s="378"/>
      <c r="BC22" s="378"/>
      <c r="BD22" s="378"/>
      <c r="BE22" s="168"/>
      <c r="BF22" s="169"/>
      <c r="BG22" s="447"/>
      <c r="BH22" s="378"/>
      <c r="BI22" s="3610"/>
      <c r="BJ22" s="3611"/>
      <c r="BK22" s="3612"/>
      <c r="BL22" s="356"/>
      <c r="BM22" s="381">
        <v>15</v>
      </c>
    </row>
    <row r="23" spans="1:65" ht="15" customHeight="1">
      <c r="A23" s="3862"/>
      <c r="B23" s="551">
        <f t="shared" si="3"/>
        <v>0</v>
      </c>
      <c r="C23" s="546"/>
      <c r="D23" s="534">
        <f>IF(ISBLANK(AX7),(AA23/AS7)*AW7,(AA23/AX7)*AY7)</f>
        <v>0</v>
      </c>
      <c r="E23" s="533">
        <f t="shared" si="4"/>
        <v>0</v>
      </c>
      <c r="F23" s="532">
        <f>IF(ISBLANK(AX7),(AD23/AS7)*AW7,(AD23/AX7)*AY7)</f>
        <v>0</v>
      </c>
      <c r="G23" s="534">
        <f>IF(ISBLANK(AX8),(AA23/AS7)*AW8,(AA23/AX8)*AY8)</f>
        <v>0</v>
      </c>
      <c r="H23" s="533">
        <f t="shared" si="5"/>
        <v>0</v>
      </c>
      <c r="I23" s="532">
        <f>IF(ISBLANK(AX8),(AD23/AS7)*AW8,(AD23/AX8)*AY8)</f>
        <v>0</v>
      </c>
      <c r="J23" s="534">
        <f>IF(ISBLANK(AX9),(AA23/AS7)*AW9,(AA23/AX9)*AY9)</f>
        <v>0</v>
      </c>
      <c r="K23" s="533">
        <f t="shared" si="6"/>
        <v>0</v>
      </c>
      <c r="L23" s="532">
        <f>IF(ISBLANK(AX9),(AD23/AS7)*AW9,(AD23/AX9)*AY9)</f>
        <v>0</v>
      </c>
      <c r="M23" s="534">
        <f>IF(ISBLANK(AX10),(AA23/AS7)*AW10,(AA23/AX10)*AY10)</f>
        <v>0</v>
      </c>
      <c r="N23" s="533">
        <f t="shared" si="7"/>
        <v>0</v>
      </c>
      <c r="O23" s="532">
        <f>IF(ISBLANK(AX10),(AD23/AS7)*AW10,(AD23/AX10)*AY10)</f>
        <v>0</v>
      </c>
      <c r="P23" s="534">
        <f>IF(ISBLANK(AX11),(AA23/AS7)*AW11,(AA23/AX11)*AY11)</f>
        <v>0</v>
      </c>
      <c r="Q23" s="533">
        <f t="shared" si="8"/>
        <v>0</v>
      </c>
      <c r="R23" s="532">
        <f>IF(ISBLANK(AX11),(AD23/AS7)*AW11,(AD23/AX11)*AY11)</f>
        <v>0</v>
      </c>
      <c r="S23" s="534">
        <f>IF(ISBLANK(AX12),(AA23/AS7)*AW12,(AA23/AX12)*AY12)</f>
        <v>0</v>
      </c>
      <c r="T23" s="533">
        <f t="shared" si="9"/>
        <v>0</v>
      </c>
      <c r="U23" s="532">
        <f>IF(ISBLANK(AX12),(AD23/AS7)*AW12,(AD23/AX12)*AY12)</f>
        <v>0</v>
      </c>
      <c r="V23" s="531">
        <f t="shared" si="10"/>
        <v>0</v>
      </c>
      <c r="W23" s="530">
        <f t="shared" si="11"/>
        <v>0</v>
      </c>
      <c r="X23" s="529">
        <f t="shared" si="12"/>
        <v>0</v>
      </c>
      <c r="Y23" s="3864"/>
      <c r="Z23" s="515"/>
      <c r="AA23" s="545"/>
      <c r="AB23" s="544"/>
      <c r="AC23" s="543"/>
      <c r="AD23" s="542">
        <f t="shared" si="13"/>
        <v>0</v>
      </c>
      <c r="AE23" s="541"/>
      <c r="AF23" s="523"/>
      <c r="AG23" s="522"/>
      <c r="AH23" s="540">
        <f>IF(ISBLANK(AH9),(AA23/AD10)*AJ7,(AA23/AH9)*AI9)</f>
        <v>0</v>
      </c>
      <c r="AI23" s="539">
        <f t="shared" si="14"/>
        <v>0</v>
      </c>
      <c r="AJ23" s="538">
        <f>IF(ISBLANK(AH9),(AD23/AD10)*AJ7,(AD23/AH9)*AI9)</f>
        <v>0</v>
      </c>
      <c r="AK23" s="518"/>
      <c r="AL23" s="537">
        <f t="shared" si="15"/>
        <v>0</v>
      </c>
      <c r="AM23" s="516"/>
      <c r="AN23" s="372">
        <f t="shared" si="16"/>
        <v>0</v>
      </c>
      <c r="AO23" s="3685"/>
      <c r="AP23" s="515"/>
      <c r="AQ23" s="378"/>
      <c r="AR23" s="609"/>
      <c r="AS23" s="631">
        <f>AB10</f>
        <v>100</v>
      </c>
      <c r="AT23" s="630">
        <v>14</v>
      </c>
      <c r="AU23" s="308">
        <v>35</v>
      </c>
      <c r="AV23" s="485">
        <f>IF(AT23=0,0,((AT23-(AT23*AU23%))))</f>
        <v>9.1000000000000014</v>
      </c>
      <c r="AW23" s="286">
        <f>IF(ISBLANK(AS23),0,(AT23/AS23)*1000)</f>
        <v>140</v>
      </c>
      <c r="AX23" s="286">
        <f>IF(ISBLANK(AS23),0,(AV23/AS23)*1000)</f>
        <v>91.000000000000014</v>
      </c>
      <c r="AY23" s="3695" t="s">
        <v>242</v>
      </c>
      <c r="AZ23" s="3696"/>
      <c r="BA23" s="378"/>
      <c r="BB23" s="378"/>
      <c r="BC23" s="378"/>
      <c r="BD23" s="378"/>
      <c r="BE23" s="171"/>
      <c r="BF23" s="172" t="s">
        <v>241</v>
      </c>
      <c r="BG23" s="581" t="str">
        <f>ADDRESS(ROW(AB10),COLUMN(AB10),4)</f>
        <v>AB10</v>
      </c>
      <c r="BH23" s="378"/>
      <c r="BI23" s="3610"/>
      <c r="BJ23" s="3611"/>
      <c r="BK23" s="3612"/>
      <c r="BL23" s="356"/>
      <c r="BM23" s="381">
        <v>15</v>
      </c>
    </row>
    <row r="24" spans="1:65" ht="15" customHeight="1">
      <c r="A24" s="3862"/>
      <c r="B24" s="551">
        <f t="shared" si="3"/>
        <v>0</v>
      </c>
      <c r="C24" s="546"/>
      <c r="D24" s="534">
        <f>IF(ISBLANK(AX7),(AA24/AS7)*AW7,(AA24/AX7)*AY7)</f>
        <v>0</v>
      </c>
      <c r="E24" s="533">
        <f t="shared" si="4"/>
        <v>0</v>
      </c>
      <c r="F24" s="532">
        <f>IF(ISBLANK(AX7),(AD24/AS7)*AW7,(AD24/AX7)*AY7)</f>
        <v>0</v>
      </c>
      <c r="G24" s="534">
        <f>IF(ISBLANK(AX8),(AA24/AS7)*AW8,(AA24/AX8)*AY8)</f>
        <v>0</v>
      </c>
      <c r="H24" s="533">
        <f t="shared" si="5"/>
        <v>0</v>
      </c>
      <c r="I24" s="532">
        <f>IF(ISBLANK(AX8),(AD24/AS7)*AW8,(AD24/AX8)*AY8)</f>
        <v>0</v>
      </c>
      <c r="J24" s="534">
        <f>IF(ISBLANK(AX9),(AA24/AS7)*AW9,(AA24/AX9)*AY9)</f>
        <v>0</v>
      </c>
      <c r="K24" s="533">
        <f t="shared" si="6"/>
        <v>0</v>
      </c>
      <c r="L24" s="532">
        <f>IF(ISBLANK(AX9),(AD24/AS7)*AW9,(AD24/AX9)*AY9)</f>
        <v>0</v>
      </c>
      <c r="M24" s="534">
        <f>IF(ISBLANK(AX10),(AA24/AS7)*AW10,(AA24/AX10)*AY10)</f>
        <v>0</v>
      </c>
      <c r="N24" s="533">
        <f t="shared" si="7"/>
        <v>0</v>
      </c>
      <c r="O24" s="532">
        <f>IF(ISBLANK(AX10),(AD24/AS7)*AW10,(AD24/AX10)*AY10)</f>
        <v>0</v>
      </c>
      <c r="P24" s="534">
        <f>IF(ISBLANK(AX11),(AA24/AS7)*AW11,(AA24/AX11)*AY11)</f>
        <v>0</v>
      </c>
      <c r="Q24" s="533">
        <f t="shared" si="8"/>
        <v>0</v>
      </c>
      <c r="R24" s="532">
        <f>IF(ISBLANK(AX11),(AD24/AS7)*AW11,(AD24/AX11)*AY11)</f>
        <v>0</v>
      </c>
      <c r="S24" s="534">
        <f>IF(ISBLANK(AX12),(AA24/AS7)*AW12,(AA24/AX12)*AY12)</f>
        <v>0</v>
      </c>
      <c r="T24" s="533">
        <f t="shared" si="9"/>
        <v>0</v>
      </c>
      <c r="U24" s="532">
        <f>IF(ISBLANK(AX12),(AD24/AS7)*AW12,(AD24/AX12)*AY12)</f>
        <v>0</v>
      </c>
      <c r="V24" s="531">
        <f t="shared" si="10"/>
        <v>0</v>
      </c>
      <c r="W24" s="530">
        <f t="shared" si="11"/>
        <v>0</v>
      </c>
      <c r="X24" s="529">
        <f t="shared" si="12"/>
        <v>0</v>
      </c>
      <c r="Y24" s="3864"/>
      <c r="Z24" s="515"/>
      <c r="AA24" s="528"/>
      <c r="AB24" s="527"/>
      <c r="AC24" s="526"/>
      <c r="AD24" s="525">
        <f t="shared" si="13"/>
        <v>0</v>
      </c>
      <c r="AE24" s="524"/>
      <c r="AF24" s="523"/>
      <c r="AG24" s="522"/>
      <c r="AH24" s="521">
        <f>IF(ISBLANK(AH9),(AA24/AD10)*AJ7,(AA24/AH9)*AI9)</f>
        <v>0</v>
      </c>
      <c r="AI24" s="520">
        <f t="shared" si="14"/>
        <v>0</v>
      </c>
      <c r="AJ24" s="519">
        <f>IF(ISBLANK(AH9),(AD24/AD10)*AJ7,(AD24/AH9)*AI9)</f>
        <v>0</v>
      </c>
      <c r="AK24" s="518"/>
      <c r="AL24" s="517">
        <f t="shared" si="15"/>
        <v>0</v>
      </c>
      <c r="AM24" s="516"/>
      <c r="AN24" s="372">
        <f t="shared" si="16"/>
        <v>0</v>
      </c>
      <c r="AO24" s="3685"/>
      <c r="AP24" s="515"/>
      <c r="AQ24" s="378"/>
      <c r="AR24" s="609"/>
      <c r="AS24" s="629"/>
      <c r="AU24" s="628"/>
      <c r="AV24" s="628"/>
      <c r="AX24" s="378"/>
      <c r="AY24" s="3695"/>
      <c r="AZ24" s="3696"/>
      <c r="BA24" s="378"/>
      <c r="BB24" s="378"/>
      <c r="BC24" s="378"/>
      <c r="BD24" s="378"/>
      <c r="BE24" s="627"/>
      <c r="BF24" s="626"/>
      <c r="BG24" s="625"/>
      <c r="BH24" s="378"/>
      <c r="BI24" s="3891" t="s">
        <v>176</v>
      </c>
      <c r="BJ24" s="3892"/>
      <c r="BK24" s="3893"/>
      <c r="BL24" s="356"/>
      <c r="BM24" s="381">
        <v>15</v>
      </c>
    </row>
    <row r="25" spans="1:65" ht="15" customHeight="1">
      <c r="A25" s="3862"/>
      <c r="B25" s="551">
        <f t="shared" si="3"/>
        <v>0</v>
      </c>
      <c r="C25" s="546"/>
      <c r="D25" s="534">
        <f>IF(ISBLANK(AX7),(AA25/AS7)*AW7,(AA25/AX7)*AY7)</f>
        <v>0</v>
      </c>
      <c r="E25" s="533">
        <f t="shared" si="4"/>
        <v>0</v>
      </c>
      <c r="F25" s="532">
        <f>IF(ISBLANK(AX7),(AD25/AS7)*AW7,(AD25/AX7)*AY7)</f>
        <v>0</v>
      </c>
      <c r="G25" s="534">
        <f>IF(ISBLANK(AX8),(AA25/AS7)*AW8,(AA25/AX8)*AY8)</f>
        <v>0</v>
      </c>
      <c r="H25" s="533">
        <f t="shared" si="5"/>
        <v>0</v>
      </c>
      <c r="I25" s="532">
        <f>IF(ISBLANK(AX8),(AD25/AS7)*AW8,(AD25/AX8)*AY8)</f>
        <v>0</v>
      </c>
      <c r="J25" s="534">
        <f>IF(ISBLANK(AX9),(AA25/AS7)*AW9,(AA25/AX9)*AY9)</f>
        <v>0</v>
      </c>
      <c r="K25" s="533">
        <f t="shared" si="6"/>
        <v>0</v>
      </c>
      <c r="L25" s="532">
        <f>IF(ISBLANK(AX9),(AD25/AS7)*AW9,(AD25/AX9)*AY9)</f>
        <v>0</v>
      </c>
      <c r="M25" s="534">
        <f>IF(ISBLANK(AX10),(AA25/AS7)*AW10,(AA25/AX10)*AY10)</f>
        <v>0</v>
      </c>
      <c r="N25" s="533">
        <f t="shared" si="7"/>
        <v>0</v>
      </c>
      <c r="O25" s="532">
        <f>IF(ISBLANK(AX10),(AD25/AS7)*AW10,(AD25/AX10)*AY10)</f>
        <v>0</v>
      </c>
      <c r="P25" s="534">
        <f>IF(ISBLANK(AX11),(AA25/AS7)*AW11,(AA25/AX11)*AY11)</f>
        <v>0</v>
      </c>
      <c r="Q25" s="533">
        <f t="shared" si="8"/>
        <v>0</v>
      </c>
      <c r="R25" s="532">
        <f>IF(ISBLANK(AX11),(AD25/AS7)*AW11,(AD25/AX11)*AY11)</f>
        <v>0</v>
      </c>
      <c r="S25" s="534">
        <f>IF(ISBLANK(AX12),(AA25/AS7)*AW12,(AA25/AX12)*AY12)</f>
        <v>0</v>
      </c>
      <c r="T25" s="533">
        <f t="shared" si="9"/>
        <v>0</v>
      </c>
      <c r="U25" s="532">
        <f>IF(ISBLANK(AX12),(AD25/AS7)*AW12,(AD25/AX12)*AY12)</f>
        <v>0</v>
      </c>
      <c r="V25" s="531">
        <f t="shared" si="10"/>
        <v>0</v>
      </c>
      <c r="W25" s="530">
        <f t="shared" si="11"/>
        <v>0</v>
      </c>
      <c r="X25" s="529">
        <f t="shared" si="12"/>
        <v>0</v>
      </c>
      <c r="Y25" s="3864"/>
      <c r="Z25" s="515"/>
      <c r="AA25" s="545"/>
      <c r="AB25" s="544"/>
      <c r="AC25" s="543"/>
      <c r="AD25" s="542">
        <f t="shared" si="13"/>
        <v>0</v>
      </c>
      <c r="AE25" s="541"/>
      <c r="AF25" s="523"/>
      <c r="AG25" s="522"/>
      <c r="AH25" s="540">
        <f>IF(ISBLANK(AH9),(AA25/AD10)*AJ7,(AA25/AH9)*AI9)</f>
        <v>0</v>
      </c>
      <c r="AI25" s="539">
        <f t="shared" si="14"/>
        <v>0</v>
      </c>
      <c r="AJ25" s="538">
        <f>IF(ISBLANK(AH9),(AD25/AD10)*AJ7,(AD25/AH9)*AI9)</f>
        <v>0</v>
      </c>
      <c r="AK25" s="518"/>
      <c r="AL25" s="537">
        <f t="shared" si="15"/>
        <v>0</v>
      </c>
      <c r="AM25" s="516"/>
      <c r="AN25" s="372">
        <f t="shared" si="16"/>
        <v>0</v>
      </c>
      <c r="AO25" s="3685"/>
      <c r="AP25" s="515"/>
      <c r="AQ25" s="378"/>
      <c r="AR25" s="609"/>
      <c r="AS25" s="624" t="s">
        <v>240</v>
      </c>
      <c r="AT25" s="623">
        <f>(AT23/AX23)*AX25</f>
        <v>18.46153846153846</v>
      </c>
      <c r="AU25" s="622"/>
      <c r="AW25" s="286">
        <f>(AW23/AX23)*AX25</f>
        <v>184.61538461538458</v>
      </c>
      <c r="AX25" s="621">
        <v>120</v>
      </c>
      <c r="AY25" s="620" t="s">
        <v>223</v>
      </c>
      <c r="AZ25" s="619"/>
      <c r="BA25" s="378"/>
      <c r="BB25" s="378"/>
      <c r="BC25" s="378"/>
      <c r="BD25" s="378"/>
      <c r="BE25" s="3894" t="s">
        <v>239</v>
      </c>
      <c r="BF25" s="3895"/>
      <c r="BG25" s="3896"/>
      <c r="BH25" s="378"/>
      <c r="BI25" s="3891"/>
      <c r="BJ25" s="3892"/>
      <c r="BK25" s="3893"/>
      <c r="BL25" s="356"/>
      <c r="BM25" s="381">
        <v>15</v>
      </c>
    </row>
    <row r="26" spans="1:65" ht="15" customHeight="1">
      <c r="A26" s="3862"/>
      <c r="B26" s="551">
        <f t="shared" si="3"/>
        <v>0</v>
      </c>
      <c r="C26" s="546"/>
      <c r="D26" s="534">
        <f>IF(ISBLANK(AX7),(AA26/AS7)*AW7,(AA26/AX7)*AY7)</f>
        <v>0</v>
      </c>
      <c r="E26" s="533">
        <f t="shared" si="4"/>
        <v>0</v>
      </c>
      <c r="F26" s="532">
        <f>IF(ISBLANK(AX7),(AD26/AS7)*AW7,(AD26/AX7)*AY7)</f>
        <v>0</v>
      </c>
      <c r="G26" s="534">
        <f>IF(ISBLANK(AX8),(AA26/AS7)*AW8,(AA26/AX8)*AY8)</f>
        <v>0</v>
      </c>
      <c r="H26" s="533">
        <f t="shared" si="5"/>
        <v>0</v>
      </c>
      <c r="I26" s="532">
        <f>IF(ISBLANK(AX8),(AD26/AS7)*AW8,(AD26/AX8)*AY8)</f>
        <v>0</v>
      </c>
      <c r="J26" s="534">
        <f>IF(ISBLANK(AX9),(AA26/AS7)*AW9,(AA26/AX9)*AY9)</f>
        <v>0</v>
      </c>
      <c r="K26" s="533">
        <f t="shared" si="6"/>
        <v>0</v>
      </c>
      <c r="L26" s="532">
        <f>IF(ISBLANK(AX9),(AD26/AS7)*AW9,(AD26/AX9)*AY9)</f>
        <v>0</v>
      </c>
      <c r="M26" s="534">
        <f>IF(ISBLANK(AX10),(AA26/AS7)*AW10,(AA26/AX10)*AY10)</f>
        <v>0</v>
      </c>
      <c r="N26" s="533">
        <f t="shared" si="7"/>
        <v>0</v>
      </c>
      <c r="O26" s="532">
        <f>IF(ISBLANK(AX10),(AD26/AS7)*AW10,(AD26/AX10)*AY10)</f>
        <v>0</v>
      </c>
      <c r="P26" s="534">
        <f>IF(ISBLANK(AX11),(AA26/AS7)*AW11,(AA26/AX11)*AY11)</f>
        <v>0</v>
      </c>
      <c r="Q26" s="533">
        <f t="shared" si="8"/>
        <v>0</v>
      </c>
      <c r="R26" s="532">
        <f>IF(ISBLANK(AX11),(AD26/AS7)*AW11,(AD26/AX11)*AY11)</f>
        <v>0</v>
      </c>
      <c r="S26" s="534">
        <f>IF(ISBLANK(AX12),(AA26/AS7)*AW12,(AA26/AX12)*AY12)</f>
        <v>0</v>
      </c>
      <c r="T26" s="533">
        <f t="shared" si="9"/>
        <v>0</v>
      </c>
      <c r="U26" s="532">
        <f>IF(ISBLANK(AX12),(AD26/AS7)*AW12,(AD26/AX12)*AY12)</f>
        <v>0</v>
      </c>
      <c r="V26" s="531">
        <f t="shared" si="10"/>
        <v>0</v>
      </c>
      <c r="W26" s="530">
        <f t="shared" si="11"/>
        <v>0</v>
      </c>
      <c r="X26" s="529">
        <f t="shared" si="12"/>
        <v>0</v>
      </c>
      <c r="Y26" s="3864"/>
      <c r="Z26" s="515"/>
      <c r="AA26" s="528"/>
      <c r="AB26" s="527"/>
      <c r="AC26" s="526"/>
      <c r="AD26" s="525">
        <f t="shared" si="13"/>
        <v>0</v>
      </c>
      <c r="AE26" s="524"/>
      <c r="AF26" s="523"/>
      <c r="AG26" s="522"/>
      <c r="AH26" s="521">
        <f>IF(ISBLANK(AH9),(AA26/AD10)*AJ7,(AA26/AH9)*AI9)</f>
        <v>0</v>
      </c>
      <c r="AI26" s="520">
        <f t="shared" si="14"/>
        <v>0</v>
      </c>
      <c r="AJ26" s="519">
        <f>IF(ISBLANK(AH9),(AD26/AD10)*AJ7,(AD26/AH9)*AI9)</f>
        <v>0</v>
      </c>
      <c r="AK26" s="518"/>
      <c r="AL26" s="517">
        <f t="shared" si="15"/>
        <v>0</v>
      </c>
      <c r="AM26" s="516"/>
      <c r="AN26" s="372">
        <f t="shared" si="16"/>
        <v>0</v>
      </c>
      <c r="AO26" s="3685"/>
      <c r="AP26" s="515"/>
      <c r="AQ26" s="378"/>
      <c r="AR26" s="618" t="s">
        <v>238</v>
      </c>
      <c r="AS26" s="617"/>
      <c r="AT26" s="617"/>
      <c r="AU26" s="617"/>
      <c r="AV26" s="617"/>
      <c r="AW26" s="617"/>
      <c r="AX26" s="617"/>
      <c r="AY26" s="617"/>
      <c r="AZ26" s="616"/>
      <c r="BA26" s="378"/>
      <c r="BB26" s="378"/>
      <c r="BC26" s="378"/>
      <c r="BD26" s="378"/>
      <c r="BE26" s="3897"/>
      <c r="BF26" s="3898"/>
      <c r="BG26" s="3899"/>
      <c r="BH26" s="378"/>
      <c r="BI26" s="3891"/>
      <c r="BJ26" s="3892"/>
      <c r="BK26" s="3893"/>
      <c r="BL26" s="356"/>
      <c r="BM26" s="381">
        <v>15</v>
      </c>
    </row>
    <row r="27" spans="1:65" ht="15" customHeight="1">
      <c r="A27" s="3862"/>
      <c r="B27" s="551">
        <f t="shared" si="3"/>
        <v>0</v>
      </c>
      <c r="C27" s="546"/>
      <c r="D27" s="534">
        <f>IF(ISBLANK(AX7),(AA27/AS7)*AW7,(AA27/AX7)*AY7)</f>
        <v>0</v>
      </c>
      <c r="E27" s="533">
        <f t="shared" si="4"/>
        <v>0</v>
      </c>
      <c r="F27" s="532">
        <f>IF(ISBLANK(AX7),(AD27/AS7)*AW7,(AD27/AX7)*AY7)</f>
        <v>0</v>
      </c>
      <c r="G27" s="534">
        <f>IF(ISBLANK(AX8),(AA27/AS7)*AW8,(AA27/AX8)*AY8)</f>
        <v>0</v>
      </c>
      <c r="H27" s="533">
        <f t="shared" si="5"/>
        <v>0</v>
      </c>
      <c r="I27" s="532">
        <f>IF(ISBLANK(AX8),(AD27/AS7)*AW8,(AD27/AX8)*AY8)</f>
        <v>0</v>
      </c>
      <c r="J27" s="534">
        <f>IF(ISBLANK(AX9),(AA27/AS7)*AW9,(AA27/AX9)*AY9)</f>
        <v>0</v>
      </c>
      <c r="K27" s="533">
        <f t="shared" si="6"/>
        <v>0</v>
      </c>
      <c r="L27" s="532">
        <f>IF(ISBLANK(AX9),(AD27/AS7)*AW9,(AD27/AX9)*AY9)</f>
        <v>0</v>
      </c>
      <c r="M27" s="534">
        <f>IF(ISBLANK(AX10),(AA27/AS7)*AW10,(AA27/AX10)*AY10)</f>
        <v>0</v>
      </c>
      <c r="N27" s="533">
        <f t="shared" si="7"/>
        <v>0</v>
      </c>
      <c r="O27" s="532">
        <f>IF(ISBLANK(AX10),(AD27/AS7)*AW10,(AD27/AX10)*AY10)</f>
        <v>0</v>
      </c>
      <c r="P27" s="534">
        <f>IF(ISBLANK(AX11),(AA27/AS7)*AW11,(AA27/AX11)*AY11)</f>
        <v>0</v>
      </c>
      <c r="Q27" s="533">
        <f t="shared" si="8"/>
        <v>0</v>
      </c>
      <c r="R27" s="532">
        <f>IF(ISBLANK(AX11),(AD27/AS7)*AW11,(AD27/AX11)*AY11)</f>
        <v>0</v>
      </c>
      <c r="S27" s="534">
        <f>IF(ISBLANK(AX12),(AA27/AS7)*AW12,(AA27/AX12)*AY12)</f>
        <v>0</v>
      </c>
      <c r="T27" s="533">
        <f t="shared" si="9"/>
        <v>0</v>
      </c>
      <c r="U27" s="532">
        <f>IF(ISBLANK(AX12),(AD27/AS7)*AW12,(AD27/AX12)*AY12)</f>
        <v>0</v>
      </c>
      <c r="V27" s="531">
        <f t="shared" si="10"/>
        <v>0</v>
      </c>
      <c r="W27" s="530">
        <f t="shared" si="11"/>
        <v>0</v>
      </c>
      <c r="X27" s="529">
        <f t="shared" si="12"/>
        <v>0</v>
      </c>
      <c r="Y27" s="3864"/>
      <c r="Z27" s="515"/>
      <c r="AA27" s="545"/>
      <c r="AB27" s="544"/>
      <c r="AC27" s="543"/>
      <c r="AD27" s="542">
        <f t="shared" si="13"/>
        <v>0</v>
      </c>
      <c r="AE27" s="541"/>
      <c r="AF27" s="523"/>
      <c r="AG27" s="522"/>
      <c r="AH27" s="540">
        <f>IF(ISBLANK(AH9),(AA27/AD10)*AJ7,(AA27/AH9)*AI9)</f>
        <v>0</v>
      </c>
      <c r="AI27" s="539">
        <f t="shared" si="14"/>
        <v>0</v>
      </c>
      <c r="AJ27" s="538">
        <f>IF(ISBLANK(AH9),(AD27/AD10)*AJ7,(AD27/AH9)*AI9)</f>
        <v>0</v>
      </c>
      <c r="AK27" s="518"/>
      <c r="AL27" s="537">
        <f t="shared" si="15"/>
        <v>0</v>
      </c>
      <c r="AM27" s="516"/>
      <c r="AN27" s="372">
        <f t="shared" si="16"/>
        <v>0</v>
      </c>
      <c r="AO27" s="3685"/>
      <c r="AP27" s="515"/>
      <c r="AQ27" s="378"/>
      <c r="AR27" s="615">
        <v>14</v>
      </c>
      <c r="AS27" s="378" t="s">
        <v>237</v>
      </c>
      <c r="AT27" s="378"/>
      <c r="AU27" s="378"/>
      <c r="AV27" s="378"/>
      <c r="AW27" s="378"/>
      <c r="AX27" s="378"/>
      <c r="AY27" s="378"/>
      <c r="AZ27" s="608"/>
      <c r="BA27" s="378"/>
      <c r="BB27" s="378"/>
      <c r="BC27" s="378"/>
      <c r="BD27" s="378"/>
      <c r="BE27" s="3625" t="s">
        <v>236</v>
      </c>
      <c r="BF27" s="3626"/>
      <c r="BG27" s="3627"/>
      <c r="BH27" s="378"/>
      <c r="BI27" s="3908" t="s">
        <v>235</v>
      </c>
      <c r="BJ27" s="3909"/>
      <c r="BK27" s="3910"/>
      <c r="BL27" s="356"/>
      <c r="BM27" s="381">
        <v>15</v>
      </c>
    </row>
    <row r="28" spans="1:65" ht="15" customHeight="1">
      <c r="A28" s="3862"/>
      <c r="B28" s="551">
        <f t="shared" si="3"/>
        <v>0</v>
      </c>
      <c r="C28" s="546"/>
      <c r="D28" s="534">
        <f>IF(ISBLANK(AX7),(AA28/AS7)*AW7,(AA28/AX7)*AY7)</f>
        <v>0</v>
      </c>
      <c r="E28" s="533">
        <f t="shared" si="4"/>
        <v>0</v>
      </c>
      <c r="F28" s="532">
        <f>IF(ISBLANK(AX7),(AD28/AS7)*AW7,(AD28/AX7)*AY7)</f>
        <v>0</v>
      </c>
      <c r="G28" s="534">
        <f>IF(ISBLANK(AX8),(AA28/AS7)*AW8,(AA28/AX8)*AY8)</f>
        <v>0</v>
      </c>
      <c r="H28" s="533">
        <f t="shared" si="5"/>
        <v>0</v>
      </c>
      <c r="I28" s="532">
        <f>IF(ISBLANK(AX8),(AD28/AS7)*AW8,(AD28/AX8)*AY8)</f>
        <v>0</v>
      </c>
      <c r="J28" s="534">
        <f>IF(ISBLANK(AX9),(AA28/AS7)*AW9,(AA28/AX9)*AY9)</f>
        <v>0</v>
      </c>
      <c r="K28" s="533">
        <f t="shared" si="6"/>
        <v>0</v>
      </c>
      <c r="L28" s="532">
        <f>IF(ISBLANK(AX9),(AD28/AS7)*AW9,(AD28/AX9)*AY9)</f>
        <v>0</v>
      </c>
      <c r="M28" s="534">
        <f>IF(ISBLANK(AX10),(AA28/AS7)*AW10,(AA28/AX10)*AY10)</f>
        <v>0</v>
      </c>
      <c r="N28" s="533">
        <f t="shared" si="7"/>
        <v>0</v>
      </c>
      <c r="O28" s="532">
        <f>IF(ISBLANK(AX10),(AD28/AS7)*AW10,(AD28/AX10)*AY10)</f>
        <v>0</v>
      </c>
      <c r="P28" s="534">
        <f>IF(ISBLANK(AX11),(AA28/AS7)*AW11,(AA28/AX11)*AY11)</f>
        <v>0</v>
      </c>
      <c r="Q28" s="533">
        <f t="shared" si="8"/>
        <v>0</v>
      </c>
      <c r="R28" s="532">
        <f>IF(ISBLANK(AX11),(AD28/AS7)*AW11,(AD28/AX11)*AY11)</f>
        <v>0</v>
      </c>
      <c r="S28" s="534">
        <f>IF(ISBLANK(AX12),(AA28/AS7)*AW12,(AA28/AX12)*AY12)</f>
        <v>0</v>
      </c>
      <c r="T28" s="533">
        <f t="shared" si="9"/>
        <v>0</v>
      </c>
      <c r="U28" s="532">
        <f>IF(ISBLANK(AX12),(AD28/AS7)*AW12,(AD28/AX12)*AY12)</f>
        <v>0</v>
      </c>
      <c r="V28" s="531">
        <f t="shared" si="10"/>
        <v>0</v>
      </c>
      <c r="W28" s="530">
        <f t="shared" si="11"/>
        <v>0</v>
      </c>
      <c r="X28" s="529">
        <f t="shared" si="12"/>
        <v>0</v>
      </c>
      <c r="Y28" s="3864"/>
      <c r="Z28" s="515"/>
      <c r="AA28" s="528"/>
      <c r="AB28" s="527"/>
      <c r="AC28" s="526"/>
      <c r="AD28" s="525">
        <f t="shared" si="13"/>
        <v>0</v>
      </c>
      <c r="AE28" s="524"/>
      <c r="AF28" s="523"/>
      <c r="AG28" s="522"/>
      <c r="AH28" s="521">
        <f>IF(ISBLANK(AH9),(AA28/AD10)*AJ7,(AA28/AH9)*AI9)</f>
        <v>0</v>
      </c>
      <c r="AI28" s="520">
        <f t="shared" si="14"/>
        <v>0</v>
      </c>
      <c r="AJ28" s="519">
        <f>IF(ISBLANK(AH9),(AD28/AD10)*AJ7,(AD28/AH9)*AI9)</f>
        <v>0</v>
      </c>
      <c r="AK28" s="518"/>
      <c r="AL28" s="517">
        <f t="shared" si="15"/>
        <v>0</v>
      </c>
      <c r="AM28" s="516"/>
      <c r="AN28" s="372">
        <f t="shared" si="16"/>
        <v>0</v>
      </c>
      <c r="AO28" s="3685"/>
      <c r="AP28" s="515"/>
      <c r="AQ28" s="378"/>
      <c r="AR28" s="609"/>
      <c r="AS28" s="378" t="s">
        <v>234</v>
      </c>
      <c r="AT28" s="378"/>
      <c r="AU28" s="378"/>
      <c r="AV28" s="378"/>
      <c r="AW28" s="378"/>
      <c r="AX28" s="378"/>
      <c r="AY28" s="378"/>
      <c r="AZ28" s="608"/>
      <c r="BA28" s="378"/>
      <c r="BB28" s="378"/>
      <c r="BC28" s="378"/>
      <c r="BD28" s="378"/>
      <c r="BE28" s="3625"/>
      <c r="BF28" s="3626"/>
      <c r="BG28" s="3627"/>
      <c r="BH28" s="378"/>
      <c r="BI28" s="3908"/>
      <c r="BJ28" s="3909"/>
      <c r="BK28" s="3910"/>
      <c r="BL28" s="356"/>
      <c r="BM28" s="381">
        <v>15</v>
      </c>
    </row>
    <row r="29" spans="1:65" ht="15" customHeight="1">
      <c r="A29" s="3862"/>
      <c r="B29" s="551">
        <f t="shared" si="3"/>
        <v>0</v>
      </c>
      <c r="C29" s="546"/>
      <c r="D29" s="534">
        <f>IF(ISBLANK(AX7),(AA29/AS7)*AW7,(AA29/AX7)*AY7)</f>
        <v>0</v>
      </c>
      <c r="E29" s="533">
        <f t="shared" si="4"/>
        <v>0</v>
      </c>
      <c r="F29" s="532">
        <f>IF(ISBLANK(AX7),(AD29/AS7)*AW7,(AD29/AX7)*AY7)</f>
        <v>0</v>
      </c>
      <c r="G29" s="534">
        <f>IF(ISBLANK(AX8),(AA29/AS7)*AW8,(AA29/AX8)*AY8)</f>
        <v>0</v>
      </c>
      <c r="H29" s="533">
        <f t="shared" si="5"/>
        <v>0</v>
      </c>
      <c r="I29" s="532">
        <f>IF(ISBLANK(AX8),(AD29/AS7)*AW8,(AD29/AX8)*AY8)</f>
        <v>0</v>
      </c>
      <c r="J29" s="534">
        <f>IF(ISBLANK(AX9),(AA29/AS7)*AW9,(AA29/AX9)*AY9)</f>
        <v>0</v>
      </c>
      <c r="K29" s="533">
        <f t="shared" si="6"/>
        <v>0</v>
      </c>
      <c r="L29" s="532">
        <f>IF(ISBLANK(AX9),(AD29/AS7)*AW9,(AD29/AX9)*AY9)</f>
        <v>0</v>
      </c>
      <c r="M29" s="534">
        <f>IF(ISBLANK(AX10),(AA29/AS7)*AW10,(AA29/AX10)*AY10)</f>
        <v>0</v>
      </c>
      <c r="N29" s="533">
        <f t="shared" si="7"/>
        <v>0</v>
      </c>
      <c r="O29" s="532">
        <f>IF(ISBLANK(AX10),(AD29/AS7)*AW10,(AD29/AX10)*AY10)</f>
        <v>0</v>
      </c>
      <c r="P29" s="534">
        <f>IF(ISBLANK(AX11),(AA29/AS7)*AW11,(AA29/AX11)*AY11)</f>
        <v>0</v>
      </c>
      <c r="Q29" s="533">
        <f t="shared" si="8"/>
        <v>0</v>
      </c>
      <c r="R29" s="532">
        <f>IF(ISBLANK(AX11),(AD29/AS7)*AW11,(AD29/AX11)*AY11)</f>
        <v>0</v>
      </c>
      <c r="S29" s="534">
        <f>IF(ISBLANK(AX12),(AA29/AS7)*AW12,(AA29/AX12)*AY12)</f>
        <v>0</v>
      </c>
      <c r="T29" s="533">
        <f t="shared" si="9"/>
        <v>0</v>
      </c>
      <c r="U29" s="532">
        <f>IF(ISBLANK(AX12),(AD29/AS7)*AW12,(AD29/AX12)*AY12)</f>
        <v>0</v>
      </c>
      <c r="V29" s="531">
        <f t="shared" si="10"/>
        <v>0</v>
      </c>
      <c r="W29" s="530">
        <f t="shared" si="11"/>
        <v>0</v>
      </c>
      <c r="X29" s="529">
        <f t="shared" si="12"/>
        <v>0</v>
      </c>
      <c r="Y29" s="3864"/>
      <c r="Z29" s="515"/>
      <c r="AA29" s="545"/>
      <c r="AB29" s="544"/>
      <c r="AC29" s="543"/>
      <c r="AD29" s="542">
        <f t="shared" si="13"/>
        <v>0</v>
      </c>
      <c r="AE29" s="541"/>
      <c r="AF29" s="523"/>
      <c r="AG29" s="522"/>
      <c r="AH29" s="540">
        <f>IF(ISBLANK(AH9),(AA29/AD10)*AJ7,(AA29/AH9)*AI9)</f>
        <v>0</v>
      </c>
      <c r="AI29" s="539">
        <f t="shared" si="14"/>
        <v>0</v>
      </c>
      <c r="AJ29" s="538">
        <f>IF(ISBLANK(AH9),(AD29/AD10)*AJ7,(AD29/AH9)*AI9)</f>
        <v>0</v>
      </c>
      <c r="AK29" s="518"/>
      <c r="AL29" s="537">
        <f t="shared" si="15"/>
        <v>0</v>
      </c>
      <c r="AM29" s="516"/>
      <c r="AN29" s="372">
        <f t="shared" si="16"/>
        <v>0</v>
      </c>
      <c r="AO29" s="3685"/>
      <c r="AP29" s="515"/>
      <c r="AQ29" s="378"/>
      <c r="AR29" s="609"/>
      <c r="AS29" s="378" t="s">
        <v>233</v>
      </c>
      <c r="AT29" s="378"/>
      <c r="AU29" s="378"/>
      <c r="AV29" s="378"/>
      <c r="AW29" s="378"/>
      <c r="AX29" s="378"/>
      <c r="AY29" s="378"/>
      <c r="AZ29" s="608"/>
      <c r="BA29" s="378"/>
      <c r="BB29" s="378"/>
      <c r="BC29" s="378"/>
      <c r="BD29" s="378"/>
      <c r="BE29" s="3625"/>
      <c r="BF29" s="3626"/>
      <c r="BG29" s="3627"/>
      <c r="BH29" s="378"/>
      <c r="BI29" s="3908"/>
      <c r="BJ29" s="3909"/>
      <c r="BK29" s="3910"/>
      <c r="BL29" s="356"/>
      <c r="BM29" s="381">
        <v>15</v>
      </c>
    </row>
    <row r="30" spans="1:65" ht="15" customHeight="1" thickBot="1">
      <c r="A30" s="3862"/>
      <c r="B30" s="551">
        <f t="shared" si="3"/>
        <v>0</v>
      </c>
      <c r="C30" s="546"/>
      <c r="D30" s="534">
        <f>IF(ISBLANK(AX7),(AA30/AS7)*AW7,(AA30/AX7)*AY7)</f>
        <v>0</v>
      </c>
      <c r="E30" s="533">
        <f t="shared" si="4"/>
        <v>0</v>
      </c>
      <c r="F30" s="532">
        <f>IF(ISBLANK(AX7),(AD30/AS7)*AW7,(AD30/AX7)*AY7)</f>
        <v>0</v>
      </c>
      <c r="G30" s="534">
        <f>IF(ISBLANK(AX8),(AA30/AS7)*AW8,(AA30/AX8)*AY8)</f>
        <v>0</v>
      </c>
      <c r="H30" s="533">
        <f t="shared" si="5"/>
        <v>0</v>
      </c>
      <c r="I30" s="532">
        <f>IF(ISBLANK(AX8),(AD30/AS7)*AW8,(AD30/AX8)*AY8)</f>
        <v>0</v>
      </c>
      <c r="J30" s="534">
        <f>IF(ISBLANK(AX9),(AA30/AS7)*AW9,(AA30/AX9)*AY9)</f>
        <v>0</v>
      </c>
      <c r="K30" s="533">
        <f t="shared" si="6"/>
        <v>0</v>
      </c>
      <c r="L30" s="532">
        <f>IF(ISBLANK(AX9),(AD30/AS7)*AW9,(AD30/AX9)*AY9)</f>
        <v>0</v>
      </c>
      <c r="M30" s="534">
        <f>IF(ISBLANK(AX10),(AA30/AS7)*AW10,(AA30/AX10)*AY10)</f>
        <v>0</v>
      </c>
      <c r="N30" s="533">
        <f t="shared" si="7"/>
        <v>0</v>
      </c>
      <c r="O30" s="532">
        <f>IF(ISBLANK(AX10),(AD30/AS7)*AW10,(AD30/AX10)*AY10)</f>
        <v>0</v>
      </c>
      <c r="P30" s="534">
        <f>IF(ISBLANK(AX11),(AA30/AS7)*AW11,(AA30/AX11)*AY11)</f>
        <v>0</v>
      </c>
      <c r="Q30" s="533">
        <f t="shared" si="8"/>
        <v>0</v>
      </c>
      <c r="R30" s="532">
        <f>IF(ISBLANK(AX11),(AD30/AS7)*AW11,(AD30/AX11)*AY11)</f>
        <v>0</v>
      </c>
      <c r="S30" s="534">
        <f>IF(ISBLANK(AX12),(AA30/AS7)*AW12,(AA30/AX12)*AY12)</f>
        <v>0</v>
      </c>
      <c r="T30" s="533">
        <f t="shared" si="9"/>
        <v>0</v>
      </c>
      <c r="U30" s="532">
        <f>IF(ISBLANK(AX12),(AD30/AS7)*AW12,(AD30/AX12)*AY12)</f>
        <v>0</v>
      </c>
      <c r="V30" s="531">
        <f t="shared" si="10"/>
        <v>0</v>
      </c>
      <c r="W30" s="530">
        <f t="shared" si="11"/>
        <v>0</v>
      </c>
      <c r="X30" s="529">
        <f t="shared" si="12"/>
        <v>0</v>
      </c>
      <c r="Y30" s="3864"/>
      <c r="Z30" s="515"/>
      <c r="AA30" s="528"/>
      <c r="AB30" s="527"/>
      <c r="AC30" s="526"/>
      <c r="AD30" s="525">
        <f t="shared" si="13"/>
        <v>0</v>
      </c>
      <c r="AE30" s="524"/>
      <c r="AF30" s="523"/>
      <c r="AG30" s="522"/>
      <c r="AH30" s="521">
        <f>IF(ISBLANK(AH9),(AA30/AD10)*AJ7,(AA30/AH9)*AI9)</f>
        <v>0</v>
      </c>
      <c r="AI30" s="520">
        <f t="shared" si="14"/>
        <v>0</v>
      </c>
      <c r="AJ30" s="519">
        <f>IF(ISBLANK(AH9),(AD30/AD10)*AJ7,(AD30/AH9)*AI9)</f>
        <v>0</v>
      </c>
      <c r="AK30" s="518"/>
      <c r="AL30" s="517">
        <f t="shared" si="15"/>
        <v>0</v>
      </c>
      <c r="AM30" s="516"/>
      <c r="AN30" s="372">
        <f t="shared" si="16"/>
        <v>0</v>
      </c>
      <c r="AO30" s="3685"/>
      <c r="AP30" s="515"/>
      <c r="AQ30" s="378"/>
      <c r="AR30" s="614" t="s">
        <v>232</v>
      </c>
      <c r="AS30" s="3687" t="s">
        <v>231</v>
      </c>
      <c r="AT30" s="3689" t="s">
        <v>230</v>
      </c>
      <c r="AU30" s="613"/>
      <c r="AV30" s="613"/>
      <c r="AW30" s="613"/>
      <c r="AX30" s="613"/>
      <c r="AY30" s="613"/>
      <c r="AZ30" s="612"/>
      <c r="BA30" s="378"/>
      <c r="BB30" s="378"/>
      <c r="BC30" s="378"/>
      <c r="BD30" s="378"/>
      <c r="BE30" s="583" t="s">
        <v>229</v>
      </c>
      <c r="BF30" s="611"/>
      <c r="BG30" s="610"/>
      <c r="BH30" s="378"/>
      <c r="BI30" s="3908"/>
      <c r="BJ30" s="3909"/>
      <c r="BK30" s="3910"/>
      <c r="BL30" s="356"/>
      <c r="BM30" s="381">
        <v>15</v>
      </c>
    </row>
    <row r="31" spans="1:65" ht="15" customHeight="1">
      <c r="A31" s="3862"/>
      <c r="B31" s="551">
        <f t="shared" si="3"/>
        <v>0</v>
      </c>
      <c r="C31" s="546"/>
      <c r="D31" s="534">
        <f>IF(ISBLANK(AX7),(AA31/AS7)*AW7,(AA31/AX7)*AY7)</f>
        <v>0</v>
      </c>
      <c r="E31" s="533">
        <f t="shared" si="4"/>
        <v>0</v>
      </c>
      <c r="F31" s="532">
        <f>IF(ISBLANK(AX7),(AD31/AS7)*AW7,(AD31/AX7)*AY7)</f>
        <v>0</v>
      </c>
      <c r="G31" s="534">
        <f>IF(ISBLANK(AX8),(AA31/AS7)*AW8,(AA31/AX8)*AY8)</f>
        <v>0</v>
      </c>
      <c r="H31" s="533">
        <f t="shared" si="5"/>
        <v>0</v>
      </c>
      <c r="I31" s="532">
        <f>IF(ISBLANK(AX8),(AD31/AS7)*AW8,(AD31/AX8)*AY8)</f>
        <v>0</v>
      </c>
      <c r="J31" s="534">
        <f>IF(ISBLANK(AX9),(AA31/AS7)*AW9,(AA31/AX9)*AY9)</f>
        <v>0</v>
      </c>
      <c r="K31" s="533">
        <f t="shared" si="6"/>
        <v>0</v>
      </c>
      <c r="L31" s="532">
        <f>IF(ISBLANK(AX9),(AD31/AS7)*AW9,(AD31/AX9)*AY9)</f>
        <v>0</v>
      </c>
      <c r="M31" s="534">
        <f>IF(ISBLANK(AX10),(AA31/AS7)*AW10,(AA31/AX10)*AY10)</f>
        <v>0</v>
      </c>
      <c r="N31" s="533">
        <f t="shared" si="7"/>
        <v>0</v>
      </c>
      <c r="O31" s="532">
        <f>IF(ISBLANK(AX10),(AD31/AS7)*AW10,(AD31/AX10)*AY10)</f>
        <v>0</v>
      </c>
      <c r="P31" s="534">
        <f>IF(ISBLANK(AX11),(AA31/AS7)*AW11,(AA31/AX11)*AY11)</f>
        <v>0</v>
      </c>
      <c r="Q31" s="533">
        <f t="shared" si="8"/>
        <v>0</v>
      </c>
      <c r="R31" s="532">
        <f>IF(ISBLANK(AX11),(AD31/AS7)*AW11,(AD31/AX11)*AY11)</f>
        <v>0</v>
      </c>
      <c r="S31" s="534">
        <f>IF(ISBLANK(AX12),(AA31/AS7)*AW12,(AA31/AX12)*AY12)</f>
        <v>0</v>
      </c>
      <c r="T31" s="533">
        <f t="shared" si="9"/>
        <v>0</v>
      </c>
      <c r="U31" s="532">
        <f>IF(ISBLANK(AX12),(AD31/AS7)*AW12,(AD31/AX12)*AY12)</f>
        <v>0</v>
      </c>
      <c r="V31" s="531">
        <f t="shared" si="10"/>
        <v>0</v>
      </c>
      <c r="W31" s="530">
        <f t="shared" si="11"/>
        <v>0</v>
      </c>
      <c r="X31" s="529">
        <f t="shared" si="12"/>
        <v>0</v>
      </c>
      <c r="Y31" s="3864"/>
      <c r="Z31" s="515"/>
      <c r="AA31" s="545"/>
      <c r="AB31" s="544"/>
      <c r="AC31" s="543"/>
      <c r="AD31" s="542">
        <f t="shared" si="13"/>
        <v>0</v>
      </c>
      <c r="AE31" s="541"/>
      <c r="AF31" s="523"/>
      <c r="AG31" s="522"/>
      <c r="AH31" s="540">
        <f>IF(ISBLANK(AH9),(AA31/AD10)*AJ7,(AA31/AH9)*AI9)</f>
        <v>0</v>
      </c>
      <c r="AI31" s="539">
        <f t="shared" si="14"/>
        <v>0</v>
      </c>
      <c r="AJ31" s="538">
        <f>IF(ISBLANK(AH9),(AD31/AD10)*AJ7,(AD31/AH9)*AI9)</f>
        <v>0</v>
      </c>
      <c r="AK31" s="518"/>
      <c r="AL31" s="537">
        <f t="shared" si="15"/>
        <v>0</v>
      </c>
      <c r="AM31" s="516"/>
      <c r="AN31" s="372">
        <f t="shared" si="16"/>
        <v>0</v>
      </c>
      <c r="AO31" s="3685"/>
      <c r="AP31" s="515"/>
      <c r="AQ31" s="378"/>
      <c r="AR31" s="609"/>
      <c r="AS31" s="3688"/>
      <c r="AT31" s="3690"/>
      <c r="AU31" s="378"/>
      <c r="AV31" s="378"/>
      <c r="AW31" s="378"/>
      <c r="AX31" s="378"/>
      <c r="AY31" s="378"/>
      <c r="AZ31" s="608"/>
      <c r="BA31" s="378"/>
      <c r="BB31" s="378"/>
      <c r="BC31" s="378"/>
      <c r="BD31" s="378"/>
      <c r="BE31" s="3628" t="s">
        <v>87</v>
      </c>
      <c r="BF31" s="3629"/>
      <c r="BG31" s="178" t="s">
        <v>88</v>
      </c>
      <c r="BH31" s="378"/>
      <c r="BI31" s="3908"/>
      <c r="BJ31" s="3909"/>
      <c r="BK31" s="3910"/>
      <c r="BL31" s="356"/>
      <c r="BM31" s="381">
        <v>15</v>
      </c>
    </row>
    <row r="32" spans="1:65" ht="15" customHeight="1" thickBot="1">
      <c r="A32" s="3862"/>
      <c r="B32" s="551">
        <f t="shared" si="3"/>
        <v>0</v>
      </c>
      <c r="C32" s="546"/>
      <c r="D32" s="534">
        <f>IF(ISBLANK(AX7),(AA32/AS7)*AW7,(AA32/AX7)*AY7)</f>
        <v>0</v>
      </c>
      <c r="E32" s="533">
        <f t="shared" si="4"/>
        <v>0</v>
      </c>
      <c r="F32" s="532">
        <f>IF(ISBLANK(AX7),(AD32/AS7)*AW7,(AD32/AX7)*AY7)</f>
        <v>0</v>
      </c>
      <c r="G32" s="534">
        <f>IF(ISBLANK(AX8),(AA32/AS7)*AW8,(AA32/AX8)*AY8)</f>
        <v>0</v>
      </c>
      <c r="H32" s="533">
        <f t="shared" si="5"/>
        <v>0</v>
      </c>
      <c r="I32" s="532">
        <f>IF(ISBLANK(AX8),(AD32/AS7)*AW8,(AD32/AX8)*AY8)</f>
        <v>0</v>
      </c>
      <c r="J32" s="534">
        <f>IF(ISBLANK(AX9),(AA32/AS7)*AW9,(AA32/AX9)*AY9)</f>
        <v>0</v>
      </c>
      <c r="K32" s="533">
        <f t="shared" si="6"/>
        <v>0</v>
      </c>
      <c r="L32" s="532">
        <f>IF(ISBLANK(AX9),(AD32/AS7)*AW9,(AD32/AX9)*AY9)</f>
        <v>0</v>
      </c>
      <c r="M32" s="534">
        <f>IF(ISBLANK(AX10),(AA32/AS7)*AW10,(AA32/AX10)*AY10)</f>
        <v>0</v>
      </c>
      <c r="N32" s="533">
        <f t="shared" si="7"/>
        <v>0</v>
      </c>
      <c r="O32" s="532">
        <f>IF(ISBLANK(AX10),(AD32/AS7)*AW10,(AD32/AX10)*AY10)</f>
        <v>0</v>
      </c>
      <c r="P32" s="534">
        <f>IF(ISBLANK(AX11),(AA32/AS7)*AW11,(AA32/AX11)*AY11)</f>
        <v>0</v>
      </c>
      <c r="Q32" s="533">
        <f t="shared" si="8"/>
        <v>0</v>
      </c>
      <c r="R32" s="532">
        <f>IF(ISBLANK(AX11),(AD32/AS7)*AW11,(AD32/AX11)*AY11)</f>
        <v>0</v>
      </c>
      <c r="S32" s="534">
        <f>IF(ISBLANK(AX12),(AA32/AS7)*AW12,(AA32/AX12)*AY12)</f>
        <v>0</v>
      </c>
      <c r="T32" s="533">
        <f t="shared" si="9"/>
        <v>0</v>
      </c>
      <c r="U32" s="532">
        <f>IF(ISBLANK(AX12),(AD32/AS7)*AW12,(AD32/AX12)*AY12)</f>
        <v>0</v>
      </c>
      <c r="V32" s="531">
        <f t="shared" si="10"/>
        <v>0</v>
      </c>
      <c r="W32" s="530">
        <f t="shared" si="11"/>
        <v>0</v>
      </c>
      <c r="X32" s="529">
        <f t="shared" si="12"/>
        <v>0</v>
      </c>
      <c r="Y32" s="3864"/>
      <c r="Z32" s="515"/>
      <c r="AA32" s="528"/>
      <c r="AB32" s="527"/>
      <c r="AC32" s="526"/>
      <c r="AD32" s="525">
        <f t="shared" si="13"/>
        <v>0</v>
      </c>
      <c r="AE32" s="524"/>
      <c r="AF32" s="523"/>
      <c r="AG32" s="522"/>
      <c r="AH32" s="521">
        <f>IF(ISBLANK(AH9),(AA32/AD10)*AJ7,(AA32/AH9)*AI9)</f>
        <v>0</v>
      </c>
      <c r="AI32" s="520">
        <f t="shared" si="14"/>
        <v>0</v>
      </c>
      <c r="AJ32" s="519">
        <f>IF(ISBLANK(AH9),(AD32/AD10)*AJ7,(AD32/AH9)*AI9)</f>
        <v>0</v>
      </c>
      <c r="AK32" s="518"/>
      <c r="AL32" s="517">
        <f t="shared" si="15"/>
        <v>0</v>
      </c>
      <c r="AM32" s="516"/>
      <c r="AN32" s="372">
        <f t="shared" si="16"/>
        <v>0</v>
      </c>
      <c r="AO32" s="3685"/>
      <c r="AP32" s="515"/>
      <c r="AQ32" s="378"/>
      <c r="AR32" s="571"/>
      <c r="AS32" s="607">
        <v>14</v>
      </c>
      <c r="AT32" s="606">
        <v>18.46</v>
      </c>
      <c r="AU32" s="605" t="s">
        <v>228</v>
      </c>
      <c r="AV32" s="570"/>
      <c r="AW32" s="570"/>
      <c r="AX32" s="570"/>
      <c r="AY32" s="570"/>
      <c r="AZ32" s="604"/>
      <c r="BA32" s="378"/>
      <c r="BB32" s="378"/>
      <c r="BC32" s="378"/>
      <c r="BD32" s="378"/>
      <c r="BE32" s="603"/>
      <c r="BF32" s="602"/>
      <c r="BG32" s="601" t="s">
        <v>89</v>
      </c>
      <c r="BH32" s="378"/>
      <c r="BI32" s="3908"/>
      <c r="BJ32" s="3909"/>
      <c r="BK32" s="3910"/>
      <c r="BL32" s="356"/>
      <c r="BM32" s="381">
        <v>15</v>
      </c>
    </row>
    <row r="33" spans="1:65" ht="15" customHeight="1" thickBot="1">
      <c r="A33" s="3862"/>
      <c r="B33" s="551">
        <f t="shared" si="3"/>
        <v>0</v>
      </c>
      <c r="C33" s="546"/>
      <c r="D33" s="534">
        <f>IF(ISBLANK(AX7),(AA33/AS7)*AW7,(AA33/AX7)*AY7)</f>
        <v>0</v>
      </c>
      <c r="E33" s="533">
        <f t="shared" si="4"/>
        <v>0</v>
      </c>
      <c r="F33" s="532">
        <f>IF(ISBLANK(AX7),(AD33/AS7)*AW7,(AD33/AX7)*AY7)</f>
        <v>0</v>
      </c>
      <c r="G33" s="534">
        <f>IF(ISBLANK(AX8),(AA33/AS7)*AW8,(AA33/AX8)*AY8)</f>
        <v>0</v>
      </c>
      <c r="H33" s="533">
        <f t="shared" si="5"/>
        <v>0</v>
      </c>
      <c r="I33" s="532">
        <f>IF(ISBLANK(AX8),(AD33/AS7)*AW8,(AD33/AX8)*AY8)</f>
        <v>0</v>
      </c>
      <c r="J33" s="534">
        <f>IF(ISBLANK(AX9),(AA33/AS7)*AW9,(AA33/AX9)*AY9)</f>
        <v>0</v>
      </c>
      <c r="K33" s="533">
        <f t="shared" si="6"/>
        <v>0</v>
      </c>
      <c r="L33" s="532">
        <f>IF(ISBLANK(AX9),(AD33/AS7)*AW9,(AD33/AX9)*AY9)</f>
        <v>0</v>
      </c>
      <c r="M33" s="534">
        <f>IF(ISBLANK(AX10),(AA33/AS7)*AW10,(AA33/AX10)*AY10)</f>
        <v>0</v>
      </c>
      <c r="N33" s="533">
        <f t="shared" si="7"/>
        <v>0</v>
      </c>
      <c r="O33" s="532">
        <f>IF(ISBLANK(AX10),(AD33/AS7)*AW10,(AD33/AX10)*AY10)</f>
        <v>0</v>
      </c>
      <c r="P33" s="534">
        <f>IF(ISBLANK(AX11),(AA33/AS7)*AW11,(AA33/AX11)*AY11)</f>
        <v>0</v>
      </c>
      <c r="Q33" s="533">
        <f t="shared" si="8"/>
        <v>0</v>
      </c>
      <c r="R33" s="532">
        <f>IF(ISBLANK(AX11),(AD33/AS7)*AW11,(AD33/AX11)*AY11)</f>
        <v>0</v>
      </c>
      <c r="S33" s="534">
        <f>IF(ISBLANK(AX12),(AA33/AS7)*AW12,(AA33/AX12)*AY12)</f>
        <v>0</v>
      </c>
      <c r="T33" s="533">
        <f t="shared" si="9"/>
        <v>0</v>
      </c>
      <c r="U33" s="532">
        <f>IF(ISBLANK(AX12),(AD33/AS7)*AW12,(AD33/AX12)*AY12)</f>
        <v>0</v>
      </c>
      <c r="V33" s="531">
        <f t="shared" si="10"/>
        <v>0</v>
      </c>
      <c r="W33" s="530">
        <f t="shared" si="11"/>
        <v>0</v>
      </c>
      <c r="X33" s="529">
        <f t="shared" si="12"/>
        <v>0</v>
      </c>
      <c r="Y33" s="3864"/>
      <c r="Z33" s="515"/>
      <c r="AA33" s="545"/>
      <c r="AB33" s="544"/>
      <c r="AC33" s="543"/>
      <c r="AD33" s="542">
        <f t="shared" si="13"/>
        <v>0</v>
      </c>
      <c r="AE33" s="541"/>
      <c r="AF33" s="523"/>
      <c r="AG33" s="522"/>
      <c r="AH33" s="540">
        <f>IF(ISBLANK(AH9),(AA33/AD10)*AJ7,(AA33/AH9)*AI9)</f>
        <v>0</v>
      </c>
      <c r="AI33" s="539">
        <f t="shared" si="14"/>
        <v>0</v>
      </c>
      <c r="AJ33" s="538">
        <f>IF(ISBLANK(AH9),(AD33/AD10)*AJ7,(AD33/AH9)*AI9)</f>
        <v>0</v>
      </c>
      <c r="AK33" s="518"/>
      <c r="AL33" s="537">
        <f t="shared" si="15"/>
        <v>0</v>
      </c>
      <c r="AM33" s="516"/>
      <c r="AN33" s="372">
        <f t="shared" si="16"/>
        <v>0</v>
      </c>
      <c r="AO33" s="3685"/>
      <c r="AP33" s="515"/>
      <c r="AQ33" s="378"/>
      <c r="BA33" s="378"/>
      <c r="BB33" s="378"/>
      <c r="BC33" s="378"/>
      <c r="BD33" s="378"/>
      <c r="BE33" s="3897" t="s">
        <v>90</v>
      </c>
      <c r="BF33" s="3898"/>
      <c r="BG33" s="3899"/>
      <c r="BH33" s="378"/>
      <c r="BI33" s="3908"/>
      <c r="BJ33" s="3909"/>
      <c r="BK33" s="3910"/>
      <c r="BL33" s="356"/>
      <c r="BM33" s="381">
        <v>15</v>
      </c>
    </row>
    <row r="34" spans="1:65" ht="15" customHeight="1">
      <c r="A34" s="3862"/>
      <c r="B34" s="551">
        <f t="shared" si="3"/>
        <v>0</v>
      </c>
      <c r="C34" s="546"/>
      <c r="D34" s="534">
        <f>IF(ISBLANK(AX7),(AA34/AS7)*AW7,(AA34/AX7)*AY7)</f>
        <v>0</v>
      </c>
      <c r="E34" s="533">
        <f t="shared" si="4"/>
        <v>0</v>
      </c>
      <c r="F34" s="532">
        <f>IF(ISBLANK(AX7),(AD34/AS7)*AW7,(AD34/AX7)*AY7)</f>
        <v>0</v>
      </c>
      <c r="G34" s="534">
        <f>IF(ISBLANK(AX8),(AA34/AS7)*AW8,(AA34/AX8)*AY8)</f>
        <v>0</v>
      </c>
      <c r="H34" s="533">
        <f t="shared" si="5"/>
        <v>0</v>
      </c>
      <c r="I34" s="532">
        <f>IF(ISBLANK(AX8),(AD34/AS7)*AW8,(AD34/AX8)*AY8)</f>
        <v>0</v>
      </c>
      <c r="J34" s="534">
        <f>IF(ISBLANK(AX9),(AA34/AS7)*AW9,(AA34/AX9)*AY9)</f>
        <v>0</v>
      </c>
      <c r="K34" s="533">
        <f t="shared" si="6"/>
        <v>0</v>
      </c>
      <c r="L34" s="532">
        <f>IF(ISBLANK(AX9),(AD34/AS7)*AW9,(AD34/AX9)*AY9)</f>
        <v>0</v>
      </c>
      <c r="M34" s="534">
        <f>IF(ISBLANK(AX10),(AA34/AS7)*AW10,(AA34/AX10)*AY10)</f>
        <v>0</v>
      </c>
      <c r="N34" s="533">
        <f t="shared" si="7"/>
        <v>0</v>
      </c>
      <c r="O34" s="532">
        <f>IF(ISBLANK(AX10),(AD34/AS7)*AW10,(AD34/AX10)*AY10)</f>
        <v>0</v>
      </c>
      <c r="P34" s="534">
        <f>IF(ISBLANK(AX11),(AA34/AS7)*AW11,(AA34/AX11)*AY11)</f>
        <v>0</v>
      </c>
      <c r="Q34" s="533">
        <f t="shared" si="8"/>
        <v>0</v>
      </c>
      <c r="R34" s="532">
        <f>IF(ISBLANK(AX11),(AD34/AS7)*AW11,(AD34/AX11)*AY11)</f>
        <v>0</v>
      </c>
      <c r="S34" s="534">
        <f>IF(ISBLANK(AX12),(AA34/AS7)*AW12,(AA34/AX12)*AY12)</f>
        <v>0</v>
      </c>
      <c r="T34" s="533">
        <f t="shared" si="9"/>
        <v>0</v>
      </c>
      <c r="U34" s="532">
        <f>IF(ISBLANK(AX12),(AD34/AS7)*AW12,(AD34/AX12)*AY12)</f>
        <v>0</v>
      </c>
      <c r="V34" s="531">
        <f t="shared" si="10"/>
        <v>0</v>
      </c>
      <c r="W34" s="530">
        <f t="shared" si="11"/>
        <v>0</v>
      </c>
      <c r="X34" s="529">
        <f t="shared" si="12"/>
        <v>0</v>
      </c>
      <c r="Y34" s="3864"/>
      <c r="Z34" s="515"/>
      <c r="AA34" s="528"/>
      <c r="AB34" s="527"/>
      <c r="AC34" s="526"/>
      <c r="AD34" s="525">
        <f t="shared" si="13"/>
        <v>0</v>
      </c>
      <c r="AE34" s="524"/>
      <c r="AF34" s="523"/>
      <c r="AG34" s="522"/>
      <c r="AH34" s="521">
        <f>IF(ISBLANK(AH9),(AA34/AD10)*AJ7,(AA34/AH9)*AI9)</f>
        <v>0</v>
      </c>
      <c r="AI34" s="520">
        <f t="shared" si="14"/>
        <v>0</v>
      </c>
      <c r="AJ34" s="519">
        <f>IF(ISBLANK(AH9),(AD34/AD10)*AJ7,(AD34/AH9)*AI9)</f>
        <v>0</v>
      </c>
      <c r="AK34" s="518"/>
      <c r="AL34" s="517">
        <f t="shared" si="15"/>
        <v>0</v>
      </c>
      <c r="AM34" s="516"/>
      <c r="AN34" s="372">
        <f t="shared" si="16"/>
        <v>0</v>
      </c>
      <c r="AO34" s="3685"/>
      <c r="AP34" s="515"/>
      <c r="AQ34" s="378"/>
      <c r="AR34" s="3691" t="s">
        <v>227</v>
      </c>
      <c r="AS34" s="3692"/>
      <c r="AT34" s="3692"/>
      <c r="AU34" s="3692"/>
      <c r="AV34" s="3692"/>
      <c r="AW34" s="3692"/>
      <c r="AX34" s="3692"/>
      <c r="AY34" s="3692"/>
      <c r="AZ34" s="3693"/>
      <c r="BA34" s="568"/>
      <c r="BB34" s="568"/>
      <c r="BC34" s="568"/>
      <c r="BD34" s="568"/>
      <c r="BE34" s="3897"/>
      <c r="BF34" s="3898"/>
      <c r="BG34" s="3899"/>
      <c r="BH34" s="378"/>
      <c r="BI34" s="3908"/>
      <c r="BJ34" s="3909"/>
      <c r="BK34" s="3910"/>
      <c r="BL34" s="356"/>
      <c r="BM34" s="381">
        <v>15</v>
      </c>
    </row>
    <row r="35" spans="1:65" ht="15" customHeight="1">
      <c r="A35" s="3862"/>
      <c r="B35" s="551">
        <f t="shared" si="3"/>
        <v>0</v>
      </c>
      <c r="C35" s="546"/>
      <c r="D35" s="534">
        <f>IF(ISBLANK(AX7),(AA35/AS7)*AW7,(AA35/AX7)*AY7)</f>
        <v>0</v>
      </c>
      <c r="E35" s="533">
        <f t="shared" si="4"/>
        <v>0</v>
      </c>
      <c r="F35" s="532">
        <f>IF(ISBLANK(AX7),(AD35/AS7)*AW7,(AD35/AX7)*AY7)</f>
        <v>0</v>
      </c>
      <c r="G35" s="534">
        <f>IF(ISBLANK(AX8),(AA35/AS7)*AW8,(AA35/AX8)*AY8)</f>
        <v>0</v>
      </c>
      <c r="H35" s="533">
        <f t="shared" si="5"/>
        <v>0</v>
      </c>
      <c r="I35" s="532">
        <f>IF(ISBLANK(AX8),(AD35/AS7)*AW8,(AD35/AX8)*AY8)</f>
        <v>0</v>
      </c>
      <c r="J35" s="534">
        <f>IF(ISBLANK(AX9),(AA35/AS7)*AW9,(AA35/AX9)*AY9)</f>
        <v>0</v>
      </c>
      <c r="K35" s="533">
        <f t="shared" si="6"/>
        <v>0</v>
      </c>
      <c r="L35" s="532">
        <f>IF(ISBLANK(AX9),(AD35/AS7)*AW9,(AD35/AX9)*AY9)</f>
        <v>0</v>
      </c>
      <c r="M35" s="534">
        <f>IF(ISBLANK(AX10),(AA35/AS7)*AW10,(AA35/AX10)*AY10)</f>
        <v>0</v>
      </c>
      <c r="N35" s="533">
        <f t="shared" si="7"/>
        <v>0</v>
      </c>
      <c r="O35" s="532">
        <f>IF(ISBLANK(AX10),(AD35/AS7)*AW10,(AD35/AX10)*AY10)</f>
        <v>0</v>
      </c>
      <c r="P35" s="534">
        <f>IF(ISBLANK(AX11),(AA35/AS7)*AW11,(AA35/AX11)*AY11)</f>
        <v>0</v>
      </c>
      <c r="Q35" s="533">
        <f t="shared" si="8"/>
        <v>0</v>
      </c>
      <c r="R35" s="532">
        <f>IF(ISBLANK(AX11),(AD35/AS7)*AW11,(AD35/AX11)*AY11)</f>
        <v>0</v>
      </c>
      <c r="S35" s="534">
        <f>IF(ISBLANK(AX12),(AA35/AS7)*AW12,(AA35/AX12)*AY12)</f>
        <v>0</v>
      </c>
      <c r="T35" s="533">
        <f t="shared" si="9"/>
        <v>0</v>
      </c>
      <c r="U35" s="532">
        <f>IF(ISBLANK(AX12),(AD35/AS7)*AW12,(AD35/AX12)*AY12)</f>
        <v>0</v>
      </c>
      <c r="V35" s="531">
        <f t="shared" si="10"/>
        <v>0</v>
      </c>
      <c r="W35" s="530">
        <f t="shared" si="11"/>
        <v>0</v>
      </c>
      <c r="X35" s="529">
        <f t="shared" si="12"/>
        <v>0</v>
      </c>
      <c r="Y35" s="3864"/>
      <c r="Z35" s="515"/>
      <c r="AA35" s="545"/>
      <c r="AB35" s="544"/>
      <c r="AC35" s="543"/>
      <c r="AD35" s="542">
        <f t="shared" si="13"/>
        <v>0</v>
      </c>
      <c r="AE35" s="541"/>
      <c r="AF35" s="523"/>
      <c r="AG35" s="522"/>
      <c r="AH35" s="540">
        <f>IF(ISBLANK(AH9),(AA35/AD10)*AJ7,(AA35/AH9)*AI9)</f>
        <v>0</v>
      </c>
      <c r="AI35" s="539">
        <f t="shared" si="14"/>
        <v>0</v>
      </c>
      <c r="AJ35" s="538">
        <f>IF(ISBLANK(AH9),(AD35/AD10)*AJ7,(AD35/AH9)*AI9)</f>
        <v>0</v>
      </c>
      <c r="AK35" s="518"/>
      <c r="AL35" s="537">
        <f t="shared" si="15"/>
        <v>0</v>
      </c>
      <c r="AM35" s="516"/>
      <c r="AN35" s="372">
        <f t="shared" si="16"/>
        <v>0</v>
      </c>
      <c r="AO35" s="3685"/>
      <c r="AP35" s="515"/>
      <c r="AQ35" s="378"/>
      <c r="AR35" s="600"/>
      <c r="AS35" s="579"/>
      <c r="AT35" s="579"/>
      <c r="AU35" s="579"/>
      <c r="AV35" s="579"/>
      <c r="AW35" s="579"/>
      <c r="AX35" s="579"/>
      <c r="AY35" s="579"/>
      <c r="AZ35" s="584"/>
      <c r="BA35" s="568"/>
      <c r="BB35" s="568"/>
      <c r="BC35" s="568"/>
      <c r="BD35" s="568"/>
      <c r="BE35" s="3901" t="s">
        <v>91</v>
      </c>
      <c r="BF35" s="3902"/>
      <c r="BG35" s="3903"/>
      <c r="BH35" s="378"/>
      <c r="BI35" s="203" t="s">
        <v>102</v>
      </c>
      <c r="BJ35" s="204"/>
      <c r="BK35" s="205"/>
      <c r="BL35" s="356"/>
      <c r="BM35" s="381">
        <v>15</v>
      </c>
    </row>
    <row r="36" spans="1:65" ht="15" customHeight="1">
      <c r="A36" s="3862"/>
      <c r="B36" s="551">
        <f t="shared" si="3"/>
        <v>0</v>
      </c>
      <c r="C36" s="546"/>
      <c r="D36" s="534">
        <f>IF(ISBLANK(AX7),(AA36/AS7)*AW7,(AA36/AX7)*AY7)</f>
        <v>0</v>
      </c>
      <c r="E36" s="533">
        <f t="shared" si="4"/>
        <v>0</v>
      </c>
      <c r="F36" s="532">
        <f>IF(ISBLANK(AX7),(AD36/AS7)*AW7,(AD36/AX7)*AY7)</f>
        <v>0</v>
      </c>
      <c r="G36" s="534">
        <f>IF(ISBLANK(AX8),(AA36/AS7)*AW8,(AA36/AX8)*AY8)</f>
        <v>0</v>
      </c>
      <c r="H36" s="533">
        <f t="shared" si="5"/>
        <v>0</v>
      </c>
      <c r="I36" s="532">
        <f>IF(ISBLANK(AX8),(AD36/AS7)*AW8,(AD36/AX8)*AY8)</f>
        <v>0</v>
      </c>
      <c r="J36" s="534">
        <f>IF(ISBLANK(AX9),(AA36/AS7)*AW9,(AA36/AX9)*AY9)</f>
        <v>0</v>
      </c>
      <c r="K36" s="533">
        <f t="shared" si="6"/>
        <v>0</v>
      </c>
      <c r="L36" s="532">
        <f>IF(ISBLANK(AX9),(AD36/AS7)*AW9,(AD36/AX9)*AY9)</f>
        <v>0</v>
      </c>
      <c r="M36" s="534">
        <f>IF(ISBLANK(AX10),(AA36/AS7)*AW10,(AA36/AX10)*AY10)</f>
        <v>0</v>
      </c>
      <c r="N36" s="533">
        <f t="shared" si="7"/>
        <v>0</v>
      </c>
      <c r="O36" s="532">
        <f>IF(ISBLANK(AX10),(AD36/AS7)*AW10,(AD36/AX10)*AY10)</f>
        <v>0</v>
      </c>
      <c r="P36" s="534">
        <f>IF(ISBLANK(AX11),(AA36/AS7)*AW11,(AA36/AX11)*AY11)</f>
        <v>0</v>
      </c>
      <c r="Q36" s="533">
        <f t="shared" si="8"/>
        <v>0</v>
      </c>
      <c r="R36" s="532">
        <f>IF(ISBLANK(AX11),(AD36/AS7)*AW11,(AD36/AX11)*AY11)</f>
        <v>0</v>
      </c>
      <c r="S36" s="534">
        <f>IF(ISBLANK(AX12),(AA36/AS7)*AW12,(AA36/AX12)*AY12)</f>
        <v>0</v>
      </c>
      <c r="T36" s="533">
        <f t="shared" si="9"/>
        <v>0</v>
      </c>
      <c r="U36" s="532">
        <f>IF(ISBLANK(AX12),(AD36/AS7)*AW12,(AD36/AX12)*AY12)</f>
        <v>0</v>
      </c>
      <c r="V36" s="531">
        <f t="shared" si="10"/>
        <v>0</v>
      </c>
      <c r="W36" s="530">
        <f t="shared" si="11"/>
        <v>0</v>
      </c>
      <c r="X36" s="529">
        <f t="shared" si="12"/>
        <v>0</v>
      </c>
      <c r="Y36" s="3864"/>
      <c r="Z36" s="515"/>
      <c r="AA36" s="528"/>
      <c r="AB36" s="527"/>
      <c r="AC36" s="526"/>
      <c r="AD36" s="525">
        <f t="shared" si="13"/>
        <v>0</v>
      </c>
      <c r="AE36" s="524"/>
      <c r="AF36" s="523"/>
      <c r="AG36" s="522"/>
      <c r="AH36" s="521">
        <f>IF(ISBLANK(AH9),(AA36/AD10)*AJ7,(AA36/AH9)*AI9)</f>
        <v>0</v>
      </c>
      <c r="AI36" s="520">
        <f t="shared" si="14"/>
        <v>0</v>
      </c>
      <c r="AJ36" s="519">
        <f>IF(ISBLANK(AH9),(AD36/AD10)*AJ7,(AD36/AH9)*AI9)</f>
        <v>0</v>
      </c>
      <c r="AK36" s="518"/>
      <c r="AL36" s="517">
        <f t="shared" si="15"/>
        <v>0</v>
      </c>
      <c r="AM36" s="516"/>
      <c r="AN36" s="372">
        <f t="shared" si="16"/>
        <v>0</v>
      </c>
      <c r="AO36" s="3685"/>
      <c r="AP36" s="515"/>
      <c r="AQ36" s="378"/>
      <c r="AR36" s="599"/>
      <c r="AS36" s="579"/>
      <c r="AT36" s="579"/>
      <c r="AU36" s="579"/>
      <c r="AV36" s="598" t="s">
        <v>226</v>
      </c>
      <c r="AW36" s="587" t="str">
        <f>ADDRESS(ROW(AX23),COLUMN(AX23),4)</f>
        <v>AX23</v>
      </c>
      <c r="AX36" s="597">
        <f>AX23</f>
        <v>91.000000000000014</v>
      </c>
      <c r="AY36" s="579" t="s">
        <v>225</v>
      </c>
      <c r="AZ36" s="584"/>
      <c r="BA36" s="568"/>
      <c r="BB36" s="568"/>
      <c r="BC36" s="568"/>
      <c r="BD36" s="568"/>
      <c r="BE36" s="3901"/>
      <c r="BF36" s="3902"/>
      <c r="BG36" s="3903"/>
      <c r="BH36" s="378"/>
      <c r="BI36" s="206" t="s">
        <v>104</v>
      </c>
      <c r="BJ36" s="169"/>
      <c r="BK36" s="447"/>
      <c r="BL36" s="356"/>
      <c r="BM36" s="381">
        <v>15</v>
      </c>
    </row>
    <row r="37" spans="1:65" ht="15" customHeight="1">
      <c r="A37" s="3862"/>
      <c r="B37" s="551">
        <f t="shared" si="3"/>
        <v>0</v>
      </c>
      <c r="C37" s="546"/>
      <c r="D37" s="534">
        <f>IF(ISBLANK(AX7),(AA37/AS7)*AW7,(AA37/AX7)*AY7)</f>
        <v>0</v>
      </c>
      <c r="E37" s="533">
        <f t="shared" si="4"/>
        <v>0</v>
      </c>
      <c r="F37" s="532">
        <f>IF(ISBLANK(AX7),(AD37/AS7)*AW7,(AD37/AX7)*AY7)</f>
        <v>0</v>
      </c>
      <c r="G37" s="534">
        <f>IF(ISBLANK(AX8),(AA37/AS7)*AW8,(AA37/AX8)*AY8)</f>
        <v>0</v>
      </c>
      <c r="H37" s="533">
        <f t="shared" si="5"/>
        <v>0</v>
      </c>
      <c r="I37" s="532">
        <f>IF(ISBLANK(AX8),(AD37/AS7)*AW8,(AD37/AX8)*AY8)</f>
        <v>0</v>
      </c>
      <c r="J37" s="534">
        <f>IF(ISBLANK(AX9),(AA37/AS7)*AW9,(AA37/AX9)*AY9)</f>
        <v>0</v>
      </c>
      <c r="K37" s="533">
        <f t="shared" si="6"/>
        <v>0</v>
      </c>
      <c r="L37" s="532">
        <f>IF(ISBLANK(AX9),(AD37/AS7)*AW9,(AD37/AX9)*AY9)</f>
        <v>0</v>
      </c>
      <c r="M37" s="534">
        <f>IF(ISBLANK(AX10),(AA37/AS7)*AW10,(AA37/AX10)*AY10)</f>
        <v>0</v>
      </c>
      <c r="N37" s="533">
        <f t="shared" si="7"/>
        <v>0</v>
      </c>
      <c r="O37" s="532">
        <f>IF(ISBLANK(AX10),(AD37/AS7)*AW10,(AD37/AX10)*AY10)</f>
        <v>0</v>
      </c>
      <c r="P37" s="534">
        <f>IF(ISBLANK(AX11),(AA37/AS7)*AW11,(AA37/AX11)*AY11)</f>
        <v>0</v>
      </c>
      <c r="Q37" s="533">
        <f t="shared" si="8"/>
        <v>0</v>
      </c>
      <c r="R37" s="532">
        <f>IF(ISBLANK(AX11),(AD37/AS7)*AW11,(AD37/AX11)*AY11)</f>
        <v>0</v>
      </c>
      <c r="S37" s="534">
        <f>IF(ISBLANK(AX12),(AA37/AS7)*AW12,(AA37/AX12)*AY12)</f>
        <v>0</v>
      </c>
      <c r="T37" s="533">
        <f t="shared" si="9"/>
        <v>0</v>
      </c>
      <c r="U37" s="532">
        <f>IF(ISBLANK(AX12),(AD37/AS7)*AW12,(AD37/AX12)*AY12)</f>
        <v>0</v>
      </c>
      <c r="V37" s="531">
        <f t="shared" si="10"/>
        <v>0</v>
      </c>
      <c r="W37" s="530">
        <f t="shared" si="11"/>
        <v>0</v>
      </c>
      <c r="X37" s="529">
        <f t="shared" si="12"/>
        <v>0</v>
      </c>
      <c r="Y37" s="3864"/>
      <c r="Z37" s="515"/>
      <c r="AA37" s="545"/>
      <c r="AB37" s="544"/>
      <c r="AC37" s="543"/>
      <c r="AD37" s="542">
        <f t="shared" si="13"/>
        <v>0</v>
      </c>
      <c r="AE37" s="541"/>
      <c r="AF37" s="523"/>
      <c r="AG37" s="522"/>
      <c r="AH37" s="540">
        <f>IF(ISBLANK(AH9),(AA37/AD10)*AJ7,(AA37/AH9)*AI9)</f>
        <v>0</v>
      </c>
      <c r="AI37" s="539">
        <f t="shared" si="14"/>
        <v>0</v>
      </c>
      <c r="AJ37" s="538">
        <f>IF(ISBLANK(AH9),(AD37/AD10)*AJ7,(AD37/AH9)*AI9)</f>
        <v>0</v>
      </c>
      <c r="AK37" s="518"/>
      <c r="AL37" s="537">
        <f t="shared" si="15"/>
        <v>0</v>
      </c>
      <c r="AM37" s="516"/>
      <c r="AN37" s="372">
        <f t="shared" si="16"/>
        <v>0</v>
      </c>
      <c r="AO37" s="3685"/>
      <c r="AP37" s="515"/>
      <c r="AQ37" s="378"/>
      <c r="AR37" s="580"/>
      <c r="AS37" s="579"/>
      <c r="AT37" s="579"/>
      <c r="AU37" s="579"/>
      <c r="AV37" s="596" t="s">
        <v>224</v>
      </c>
      <c r="AW37" s="595" t="str">
        <f>ADDRESS(ROW(AX25),COLUMN(AX25),4)</f>
        <v>AX25</v>
      </c>
      <c r="AX37" s="594">
        <f>AX25</f>
        <v>120</v>
      </c>
      <c r="AY37" s="593" t="s">
        <v>223</v>
      </c>
      <c r="AZ37" s="584"/>
      <c r="BA37" s="568"/>
      <c r="BB37" s="568"/>
      <c r="BC37" s="568"/>
      <c r="BD37" s="568"/>
      <c r="BE37" s="413"/>
      <c r="BF37" s="412"/>
      <c r="BG37" s="411"/>
      <c r="BH37" s="378"/>
      <c r="BI37" s="206" t="s">
        <v>105</v>
      </c>
      <c r="BJ37" s="169"/>
      <c r="BK37" s="447"/>
      <c r="BL37" s="356"/>
      <c r="BM37" s="381">
        <v>15</v>
      </c>
    </row>
    <row r="38" spans="1:65" ht="15" customHeight="1">
      <c r="A38" s="3862"/>
      <c r="B38" s="551">
        <f t="shared" si="3"/>
        <v>0</v>
      </c>
      <c r="C38" s="546"/>
      <c r="D38" s="534">
        <f>IF(ISBLANK(AX7),(AA38/AS7)*AW7,(AA38/AX7)*AY7)</f>
        <v>0</v>
      </c>
      <c r="E38" s="533">
        <f t="shared" si="4"/>
        <v>0</v>
      </c>
      <c r="F38" s="532">
        <f>IF(ISBLANK(AX7),(AD38/AS7)*AW7,(AD38/AX7)*AY7)</f>
        <v>0</v>
      </c>
      <c r="G38" s="534">
        <f>IF(ISBLANK(AX8),(AA38/AS7)*AW8,(AA38/AX8)*AY8)</f>
        <v>0</v>
      </c>
      <c r="H38" s="533">
        <f t="shared" si="5"/>
        <v>0</v>
      </c>
      <c r="I38" s="532">
        <f>IF(ISBLANK(AX8),(AD38/AS7)*AW8,(AD38/AX8)*AY8)</f>
        <v>0</v>
      </c>
      <c r="J38" s="534">
        <f>IF(ISBLANK(AX9),(AA38/AS7)*AW9,(AA38/AX9)*AY9)</f>
        <v>0</v>
      </c>
      <c r="K38" s="533">
        <f t="shared" si="6"/>
        <v>0</v>
      </c>
      <c r="L38" s="532">
        <f>IF(ISBLANK(AX9),(AD38/AS7)*AW9,(AD38/AX9)*AY9)</f>
        <v>0</v>
      </c>
      <c r="M38" s="534">
        <f>IF(ISBLANK(AX10),(AA38/AS7)*AW10,(AA38/AX10)*AY10)</f>
        <v>0</v>
      </c>
      <c r="N38" s="533">
        <f t="shared" si="7"/>
        <v>0</v>
      </c>
      <c r="O38" s="532">
        <f>IF(ISBLANK(AX10),(AD38/AS7)*AW10,(AD38/AX10)*AY10)</f>
        <v>0</v>
      </c>
      <c r="P38" s="534">
        <f>IF(ISBLANK(AX11),(AA38/AS7)*AW11,(AA38/AX11)*AY11)</f>
        <v>0</v>
      </c>
      <c r="Q38" s="533">
        <f t="shared" si="8"/>
        <v>0</v>
      </c>
      <c r="R38" s="532">
        <f>IF(ISBLANK(AX11),(AD38/AS7)*AW11,(AD38/AX11)*AY11)</f>
        <v>0</v>
      </c>
      <c r="S38" s="534">
        <f>IF(ISBLANK(AX12),(AA38/AS7)*AW12,(AA38/AX12)*AY12)</f>
        <v>0</v>
      </c>
      <c r="T38" s="533">
        <f t="shared" si="9"/>
        <v>0</v>
      </c>
      <c r="U38" s="532">
        <f>IF(ISBLANK(AX12),(AD38/AS7)*AW12,(AD38/AX12)*AY12)</f>
        <v>0</v>
      </c>
      <c r="V38" s="531">
        <f t="shared" si="10"/>
        <v>0</v>
      </c>
      <c r="W38" s="530">
        <f t="shared" si="11"/>
        <v>0</v>
      </c>
      <c r="X38" s="529">
        <f t="shared" si="12"/>
        <v>0</v>
      </c>
      <c r="Y38" s="3864"/>
      <c r="Z38" s="515"/>
      <c r="AA38" s="528"/>
      <c r="AB38" s="527"/>
      <c r="AC38" s="526"/>
      <c r="AD38" s="525">
        <f t="shared" si="13"/>
        <v>0</v>
      </c>
      <c r="AE38" s="524"/>
      <c r="AF38" s="523"/>
      <c r="AG38" s="522"/>
      <c r="AH38" s="521">
        <f>IF(ISBLANK(AH9),(AA38/AD10)*AJ7,(AA38/AH9)*AI9)</f>
        <v>0</v>
      </c>
      <c r="AI38" s="520">
        <f t="shared" si="14"/>
        <v>0</v>
      </c>
      <c r="AJ38" s="519">
        <f>IF(ISBLANK(AH9),(AD38/AD10)*AJ7,(AD38/AH9)*AI9)</f>
        <v>0</v>
      </c>
      <c r="AK38" s="518"/>
      <c r="AL38" s="517">
        <f t="shared" si="15"/>
        <v>0</v>
      </c>
      <c r="AM38" s="516"/>
      <c r="AN38" s="372">
        <f t="shared" si="16"/>
        <v>0</v>
      </c>
      <c r="AO38" s="3685"/>
      <c r="AP38" s="515"/>
      <c r="AQ38" s="378"/>
      <c r="AR38" s="592" t="s">
        <v>222</v>
      </c>
      <c r="AS38" s="579"/>
      <c r="AT38" s="579"/>
      <c r="AU38" s="579"/>
      <c r="AV38" s="585"/>
      <c r="AW38" s="579"/>
      <c r="AX38" s="579"/>
      <c r="AY38" s="579"/>
      <c r="AZ38" s="584"/>
      <c r="BA38" s="568"/>
      <c r="BB38" s="568"/>
      <c r="BC38" s="568"/>
      <c r="BD38" s="568"/>
      <c r="BE38" s="3668" t="s">
        <v>221</v>
      </c>
      <c r="BF38" s="3669"/>
      <c r="BG38" s="3670"/>
      <c r="BH38" s="378"/>
      <c r="BI38" s="3815" t="s">
        <v>107</v>
      </c>
      <c r="BJ38" s="3816"/>
      <c r="BK38" s="3904"/>
      <c r="BL38" s="356"/>
      <c r="BM38" s="381">
        <v>15</v>
      </c>
    </row>
    <row r="39" spans="1:65" ht="15" customHeight="1">
      <c r="A39" s="3862"/>
      <c r="B39" s="551">
        <f t="shared" si="3"/>
        <v>0</v>
      </c>
      <c r="C39" s="546"/>
      <c r="D39" s="534">
        <f>IF(ISBLANK(AX7),(AA39/AS7)*AW7,(AA39/AX7)*AY7)</f>
        <v>0</v>
      </c>
      <c r="E39" s="533">
        <f t="shared" si="4"/>
        <v>0</v>
      </c>
      <c r="F39" s="532">
        <f>IF(ISBLANK(AX7),(AD39/AS7)*AW7,(AD39/AX7)*AY7)</f>
        <v>0</v>
      </c>
      <c r="G39" s="534">
        <f>IF(ISBLANK(AX8),(AA39/AS7)*AW8,(AA39/AX8)*AY8)</f>
        <v>0</v>
      </c>
      <c r="H39" s="533">
        <f t="shared" si="5"/>
        <v>0</v>
      </c>
      <c r="I39" s="532">
        <f>IF(ISBLANK(AX8),(AD39/AS7)*AW8,(AD39/AX8)*AY8)</f>
        <v>0</v>
      </c>
      <c r="J39" s="534">
        <f>IF(ISBLANK(AX9),(AA39/AS7)*AW9,(AA39/AX9)*AY9)</f>
        <v>0</v>
      </c>
      <c r="K39" s="533">
        <f t="shared" si="6"/>
        <v>0</v>
      </c>
      <c r="L39" s="532">
        <f>IF(ISBLANK(AX9),(AD39/AS7)*AW9,(AD39/AX9)*AY9)</f>
        <v>0</v>
      </c>
      <c r="M39" s="534">
        <f>IF(ISBLANK(AX10),(AA39/AS7)*AW10,(AA39/AX10)*AY10)</f>
        <v>0</v>
      </c>
      <c r="N39" s="533">
        <f t="shared" si="7"/>
        <v>0</v>
      </c>
      <c r="O39" s="532">
        <f>IF(ISBLANK(AX10),(AD39/AS7)*AW10,(AD39/AX10)*AY10)</f>
        <v>0</v>
      </c>
      <c r="P39" s="534">
        <f>IF(ISBLANK(AX11),(AA39/AS7)*AW11,(AA39/AX11)*AY11)</f>
        <v>0</v>
      </c>
      <c r="Q39" s="533">
        <f t="shared" si="8"/>
        <v>0</v>
      </c>
      <c r="R39" s="532">
        <f>IF(ISBLANK(AX11),(AD39/AS7)*AW11,(AD39/AX11)*AY11)</f>
        <v>0</v>
      </c>
      <c r="S39" s="534">
        <f>IF(ISBLANK(AX12),(AA39/AS7)*AW12,(AA39/AX12)*AY12)</f>
        <v>0</v>
      </c>
      <c r="T39" s="533">
        <f t="shared" si="9"/>
        <v>0</v>
      </c>
      <c r="U39" s="532">
        <f>IF(ISBLANK(AX12),(AD39/AS7)*AW12,(AD39/AX12)*AY12)</f>
        <v>0</v>
      </c>
      <c r="V39" s="531">
        <f t="shared" si="10"/>
        <v>0</v>
      </c>
      <c r="W39" s="530">
        <f t="shared" si="11"/>
        <v>0</v>
      </c>
      <c r="X39" s="529">
        <f t="shared" si="12"/>
        <v>0</v>
      </c>
      <c r="Y39" s="3864"/>
      <c r="Z39" s="515"/>
      <c r="AA39" s="545"/>
      <c r="AB39" s="544"/>
      <c r="AC39" s="543"/>
      <c r="AD39" s="542">
        <f t="shared" si="13"/>
        <v>0</v>
      </c>
      <c r="AE39" s="541"/>
      <c r="AF39" s="523"/>
      <c r="AG39" s="522"/>
      <c r="AH39" s="540">
        <f>IF(ISBLANK(AH9),(AA39/AD10)*AJ7,(AA39/AH9)*AI9)</f>
        <v>0</v>
      </c>
      <c r="AI39" s="539">
        <f t="shared" si="14"/>
        <v>0</v>
      </c>
      <c r="AJ39" s="538">
        <f>IF(ISBLANK(AH9),(AD39/AD10)*AJ7,(AD39/AH9)*AI9)</f>
        <v>0</v>
      </c>
      <c r="AK39" s="518"/>
      <c r="AL39" s="537">
        <f t="shared" si="15"/>
        <v>0</v>
      </c>
      <c r="AM39" s="516"/>
      <c r="AN39" s="372">
        <f t="shared" si="16"/>
        <v>0</v>
      </c>
      <c r="AO39" s="3685"/>
      <c r="AP39" s="515"/>
      <c r="AQ39" s="378"/>
      <c r="AR39" s="591"/>
      <c r="AS39" s="590"/>
      <c r="AT39" s="589"/>
      <c r="AU39" s="589"/>
      <c r="AV39" s="588" t="s">
        <v>220</v>
      </c>
      <c r="AW39" s="587" t="str">
        <f>LEFT(ADDRESS(1,COLUMN(AD12),4),LEN(ADDRESS(1,COLUMN(AD12),4))-1)</f>
        <v>AD</v>
      </c>
      <c r="AX39" s="378"/>
      <c r="AY39" s="378"/>
      <c r="AZ39" s="584"/>
      <c r="BA39" s="568"/>
      <c r="BB39" s="568"/>
      <c r="BC39" s="568"/>
      <c r="BD39" s="568"/>
      <c r="BE39" s="3668"/>
      <c r="BF39" s="3669"/>
      <c r="BG39" s="3670"/>
      <c r="BH39" s="378"/>
      <c r="BI39" s="3815"/>
      <c r="BJ39" s="3816"/>
      <c r="BK39" s="3904"/>
      <c r="BL39" s="356"/>
      <c r="BM39" s="381">
        <v>15</v>
      </c>
    </row>
    <row r="40" spans="1:65" ht="15" customHeight="1">
      <c r="A40" s="3862"/>
      <c r="B40" s="551">
        <f t="shared" si="3"/>
        <v>0</v>
      </c>
      <c r="C40" s="546"/>
      <c r="D40" s="534">
        <f>IF(ISBLANK(AX7),(AA40/AS7)*AW7,(AA40/AX7)*AY7)</f>
        <v>0</v>
      </c>
      <c r="E40" s="533">
        <f t="shared" si="4"/>
        <v>0</v>
      </c>
      <c r="F40" s="532">
        <f>IF(ISBLANK(AX7),(AD40/AS7)*AW7,(AD40/AX7)*AY7)</f>
        <v>0</v>
      </c>
      <c r="G40" s="534">
        <f>IF(ISBLANK(AX8),(AA40/AS7)*AW8,(AA40/AX8)*AY8)</f>
        <v>0</v>
      </c>
      <c r="H40" s="533">
        <f t="shared" si="5"/>
        <v>0</v>
      </c>
      <c r="I40" s="532">
        <f>IF(ISBLANK(AX8),(AD40/AS7)*AW8,(AD40/AX8)*AY8)</f>
        <v>0</v>
      </c>
      <c r="J40" s="534">
        <f>IF(ISBLANK(AX9),(AA40/AS7)*AW9,(AA40/AX9)*AY9)</f>
        <v>0</v>
      </c>
      <c r="K40" s="533">
        <f t="shared" si="6"/>
        <v>0</v>
      </c>
      <c r="L40" s="532">
        <f>IF(ISBLANK(AX9),(AD40/AS7)*AW9,(AD40/AX9)*AY9)</f>
        <v>0</v>
      </c>
      <c r="M40" s="534">
        <f>IF(ISBLANK(AX10),(AA40/AS7)*AW10,(AA40/AX10)*AY10)</f>
        <v>0</v>
      </c>
      <c r="N40" s="533">
        <f t="shared" si="7"/>
        <v>0</v>
      </c>
      <c r="O40" s="532">
        <f>IF(ISBLANK(AX10),(AD40/AS7)*AW10,(AD40/AX10)*AY10)</f>
        <v>0</v>
      </c>
      <c r="P40" s="534">
        <f>IF(ISBLANK(AX11),(AA40/AS7)*AW11,(AA40/AX11)*AY11)</f>
        <v>0</v>
      </c>
      <c r="Q40" s="533">
        <f t="shared" si="8"/>
        <v>0</v>
      </c>
      <c r="R40" s="532">
        <f>IF(ISBLANK(AX11),(AD40/AS7)*AW11,(AD40/AX11)*AY11)</f>
        <v>0</v>
      </c>
      <c r="S40" s="534">
        <f>IF(ISBLANK(AX12),(AA40/AS7)*AW12,(AA40/AX12)*AY12)</f>
        <v>0</v>
      </c>
      <c r="T40" s="533">
        <f t="shared" si="9"/>
        <v>0</v>
      </c>
      <c r="U40" s="532">
        <f>IF(ISBLANK(AX12),(AD40/AS7)*AW12,(AD40/AX12)*AY12)</f>
        <v>0</v>
      </c>
      <c r="V40" s="531">
        <f t="shared" si="10"/>
        <v>0</v>
      </c>
      <c r="W40" s="530">
        <f t="shared" si="11"/>
        <v>0</v>
      </c>
      <c r="X40" s="529">
        <f t="shared" si="12"/>
        <v>0</v>
      </c>
      <c r="Y40" s="3864"/>
      <c r="Z40" s="515"/>
      <c r="AA40" s="528"/>
      <c r="AB40" s="527"/>
      <c r="AC40" s="526"/>
      <c r="AD40" s="525">
        <f t="shared" si="13"/>
        <v>0</v>
      </c>
      <c r="AE40" s="524"/>
      <c r="AF40" s="523"/>
      <c r="AG40" s="522"/>
      <c r="AH40" s="521">
        <f>IF(ISBLANK(AH9),(AA40/AD10)*AJ7,(AA40/AH9)*AI9)</f>
        <v>0</v>
      </c>
      <c r="AI40" s="520">
        <f t="shared" si="14"/>
        <v>0</v>
      </c>
      <c r="AJ40" s="519">
        <f>IF(ISBLANK(AH9),(AD40/AD10)*AJ7,(AD40/AH9)*AI9)</f>
        <v>0</v>
      </c>
      <c r="AK40" s="518"/>
      <c r="AL40" s="517">
        <f t="shared" si="15"/>
        <v>0</v>
      </c>
      <c r="AM40" s="516"/>
      <c r="AN40" s="372">
        <f t="shared" si="16"/>
        <v>0</v>
      </c>
      <c r="AO40" s="3685"/>
      <c r="AP40" s="515"/>
      <c r="AQ40" s="378"/>
      <c r="AR40" s="586" t="s">
        <v>219</v>
      </c>
      <c r="AS40" s="579"/>
      <c r="AT40" s="579"/>
      <c r="AU40" s="579"/>
      <c r="AV40" s="585"/>
      <c r="AW40" s="579"/>
      <c r="AX40" s="579"/>
      <c r="AY40" s="579"/>
      <c r="AZ40" s="584"/>
      <c r="BA40" s="568"/>
      <c r="BB40" s="568"/>
      <c r="BC40" s="568"/>
      <c r="BD40" s="568"/>
      <c r="BE40" s="583" t="s">
        <v>218</v>
      </c>
      <c r="BF40" s="582" t="str">
        <f>LEFT(ADDRESS(1,COLUMN(AH6),4),LEN(ADDRESS(1,COLUMN(AH6),4))-1)</f>
        <v>AH</v>
      </c>
      <c r="BG40" s="581" t="str">
        <f>LEFT(ADDRESS(1,COLUMN(AJ6),4),LEN(ADDRESS(1,COLUMN(AJ6),4))-1)</f>
        <v>AJ</v>
      </c>
      <c r="BH40" s="378"/>
      <c r="BI40" s="3815"/>
      <c r="BJ40" s="3816"/>
      <c r="BK40" s="3904"/>
      <c r="BL40" s="356"/>
      <c r="BM40" s="381">
        <v>15</v>
      </c>
    </row>
    <row r="41" spans="1:65" ht="15" customHeight="1">
      <c r="A41" s="3862"/>
      <c r="B41" s="551">
        <f t="shared" si="3"/>
        <v>0</v>
      </c>
      <c r="C41" s="546"/>
      <c r="D41" s="534">
        <f>IF(ISBLANK(AX7),(AA41/AS7)*AW7,(AA41/AX7)*AY7)</f>
        <v>0</v>
      </c>
      <c r="E41" s="533">
        <f t="shared" si="4"/>
        <v>0</v>
      </c>
      <c r="F41" s="532">
        <f>IF(ISBLANK(AX7),(AD41/AS7)*AW7,(AD41/AX7)*AY7)</f>
        <v>0</v>
      </c>
      <c r="G41" s="534">
        <f>IF(ISBLANK(AX8),(AA41/AS7)*AW8,(AA41/AX8)*AY8)</f>
        <v>0</v>
      </c>
      <c r="H41" s="533">
        <f t="shared" si="5"/>
        <v>0</v>
      </c>
      <c r="I41" s="532">
        <f>IF(ISBLANK(AX8),(AD41/AS7)*AW8,(AD41/AX8)*AY8)</f>
        <v>0</v>
      </c>
      <c r="J41" s="534">
        <f>IF(ISBLANK(AX9),(AA41/AS7)*AW9,(AA41/AX9)*AY9)</f>
        <v>0</v>
      </c>
      <c r="K41" s="533">
        <f t="shared" si="6"/>
        <v>0</v>
      </c>
      <c r="L41" s="532">
        <f>IF(ISBLANK(AX9),(AD41/AS7)*AW9,(AD41/AX9)*AY9)</f>
        <v>0</v>
      </c>
      <c r="M41" s="534">
        <f>IF(ISBLANK(AX10),(AA41/AS7)*AW10,(AA41/AX10)*AY10)</f>
        <v>0</v>
      </c>
      <c r="N41" s="533">
        <f t="shared" si="7"/>
        <v>0</v>
      </c>
      <c r="O41" s="532">
        <f>IF(ISBLANK(AX10),(AD41/AS7)*AW10,(AD41/AX10)*AY10)</f>
        <v>0</v>
      </c>
      <c r="P41" s="534">
        <f>IF(ISBLANK(AX11),(AA41/AS7)*AW11,(AA41/AX11)*AY11)</f>
        <v>0</v>
      </c>
      <c r="Q41" s="533">
        <f t="shared" si="8"/>
        <v>0</v>
      </c>
      <c r="R41" s="532">
        <f>IF(ISBLANK(AX11),(AD41/AS7)*AW11,(AD41/AX11)*AY11)</f>
        <v>0</v>
      </c>
      <c r="S41" s="534">
        <f>IF(ISBLANK(AX12),(AA41/AS7)*AW12,(AA41/AX12)*AY12)</f>
        <v>0</v>
      </c>
      <c r="T41" s="533">
        <f t="shared" si="9"/>
        <v>0</v>
      </c>
      <c r="U41" s="532">
        <f>IF(ISBLANK(AX12),(AD41/AS7)*AW12,(AD41/AX12)*AY12)</f>
        <v>0</v>
      </c>
      <c r="V41" s="531">
        <f t="shared" si="10"/>
        <v>0</v>
      </c>
      <c r="W41" s="530">
        <f t="shared" si="11"/>
        <v>0</v>
      </c>
      <c r="X41" s="529">
        <f t="shared" si="12"/>
        <v>0</v>
      </c>
      <c r="Y41" s="3864"/>
      <c r="Z41" s="515"/>
      <c r="AA41" s="545"/>
      <c r="AB41" s="544"/>
      <c r="AC41" s="543"/>
      <c r="AD41" s="542">
        <f t="shared" si="13"/>
        <v>0</v>
      </c>
      <c r="AE41" s="541"/>
      <c r="AF41" s="523"/>
      <c r="AG41" s="522"/>
      <c r="AH41" s="540">
        <f>IF(ISBLANK(AH9),(AA41/AD10)*AJ7,(AA41/AH9)*AI9)</f>
        <v>0</v>
      </c>
      <c r="AI41" s="539">
        <f t="shared" si="14"/>
        <v>0</v>
      </c>
      <c r="AJ41" s="538">
        <f>IF(ISBLANK(AH9),(AD41/AD10)*AJ7,(AD41/AH9)*AI9)</f>
        <v>0</v>
      </c>
      <c r="AK41" s="518"/>
      <c r="AL41" s="537">
        <f t="shared" si="15"/>
        <v>0</v>
      </c>
      <c r="AM41" s="516"/>
      <c r="AN41" s="372">
        <f t="shared" si="16"/>
        <v>0</v>
      </c>
      <c r="AO41" s="3685"/>
      <c r="AP41" s="515"/>
      <c r="AQ41" s="378"/>
      <c r="AR41" s="580"/>
      <c r="AS41" s="579"/>
      <c r="AT41" s="579"/>
      <c r="AU41" s="578" t="s">
        <v>217</v>
      </c>
      <c r="AV41" s="577" t="s">
        <v>216</v>
      </c>
      <c r="AW41" s="576" t="str">
        <f>LEFT(ADDRESS(1,COLUMN(AY6),4),LEN(ADDRESS(1,COLUMN(AY6),4))-1)</f>
        <v>AY</v>
      </c>
      <c r="AX41" s="376" t="s">
        <v>215</v>
      </c>
      <c r="AY41" s="575" t="s">
        <v>214</v>
      </c>
      <c r="AZ41" s="574" t="str">
        <f>ADDRESS(ROW(AI9),COLUMN(AI9),4)</f>
        <v>AI9</v>
      </c>
      <c r="BA41" s="568"/>
      <c r="BB41" s="568"/>
      <c r="BC41" s="568"/>
      <c r="BD41" s="568"/>
      <c r="BE41" s="413"/>
      <c r="BF41" s="573" t="s">
        <v>94</v>
      </c>
      <c r="BG41" s="572" t="str">
        <f>ADDRESS(ROW(AH7),COLUMN(AH7),4)</f>
        <v>AH7</v>
      </c>
      <c r="BH41" s="378"/>
      <c r="BI41" s="206" t="s">
        <v>110</v>
      </c>
      <c r="BJ41" s="169"/>
      <c r="BK41" s="447"/>
      <c r="BL41" s="356"/>
      <c r="BM41" s="381">
        <v>15</v>
      </c>
    </row>
    <row r="42" spans="1:65" ht="15" customHeight="1" thickBot="1">
      <c r="A42" s="3862"/>
      <c r="B42" s="551">
        <f t="shared" si="3"/>
        <v>0</v>
      </c>
      <c r="C42" s="546"/>
      <c r="D42" s="534">
        <f>IF(ISBLANK(AX7),(AA42/AS7)*AW7,(AA42/AX7)*AY7)</f>
        <v>0</v>
      </c>
      <c r="E42" s="533">
        <f t="shared" si="4"/>
        <v>0</v>
      </c>
      <c r="F42" s="532">
        <f>IF(ISBLANK(AX7),(AD42/AS7)*AW7,(AD42/AX7)*AY7)</f>
        <v>0</v>
      </c>
      <c r="G42" s="534">
        <f>IF(ISBLANK(AX8),(AA42/AS7)*AW8,(AA42/AX8)*AY8)</f>
        <v>0</v>
      </c>
      <c r="H42" s="533">
        <f t="shared" si="5"/>
        <v>0</v>
      </c>
      <c r="I42" s="532">
        <f>IF(ISBLANK(AX8),(AD42/AS7)*AW8,(AD42/AX8)*AY8)</f>
        <v>0</v>
      </c>
      <c r="J42" s="534">
        <f>IF(ISBLANK(AX9),(AA42/AS7)*AW9,(AA42/AX9)*AY9)</f>
        <v>0</v>
      </c>
      <c r="K42" s="533">
        <f t="shared" si="6"/>
        <v>0</v>
      </c>
      <c r="L42" s="532">
        <f>IF(ISBLANK(AX9),(AD42/AS7)*AW9,(AD42/AX9)*AY9)</f>
        <v>0</v>
      </c>
      <c r="M42" s="534">
        <f>IF(ISBLANK(AX10),(AA42/AS7)*AW10,(AA42/AX10)*AY10)</f>
        <v>0</v>
      </c>
      <c r="N42" s="533">
        <f t="shared" si="7"/>
        <v>0</v>
      </c>
      <c r="O42" s="532">
        <f>IF(ISBLANK(AX10),(AD42/AS7)*AW10,(AD42/AX10)*AY10)</f>
        <v>0</v>
      </c>
      <c r="P42" s="534">
        <f>IF(ISBLANK(AX11),(AA42/AS7)*AW11,(AA42/AX11)*AY11)</f>
        <v>0</v>
      </c>
      <c r="Q42" s="533">
        <f t="shared" si="8"/>
        <v>0</v>
      </c>
      <c r="R42" s="532">
        <f>IF(ISBLANK(AX11),(AD42/AS7)*AW11,(AD42/AX11)*AY11)</f>
        <v>0</v>
      </c>
      <c r="S42" s="534">
        <f>IF(ISBLANK(AX12),(AA42/AS7)*AW12,(AA42/AX12)*AY12)</f>
        <v>0</v>
      </c>
      <c r="T42" s="533">
        <f t="shared" si="9"/>
        <v>0</v>
      </c>
      <c r="U42" s="532">
        <f>IF(ISBLANK(AX12),(AD42/AS7)*AW12,(AD42/AX12)*AY12)</f>
        <v>0</v>
      </c>
      <c r="V42" s="531">
        <f t="shared" si="10"/>
        <v>0</v>
      </c>
      <c r="W42" s="530">
        <f t="shared" si="11"/>
        <v>0</v>
      </c>
      <c r="X42" s="529">
        <f t="shared" si="12"/>
        <v>0</v>
      </c>
      <c r="Y42" s="3864"/>
      <c r="Z42" s="515"/>
      <c r="AA42" s="528"/>
      <c r="AB42" s="527"/>
      <c r="AC42" s="526"/>
      <c r="AD42" s="525">
        <f t="shared" si="13"/>
        <v>0</v>
      </c>
      <c r="AE42" s="524"/>
      <c r="AF42" s="523"/>
      <c r="AG42" s="522"/>
      <c r="AH42" s="521">
        <f>IF(ISBLANK(AH9),(AA42/AD10)*AJ7,(AA42/AH9)*AI9)</f>
        <v>0</v>
      </c>
      <c r="AI42" s="520">
        <f t="shared" si="14"/>
        <v>0</v>
      </c>
      <c r="AJ42" s="519">
        <f>IF(ISBLANK(AH9),(AD42/AD10)*AJ7,(AD42/AH9)*AI9)</f>
        <v>0</v>
      </c>
      <c r="AK42" s="518"/>
      <c r="AL42" s="517">
        <f t="shared" si="15"/>
        <v>0</v>
      </c>
      <c r="AM42" s="516"/>
      <c r="AN42" s="372">
        <f t="shared" si="16"/>
        <v>0</v>
      </c>
      <c r="AO42" s="3685"/>
      <c r="AP42" s="515"/>
      <c r="AQ42" s="378"/>
      <c r="AR42" s="571"/>
      <c r="AS42" s="570"/>
      <c r="AT42" s="570"/>
      <c r="AU42" s="570"/>
      <c r="AV42" s="570"/>
      <c r="AW42" s="570"/>
      <c r="AX42" s="570"/>
      <c r="AY42" s="570"/>
      <c r="AZ42" s="569"/>
      <c r="BA42" s="568"/>
      <c r="BB42" s="568"/>
      <c r="BC42" s="568"/>
      <c r="BD42" s="568"/>
      <c r="BE42" s="413"/>
      <c r="BF42" s="567" t="s">
        <v>213</v>
      </c>
      <c r="BG42" s="513" t="str">
        <f>ADDRESS(ROW(AI7),COLUMN(AI7),4)</f>
        <v>AI7</v>
      </c>
      <c r="BH42" s="378"/>
      <c r="BI42" s="3815" t="s">
        <v>112</v>
      </c>
      <c r="BJ42" s="3816"/>
      <c r="BK42" s="3904"/>
      <c r="BL42" s="356"/>
      <c r="BM42" s="381">
        <v>15</v>
      </c>
    </row>
    <row r="43" spans="1:65" ht="15" customHeight="1">
      <c r="A43" s="3862"/>
      <c r="B43" s="551">
        <f t="shared" si="3"/>
        <v>0</v>
      </c>
      <c r="C43" s="546"/>
      <c r="D43" s="534">
        <f>IF(ISBLANK(AX7),(AA43/AS7)*AW7,(AA43/AX7)*AY7)</f>
        <v>0</v>
      </c>
      <c r="E43" s="533">
        <f t="shared" si="4"/>
        <v>0</v>
      </c>
      <c r="F43" s="532">
        <f>IF(ISBLANK(AX7),(AD43/AS7)*AW7,(AD43/AX7)*AY7)</f>
        <v>0</v>
      </c>
      <c r="G43" s="534">
        <f>IF(ISBLANK(AX8),(AA43/AS7)*AW8,(AA43/AX8)*AY8)</f>
        <v>0</v>
      </c>
      <c r="H43" s="533">
        <f t="shared" si="5"/>
        <v>0</v>
      </c>
      <c r="I43" s="532">
        <f>IF(ISBLANK(AX8),(AD43/AS7)*AW8,(AD43/AX8)*AY8)</f>
        <v>0</v>
      </c>
      <c r="J43" s="534">
        <f>IF(ISBLANK(AX9),(AA43/AS7)*AW9,(AA43/AX9)*AY9)</f>
        <v>0</v>
      </c>
      <c r="K43" s="533">
        <f t="shared" si="6"/>
        <v>0</v>
      </c>
      <c r="L43" s="532">
        <f>IF(ISBLANK(AX9),(AD43/AS7)*AW9,(AD43/AX9)*AY9)</f>
        <v>0</v>
      </c>
      <c r="M43" s="534">
        <f>IF(ISBLANK(AX10),(AA43/AS7)*AW10,(AA43/AX10)*AY10)</f>
        <v>0</v>
      </c>
      <c r="N43" s="533">
        <f t="shared" si="7"/>
        <v>0</v>
      </c>
      <c r="O43" s="532">
        <f>IF(ISBLANK(AX10),(AD43/AS7)*AW10,(AD43/AX10)*AY10)</f>
        <v>0</v>
      </c>
      <c r="P43" s="534">
        <f>IF(ISBLANK(AX11),(AA43/AS7)*AW11,(AA43/AX11)*AY11)</f>
        <v>0</v>
      </c>
      <c r="Q43" s="533">
        <f t="shared" si="8"/>
        <v>0</v>
      </c>
      <c r="R43" s="532">
        <f>IF(ISBLANK(AX11),(AD43/AS7)*AW11,(AD43/AX11)*AY11)</f>
        <v>0</v>
      </c>
      <c r="S43" s="534">
        <f>IF(ISBLANK(AX12),(AA43/AS7)*AW12,(AA43/AX12)*AY12)</f>
        <v>0</v>
      </c>
      <c r="T43" s="533">
        <f t="shared" si="9"/>
        <v>0</v>
      </c>
      <c r="U43" s="532">
        <f>IF(ISBLANK(AX12),(AD43/AS7)*AW12,(AD43/AX12)*AY12)</f>
        <v>0</v>
      </c>
      <c r="V43" s="531">
        <f t="shared" si="10"/>
        <v>0</v>
      </c>
      <c r="W43" s="530">
        <f t="shared" si="11"/>
        <v>0</v>
      </c>
      <c r="X43" s="529">
        <f t="shared" si="12"/>
        <v>0</v>
      </c>
      <c r="Y43" s="3864"/>
      <c r="Z43" s="515"/>
      <c r="AA43" s="545"/>
      <c r="AB43" s="544"/>
      <c r="AC43" s="543"/>
      <c r="AD43" s="542">
        <f t="shared" si="13"/>
        <v>0</v>
      </c>
      <c r="AE43" s="541"/>
      <c r="AF43" s="523"/>
      <c r="AG43" s="522"/>
      <c r="AH43" s="540">
        <f>IF(ISBLANK(AH9),(AA43/AD10)*AJ7,(AA43/AH9)*AI9)</f>
        <v>0</v>
      </c>
      <c r="AI43" s="539">
        <f t="shared" si="14"/>
        <v>0</v>
      </c>
      <c r="AJ43" s="538">
        <f>IF(ISBLANK(AH9),(AD43/AD10)*AJ7,(AD43/AH9)*AI9)</f>
        <v>0</v>
      </c>
      <c r="AK43" s="518"/>
      <c r="AL43" s="537">
        <f t="shared" si="15"/>
        <v>0</v>
      </c>
      <c r="AM43" s="516"/>
      <c r="AN43" s="372">
        <f t="shared" si="16"/>
        <v>0</v>
      </c>
      <c r="AO43" s="3685"/>
      <c r="AP43" s="515"/>
      <c r="AQ43" s="378"/>
      <c r="AR43" s="378"/>
      <c r="AS43" s="378"/>
      <c r="AT43" s="378"/>
      <c r="AU43" s="378"/>
      <c r="AV43" s="378"/>
      <c r="AW43" s="378"/>
      <c r="AX43" s="378"/>
      <c r="AY43" s="378"/>
      <c r="AZ43" s="378"/>
      <c r="BA43" s="378"/>
      <c r="BB43" s="378"/>
      <c r="BC43" s="378"/>
      <c r="BD43" s="378"/>
      <c r="BE43" s="566"/>
      <c r="BF43" s="565" t="s">
        <v>212</v>
      </c>
      <c r="BG43" s="513" t="str">
        <f>ADDRESS(ROW(AH9),COLUMN(AH9),4)</f>
        <v>AH9</v>
      </c>
      <c r="BH43" s="378"/>
      <c r="BI43" s="3815"/>
      <c r="BJ43" s="3816"/>
      <c r="BK43" s="3904"/>
      <c r="BL43" s="356"/>
      <c r="BM43" s="381">
        <v>15</v>
      </c>
    </row>
    <row r="44" spans="1:65" ht="15" customHeight="1">
      <c r="A44" s="3862"/>
      <c r="B44" s="551">
        <f t="shared" si="3"/>
        <v>0</v>
      </c>
      <c r="C44" s="546"/>
      <c r="D44" s="534">
        <f>IF(ISBLANK(AX7),(AA44/AS7)*AW7,(AA44/AX7)*AY7)</f>
        <v>0</v>
      </c>
      <c r="E44" s="533">
        <f t="shared" si="4"/>
        <v>0</v>
      </c>
      <c r="F44" s="532">
        <f>IF(ISBLANK(AX7),(AD44/AS7)*AW7,(AD44/AX7)*AY7)</f>
        <v>0</v>
      </c>
      <c r="G44" s="534">
        <f>IF(ISBLANK(AX8),(AA44/AS7)*AW8,(AA44/AX8)*AY8)</f>
        <v>0</v>
      </c>
      <c r="H44" s="533">
        <f t="shared" si="5"/>
        <v>0</v>
      </c>
      <c r="I44" s="532">
        <f>IF(ISBLANK(AX8),(AD44/AS7)*AW8,(AD44/AX8)*AY8)</f>
        <v>0</v>
      </c>
      <c r="J44" s="534">
        <f>IF(ISBLANK(AX9),(AA44/AS7)*AW9,(AA44/AX9)*AY9)</f>
        <v>0</v>
      </c>
      <c r="K44" s="533">
        <f t="shared" si="6"/>
        <v>0</v>
      </c>
      <c r="L44" s="532">
        <f>IF(ISBLANK(AX9),(AD44/AS7)*AW9,(AD44/AX9)*AY9)</f>
        <v>0</v>
      </c>
      <c r="M44" s="534">
        <f>IF(ISBLANK(AX10),(AA44/AS7)*AW10,(AA44/AX10)*AY10)</f>
        <v>0</v>
      </c>
      <c r="N44" s="533">
        <f t="shared" si="7"/>
        <v>0</v>
      </c>
      <c r="O44" s="532">
        <f>IF(ISBLANK(AX10),(AD44/AS7)*AW10,(AD44/AX10)*AY10)</f>
        <v>0</v>
      </c>
      <c r="P44" s="534">
        <f>IF(ISBLANK(AX11),(AA44/AS7)*AW11,(AA44/AX11)*AY11)</f>
        <v>0</v>
      </c>
      <c r="Q44" s="533">
        <f t="shared" si="8"/>
        <v>0</v>
      </c>
      <c r="R44" s="532">
        <f>IF(ISBLANK(AX11),(AD44/AS7)*AW11,(AD44/AX11)*AY11)</f>
        <v>0</v>
      </c>
      <c r="S44" s="534">
        <f>IF(ISBLANK(AX12),(AA44/AS7)*AW12,(AA44/AX12)*AY12)</f>
        <v>0</v>
      </c>
      <c r="T44" s="533">
        <f t="shared" si="9"/>
        <v>0</v>
      </c>
      <c r="U44" s="532">
        <f>IF(ISBLANK(AX12),(AD44/AS7)*AW12,(AD44/AX12)*AY12)</f>
        <v>0</v>
      </c>
      <c r="V44" s="531">
        <f t="shared" si="10"/>
        <v>0</v>
      </c>
      <c r="W44" s="530">
        <f t="shared" si="11"/>
        <v>0</v>
      </c>
      <c r="X44" s="529">
        <f t="shared" si="12"/>
        <v>0</v>
      </c>
      <c r="Y44" s="3864"/>
      <c r="Z44" s="515"/>
      <c r="AA44" s="528"/>
      <c r="AB44" s="527"/>
      <c r="AC44" s="526"/>
      <c r="AD44" s="525">
        <f t="shared" si="13"/>
        <v>0</v>
      </c>
      <c r="AE44" s="524"/>
      <c r="AF44" s="523"/>
      <c r="AG44" s="522"/>
      <c r="AH44" s="521">
        <f>IF(ISBLANK(AH9),(AA44/AD10)*AJ7,(AA44/AH9)*AI9)</f>
        <v>0</v>
      </c>
      <c r="AI44" s="520">
        <f t="shared" si="14"/>
        <v>0</v>
      </c>
      <c r="AJ44" s="519">
        <f>IF(ISBLANK(AH9),(AD44/AD10)*AJ7,(AD44/AH9)*AI9)</f>
        <v>0</v>
      </c>
      <c r="AK44" s="518"/>
      <c r="AL44" s="517">
        <f t="shared" si="15"/>
        <v>0</v>
      </c>
      <c r="AM44" s="516"/>
      <c r="AN44" s="372">
        <f t="shared" si="16"/>
        <v>0</v>
      </c>
      <c r="AO44" s="3685"/>
      <c r="AP44" s="515"/>
      <c r="AQ44" s="378"/>
      <c r="AR44" s="378"/>
      <c r="AS44" s="378"/>
      <c r="AT44" s="378"/>
      <c r="AU44" s="378"/>
      <c r="AV44" s="378"/>
      <c r="AW44" s="378"/>
      <c r="AX44" s="378"/>
      <c r="AY44" s="378"/>
      <c r="AZ44" s="378"/>
      <c r="BA44" s="378"/>
      <c r="BB44" s="378"/>
      <c r="BC44" s="378"/>
      <c r="BD44" s="378"/>
      <c r="BE44" s="564"/>
      <c r="BF44" s="563" t="s">
        <v>211</v>
      </c>
      <c r="BG44" s="513" t="str">
        <f>ADDRESS(ROW(AI9),COLUMN(AI9),4)</f>
        <v>AI9</v>
      </c>
      <c r="BH44" s="378"/>
      <c r="BI44" s="3815"/>
      <c r="BJ44" s="3816"/>
      <c r="BK44" s="3904"/>
      <c r="BL44" s="356"/>
      <c r="BM44" s="381">
        <v>15</v>
      </c>
    </row>
    <row r="45" spans="1:65" ht="15" customHeight="1">
      <c r="A45" s="3862"/>
      <c r="B45" s="551">
        <f t="shared" ref="B45:B62" si="17">AF45</f>
        <v>0</v>
      </c>
      <c r="C45" s="546"/>
      <c r="D45" s="534">
        <f>IF(ISBLANK(AX7),(AA45/AS7)*AW7,(AA45/AX7)*AY7)</f>
        <v>0</v>
      </c>
      <c r="E45" s="533">
        <f t="shared" ref="E45:E62" si="18">AB45</f>
        <v>0</v>
      </c>
      <c r="F45" s="532">
        <f>IF(ISBLANK(AX7),(AD45/AS7)*AW7,(AD45/AX7)*AY7)</f>
        <v>0</v>
      </c>
      <c r="G45" s="534">
        <f>IF(ISBLANK(AX8),(AA45/AS7)*AW8,(AA45/AX8)*AY8)</f>
        <v>0</v>
      </c>
      <c r="H45" s="533">
        <f t="shared" ref="H45:H62" si="19">AB45</f>
        <v>0</v>
      </c>
      <c r="I45" s="532">
        <f>IF(ISBLANK(AX8),(AD45/AS7)*AW8,(AD45/AX8)*AY8)</f>
        <v>0</v>
      </c>
      <c r="J45" s="534">
        <f>IF(ISBLANK(AX9),(AA45/AS7)*AW9,(AA45/AX9)*AY9)</f>
        <v>0</v>
      </c>
      <c r="K45" s="533">
        <f t="shared" ref="K45:K62" si="20">AB45</f>
        <v>0</v>
      </c>
      <c r="L45" s="532">
        <f>IF(ISBLANK(AX9),(AD45/AS7)*AW9,(AD45/AX9)*AY9)</f>
        <v>0</v>
      </c>
      <c r="M45" s="534">
        <f>IF(ISBLANK(AX10),(AA45/AS7)*AW10,(AA45/AX10)*AY10)</f>
        <v>0</v>
      </c>
      <c r="N45" s="533">
        <f t="shared" ref="N45:N62" si="21">AB45</f>
        <v>0</v>
      </c>
      <c r="O45" s="532">
        <f>IF(ISBLANK(AX10),(AD45/AS7)*AW10,(AD45/AX10)*AY10)</f>
        <v>0</v>
      </c>
      <c r="P45" s="534">
        <f>IF(ISBLANK(AX11),(AA45/AS7)*AW11,(AA45/AX11)*AY11)</f>
        <v>0</v>
      </c>
      <c r="Q45" s="533">
        <f t="shared" ref="Q45:Q62" si="22">AB45</f>
        <v>0</v>
      </c>
      <c r="R45" s="532">
        <f>IF(ISBLANK(AX11),(AD45/AS7)*AW11,(AD45/AX11)*AY11)</f>
        <v>0</v>
      </c>
      <c r="S45" s="534">
        <f>IF(ISBLANK(AX12),(AA45/AS7)*AW12,(AA45/AX12)*AY12)</f>
        <v>0</v>
      </c>
      <c r="T45" s="533">
        <f t="shared" ref="T45:T62" si="23">AB45</f>
        <v>0</v>
      </c>
      <c r="U45" s="532">
        <f>IF(ISBLANK(AX12),(AD45/AS7)*AW12,(AD45/AX12)*AY12)</f>
        <v>0</v>
      </c>
      <c r="V45" s="531">
        <f t="shared" ref="V45:V62" si="24">SUM(F45,I45,L45,O45,R45,U45)</f>
        <v>0</v>
      </c>
      <c r="W45" s="530">
        <f t="shared" ref="W45:W62" si="25">SUM(D45,G45,J45,M45,P45,S45)</f>
        <v>0</v>
      </c>
      <c r="X45" s="529">
        <f t="shared" ref="X45:X62" si="26">IF(V45&lt;0.001,AM45*W45,AM45*V45)</f>
        <v>0</v>
      </c>
      <c r="Y45" s="3864"/>
      <c r="Z45" s="515"/>
      <c r="AA45" s="545"/>
      <c r="AB45" s="544"/>
      <c r="AC45" s="543"/>
      <c r="AD45" s="542">
        <f t="shared" ref="AD45:AD62" si="27">IF(ISBLANK(AA45),AC45,AA45*AC45)</f>
        <v>0</v>
      </c>
      <c r="AE45" s="541"/>
      <c r="AF45" s="523"/>
      <c r="AG45" s="522"/>
      <c r="AH45" s="540">
        <f>IF(ISBLANK(AH9),(AA45/AD10)*AJ7,(AA45/AH9)*AI9)</f>
        <v>0</v>
      </c>
      <c r="AI45" s="539">
        <f t="shared" ref="AI45:AI62" si="28">AB45</f>
        <v>0</v>
      </c>
      <c r="AJ45" s="538">
        <f>IF(ISBLANK(AH9),(AD45/AD10)*AJ7,(AD45/AH9)*AI9)</f>
        <v>0</v>
      </c>
      <c r="AK45" s="518"/>
      <c r="AL45" s="537">
        <f t="shared" ref="AL45:AL62" si="29">IF(AD45=0,0,((AJ45-(AJ45*AK45%))))</f>
        <v>0</v>
      </c>
      <c r="AM45" s="516"/>
      <c r="AN45" s="372">
        <f t="shared" ref="AN45:AN62" si="30">IF(ISBLANK(AC45),AH45*AM45,AJ45*AM45)</f>
        <v>0</v>
      </c>
      <c r="AO45" s="3685"/>
      <c r="AP45" s="515"/>
      <c r="AQ45" s="378"/>
      <c r="AR45" s="395" t="s">
        <v>100</v>
      </c>
      <c r="AS45" s="395"/>
      <c r="AT45" s="395"/>
      <c r="AU45" s="395"/>
      <c r="AV45" s="395"/>
      <c r="AW45" s="395"/>
      <c r="AX45" s="395"/>
      <c r="AY45" s="395"/>
      <c r="AZ45" s="378"/>
      <c r="BA45" s="378"/>
      <c r="BB45" s="378"/>
      <c r="BC45" s="378"/>
      <c r="BD45" s="378"/>
      <c r="BE45" s="3654" t="s">
        <v>210</v>
      </c>
      <c r="BF45" s="3655"/>
      <c r="BG45" s="3656"/>
      <c r="BH45" s="378"/>
      <c r="BI45" s="3815" t="s">
        <v>115</v>
      </c>
      <c r="BJ45" s="3816"/>
      <c r="BK45" s="3904"/>
      <c r="BL45" s="356"/>
      <c r="BM45" s="381">
        <v>15</v>
      </c>
    </row>
    <row r="46" spans="1:65" ht="15" customHeight="1">
      <c r="A46" s="3862"/>
      <c r="B46" s="551">
        <f t="shared" si="17"/>
        <v>0</v>
      </c>
      <c r="C46" s="546"/>
      <c r="D46" s="534">
        <f>IF(ISBLANK(AX7),(AA46/AS7)*AW7,(AA46/AX7)*AY7)</f>
        <v>0</v>
      </c>
      <c r="E46" s="533">
        <f t="shared" si="18"/>
        <v>0</v>
      </c>
      <c r="F46" s="532">
        <f>IF(ISBLANK(AX7),(AD46/AS7)*AW7,(AD46/AX7)*AY7)</f>
        <v>0</v>
      </c>
      <c r="G46" s="534">
        <f>IF(ISBLANK(AX8),(AA46/AS7)*AW8,(AA46/AX8)*AY8)</f>
        <v>0</v>
      </c>
      <c r="H46" s="533">
        <f t="shared" si="19"/>
        <v>0</v>
      </c>
      <c r="I46" s="532">
        <f>IF(ISBLANK(AX8),(AD46/AS7)*AW8,(AD46/AX8)*AY8)</f>
        <v>0</v>
      </c>
      <c r="J46" s="534">
        <f>IF(ISBLANK(AX9),(AA46/AS7)*AW9,(AA46/AX9)*AY9)</f>
        <v>0</v>
      </c>
      <c r="K46" s="533">
        <f t="shared" si="20"/>
        <v>0</v>
      </c>
      <c r="L46" s="532">
        <f>IF(ISBLANK(AX9),(AD46/AS7)*AW9,(AD46/AX9)*AY9)</f>
        <v>0</v>
      </c>
      <c r="M46" s="534">
        <f>IF(ISBLANK(AX10),(AA46/AS7)*AW10,(AA46/AX10)*AY10)</f>
        <v>0</v>
      </c>
      <c r="N46" s="533">
        <f t="shared" si="21"/>
        <v>0</v>
      </c>
      <c r="O46" s="532">
        <f>IF(ISBLANK(AX10),(AD46/AS7)*AW10,(AD46/AX10)*AY10)</f>
        <v>0</v>
      </c>
      <c r="P46" s="534">
        <f>IF(ISBLANK(AX11),(AA46/AS7)*AW11,(AA46/AX11)*AY11)</f>
        <v>0</v>
      </c>
      <c r="Q46" s="533">
        <f t="shared" si="22"/>
        <v>0</v>
      </c>
      <c r="R46" s="532">
        <f>IF(ISBLANK(AX11),(AD46/AS7)*AW11,(AD46/AX11)*AY11)</f>
        <v>0</v>
      </c>
      <c r="S46" s="534">
        <f>IF(ISBLANK(AX12),(AA46/AS7)*AW12,(AA46/AX12)*AY12)</f>
        <v>0</v>
      </c>
      <c r="T46" s="533">
        <f t="shared" si="23"/>
        <v>0</v>
      </c>
      <c r="U46" s="532">
        <f>IF(ISBLANK(AX12),(AD46/AS7)*AW12,(AD46/AX12)*AY12)</f>
        <v>0</v>
      </c>
      <c r="V46" s="531">
        <f t="shared" si="24"/>
        <v>0</v>
      </c>
      <c r="W46" s="530">
        <f t="shared" si="25"/>
        <v>0</v>
      </c>
      <c r="X46" s="529">
        <f t="shared" si="26"/>
        <v>0</v>
      </c>
      <c r="Y46" s="3864"/>
      <c r="Z46" s="515"/>
      <c r="AA46" s="528"/>
      <c r="AB46" s="527"/>
      <c r="AC46" s="526"/>
      <c r="AD46" s="525">
        <f t="shared" si="27"/>
        <v>0</v>
      </c>
      <c r="AE46" s="524"/>
      <c r="AF46" s="523"/>
      <c r="AG46" s="522"/>
      <c r="AH46" s="521">
        <f>IF(ISBLANK(AH9),(AA46/AD10)*AJ7,(AA46/AH9)*AI9)</f>
        <v>0</v>
      </c>
      <c r="AI46" s="520">
        <f t="shared" si="28"/>
        <v>0</v>
      </c>
      <c r="AJ46" s="519">
        <f>IF(ISBLANK(AH9),(AD46/AD10)*AJ7,(AD46/AH9)*AI9)</f>
        <v>0</v>
      </c>
      <c r="AK46" s="518"/>
      <c r="AL46" s="517">
        <f t="shared" si="29"/>
        <v>0</v>
      </c>
      <c r="AM46" s="516"/>
      <c r="AN46" s="372">
        <f t="shared" si="30"/>
        <v>0</v>
      </c>
      <c r="AO46" s="3685"/>
      <c r="AP46" s="515"/>
      <c r="AQ46" s="378"/>
      <c r="AR46" s="395" t="s">
        <v>101</v>
      </c>
      <c r="AS46" s="395"/>
      <c r="AT46" s="395"/>
      <c r="AU46" s="395"/>
      <c r="AV46" s="395"/>
      <c r="AW46" s="395"/>
      <c r="AX46" s="395"/>
      <c r="AY46" s="395"/>
      <c r="AZ46" s="378"/>
      <c r="BA46" s="378"/>
      <c r="BB46" s="378"/>
      <c r="BC46" s="378"/>
      <c r="BD46" s="378"/>
      <c r="BE46" s="3654"/>
      <c r="BF46" s="3655"/>
      <c r="BG46" s="3656"/>
      <c r="BH46" s="378"/>
      <c r="BI46" s="3815"/>
      <c r="BJ46" s="3816"/>
      <c r="BK46" s="3904"/>
      <c r="BL46" s="356"/>
      <c r="BM46" s="381">
        <v>15</v>
      </c>
    </row>
    <row r="47" spans="1:65" ht="15" customHeight="1">
      <c r="A47" s="3862"/>
      <c r="B47" s="551">
        <f t="shared" si="17"/>
        <v>0</v>
      </c>
      <c r="C47" s="546"/>
      <c r="D47" s="534">
        <f>IF(ISBLANK(AX7),(AA47/AS7)*AW7,(AA47/AX7)*AY7)</f>
        <v>0</v>
      </c>
      <c r="E47" s="533">
        <f t="shared" si="18"/>
        <v>0</v>
      </c>
      <c r="F47" s="532">
        <f>IF(ISBLANK(AX7),(AD47/AS7)*AW7,(AD47/AX7)*AY7)</f>
        <v>0</v>
      </c>
      <c r="G47" s="534">
        <f>IF(ISBLANK(AX8),(AA47/AS7)*AW8,(AA47/AX8)*AY8)</f>
        <v>0</v>
      </c>
      <c r="H47" s="533">
        <f t="shared" si="19"/>
        <v>0</v>
      </c>
      <c r="I47" s="532">
        <f>IF(ISBLANK(AX8),(AD47/AS7)*AW8,(AD47/AX8)*AY8)</f>
        <v>0</v>
      </c>
      <c r="J47" s="534">
        <f>IF(ISBLANK(AX9),(AA47/AS7)*AW9,(AA47/AX9)*AY9)</f>
        <v>0</v>
      </c>
      <c r="K47" s="533">
        <f t="shared" si="20"/>
        <v>0</v>
      </c>
      <c r="L47" s="532">
        <f>IF(ISBLANK(AX9),(AD47/AS7)*AW9,(AD47/AX9)*AY9)</f>
        <v>0</v>
      </c>
      <c r="M47" s="534">
        <f>IF(ISBLANK(AX10),(AA47/AS7)*AW10,(AA47/AX10)*AY10)</f>
        <v>0</v>
      </c>
      <c r="N47" s="533">
        <f t="shared" si="21"/>
        <v>0</v>
      </c>
      <c r="O47" s="532">
        <f>IF(ISBLANK(AX10),(AD47/AS7)*AW10,(AD47/AX10)*AY10)</f>
        <v>0</v>
      </c>
      <c r="P47" s="534">
        <f>IF(ISBLANK(AX11),(AA47/AS7)*AW11,(AA47/AX11)*AY11)</f>
        <v>0</v>
      </c>
      <c r="Q47" s="533">
        <f t="shared" si="22"/>
        <v>0</v>
      </c>
      <c r="R47" s="532">
        <f>IF(ISBLANK(AX11),(AD47/AS7)*AW11,(AD47/AX11)*AY11)</f>
        <v>0</v>
      </c>
      <c r="S47" s="534">
        <f>IF(ISBLANK(AX12),(AA47/AS7)*AW12,(AA47/AX12)*AY12)</f>
        <v>0</v>
      </c>
      <c r="T47" s="533">
        <f t="shared" si="23"/>
        <v>0</v>
      </c>
      <c r="U47" s="532">
        <f>IF(ISBLANK(AX12),(AD47/AS7)*AW12,(AD47/AX12)*AY12)</f>
        <v>0</v>
      </c>
      <c r="V47" s="531">
        <f t="shared" si="24"/>
        <v>0</v>
      </c>
      <c r="W47" s="530">
        <f t="shared" si="25"/>
        <v>0</v>
      </c>
      <c r="X47" s="529">
        <f t="shared" si="26"/>
        <v>0</v>
      </c>
      <c r="Y47" s="3864"/>
      <c r="Z47" s="515"/>
      <c r="AA47" s="545"/>
      <c r="AB47" s="544"/>
      <c r="AC47" s="543"/>
      <c r="AD47" s="542">
        <f t="shared" si="27"/>
        <v>0</v>
      </c>
      <c r="AE47" s="541"/>
      <c r="AF47" s="523"/>
      <c r="AG47" s="522"/>
      <c r="AH47" s="540">
        <f>IF(ISBLANK(AH9),(AA47/AD10)*AJ7,(AA47/AH9)*AI9)</f>
        <v>0</v>
      </c>
      <c r="AI47" s="539">
        <f t="shared" si="28"/>
        <v>0</v>
      </c>
      <c r="AJ47" s="538">
        <f>IF(ISBLANK(AH9),(AD47/AD10)*AJ7,(AD47/AH9)*AI9)</f>
        <v>0</v>
      </c>
      <c r="AK47" s="518"/>
      <c r="AL47" s="537">
        <f t="shared" si="29"/>
        <v>0</v>
      </c>
      <c r="AM47" s="516"/>
      <c r="AN47" s="372">
        <f t="shared" si="30"/>
        <v>0</v>
      </c>
      <c r="AO47" s="3685"/>
      <c r="AP47" s="515"/>
      <c r="AQ47" s="378"/>
      <c r="AR47" s="395" t="s">
        <v>209</v>
      </c>
      <c r="AS47" s="395"/>
      <c r="AT47" s="395"/>
      <c r="AU47" s="395"/>
      <c r="AV47" s="395"/>
      <c r="AW47" s="395"/>
      <c r="AX47" s="395"/>
      <c r="AY47" s="395"/>
      <c r="AZ47" s="378"/>
      <c r="BA47" s="378"/>
      <c r="BB47" s="378"/>
      <c r="BC47" s="378"/>
      <c r="BD47" s="378"/>
      <c r="BE47" s="3905" t="s">
        <v>208</v>
      </c>
      <c r="BF47" s="3906"/>
      <c r="BG47" s="3907"/>
      <c r="BH47" s="378"/>
      <c r="BI47" s="3815"/>
      <c r="BJ47" s="3816"/>
      <c r="BK47" s="3904"/>
      <c r="BL47" s="356"/>
      <c r="BM47" s="381">
        <v>15</v>
      </c>
    </row>
    <row r="48" spans="1:65" ht="15" customHeight="1" thickBot="1">
      <c r="A48" s="3862"/>
      <c r="B48" s="551">
        <f t="shared" si="17"/>
        <v>0</v>
      </c>
      <c r="C48" s="546"/>
      <c r="D48" s="534">
        <f>IF(ISBLANK(AX7),(AA48/AS7)*AW7,(AA48/AX7)*AY7)</f>
        <v>0</v>
      </c>
      <c r="E48" s="533">
        <f t="shared" si="18"/>
        <v>0</v>
      </c>
      <c r="F48" s="532">
        <f>IF(ISBLANK(AX7),(AD48/AS7)*AW7,(AD48/AX7)*AY7)</f>
        <v>0</v>
      </c>
      <c r="G48" s="534">
        <f>IF(ISBLANK(AX8),(AA48/AS7)*AW8,(AA48/AX8)*AY8)</f>
        <v>0</v>
      </c>
      <c r="H48" s="533">
        <f t="shared" si="19"/>
        <v>0</v>
      </c>
      <c r="I48" s="532">
        <f>IF(ISBLANK(AX8),(AD48/AS7)*AW8,(AD48/AX8)*AY8)</f>
        <v>0</v>
      </c>
      <c r="J48" s="534">
        <f>IF(ISBLANK(AX9),(AA48/AS7)*AW9,(AA48/AX9)*AY9)</f>
        <v>0</v>
      </c>
      <c r="K48" s="533">
        <f t="shared" si="20"/>
        <v>0</v>
      </c>
      <c r="L48" s="532">
        <f>IF(ISBLANK(AX9),(AD48/AS7)*AW9,(AD48/AX9)*AY9)</f>
        <v>0</v>
      </c>
      <c r="M48" s="534">
        <f>IF(ISBLANK(AX10),(AA48/AS7)*AW10,(AA48/AX10)*AY10)</f>
        <v>0</v>
      </c>
      <c r="N48" s="533">
        <f t="shared" si="21"/>
        <v>0</v>
      </c>
      <c r="O48" s="532">
        <f>IF(ISBLANK(AX10),(AD48/AS7)*AW10,(AD48/AX10)*AY10)</f>
        <v>0</v>
      </c>
      <c r="P48" s="534">
        <f>IF(ISBLANK(AX11),(AA48/AS7)*AW11,(AA48/AX11)*AY11)</f>
        <v>0</v>
      </c>
      <c r="Q48" s="533">
        <f t="shared" si="22"/>
        <v>0</v>
      </c>
      <c r="R48" s="532">
        <f>IF(ISBLANK(AX11),(AD48/AS7)*AW11,(AD48/AX11)*AY11)</f>
        <v>0</v>
      </c>
      <c r="S48" s="534">
        <f>IF(ISBLANK(AX12),(AA48/AS7)*AW12,(AA48/AX12)*AY12)</f>
        <v>0</v>
      </c>
      <c r="T48" s="533">
        <f t="shared" si="23"/>
        <v>0</v>
      </c>
      <c r="U48" s="532">
        <f>IF(ISBLANK(AX12),(AD48/AS7)*AW12,(AD48/AX12)*AY12)</f>
        <v>0</v>
      </c>
      <c r="V48" s="531">
        <f t="shared" si="24"/>
        <v>0</v>
      </c>
      <c r="W48" s="530">
        <f t="shared" si="25"/>
        <v>0</v>
      </c>
      <c r="X48" s="529">
        <f t="shared" si="26"/>
        <v>0</v>
      </c>
      <c r="Y48" s="3864"/>
      <c r="Z48" s="515"/>
      <c r="AA48" s="528"/>
      <c r="AB48" s="527"/>
      <c r="AC48" s="526"/>
      <c r="AD48" s="525">
        <f t="shared" si="27"/>
        <v>0</v>
      </c>
      <c r="AE48" s="524"/>
      <c r="AF48" s="523"/>
      <c r="AG48" s="522"/>
      <c r="AH48" s="521">
        <f>IF(ISBLANK(AH9),(AA48/AD10)*AJ7,(AA48/AH9)*AI9)</f>
        <v>0</v>
      </c>
      <c r="AI48" s="520">
        <f t="shared" si="28"/>
        <v>0</v>
      </c>
      <c r="AJ48" s="519">
        <f>IF(ISBLANK(AH9),(AD48/AD10)*AJ7,(AD48/AH9)*AI9)</f>
        <v>0</v>
      </c>
      <c r="AK48" s="518"/>
      <c r="AL48" s="517">
        <f t="shared" si="29"/>
        <v>0</v>
      </c>
      <c r="AM48" s="516"/>
      <c r="AN48" s="372">
        <f t="shared" si="30"/>
        <v>0</v>
      </c>
      <c r="AO48" s="3685"/>
      <c r="AP48" s="515"/>
      <c r="AQ48" s="378"/>
      <c r="AR48" s="395"/>
      <c r="AS48" s="395"/>
      <c r="AT48" s="395"/>
      <c r="AU48" s="395"/>
      <c r="AV48" s="395"/>
      <c r="AW48" s="395"/>
      <c r="AX48" s="395"/>
      <c r="AY48" s="395"/>
      <c r="AZ48" s="378"/>
      <c r="BA48" s="378"/>
      <c r="BB48" s="378"/>
      <c r="BC48" s="378"/>
      <c r="BD48" s="378"/>
      <c r="BE48" s="3905"/>
      <c r="BF48" s="3906"/>
      <c r="BG48" s="3907"/>
      <c r="BH48" s="378"/>
      <c r="BI48" s="562">
        <f ca="1">CELL("largeur",BI48)</f>
        <v>11</v>
      </c>
      <c r="BJ48" s="561">
        <f ca="1">CELL("largeur",BJ48)</f>
        <v>11</v>
      </c>
      <c r="BK48" s="560">
        <f ca="1">CELL("largeur",BK48)</f>
        <v>11</v>
      </c>
      <c r="BL48" s="356"/>
      <c r="BM48" s="381">
        <v>15</v>
      </c>
    </row>
    <row r="49" spans="1:65" ht="15" customHeight="1">
      <c r="A49" s="3862"/>
      <c r="B49" s="551">
        <f t="shared" si="17"/>
        <v>0</v>
      </c>
      <c r="C49" s="546"/>
      <c r="D49" s="534">
        <f>IF(ISBLANK(AX7),(AA49/AS7)*AW7,(AA49/AX7)*AY7)</f>
        <v>0</v>
      </c>
      <c r="E49" s="533">
        <f t="shared" si="18"/>
        <v>0</v>
      </c>
      <c r="F49" s="532">
        <f>IF(ISBLANK(AX7),(AD49/AS7)*AW7,(AD49/AX7)*AY7)</f>
        <v>0</v>
      </c>
      <c r="G49" s="534">
        <f>IF(ISBLANK(AX8),(AA49/AS7)*AW8,(AA49/AX8)*AY8)</f>
        <v>0</v>
      </c>
      <c r="H49" s="533">
        <f t="shared" si="19"/>
        <v>0</v>
      </c>
      <c r="I49" s="532">
        <f>IF(ISBLANK(AX8),(AD49/AS7)*AW8,(AD49/AX8)*AY8)</f>
        <v>0</v>
      </c>
      <c r="J49" s="534">
        <f>IF(ISBLANK(AX9),(AA49/AS7)*AW9,(AA49/AX9)*AY9)</f>
        <v>0</v>
      </c>
      <c r="K49" s="533">
        <f t="shared" si="20"/>
        <v>0</v>
      </c>
      <c r="L49" s="532">
        <f>IF(ISBLANK(AX9),(AD49/AS7)*AW9,(AD49/AX9)*AY9)</f>
        <v>0</v>
      </c>
      <c r="M49" s="534">
        <f>IF(ISBLANK(AX10),(AA49/AS7)*AW10,(AA49/AX10)*AY10)</f>
        <v>0</v>
      </c>
      <c r="N49" s="533">
        <f t="shared" si="21"/>
        <v>0</v>
      </c>
      <c r="O49" s="532">
        <f>IF(ISBLANK(AX10),(AD49/AS7)*AW10,(AD49/AX10)*AY10)</f>
        <v>0</v>
      </c>
      <c r="P49" s="534">
        <f>IF(ISBLANK(AX11),(AA49/AS7)*AW11,(AA49/AX11)*AY11)</f>
        <v>0</v>
      </c>
      <c r="Q49" s="533">
        <f t="shared" si="22"/>
        <v>0</v>
      </c>
      <c r="R49" s="532">
        <f>IF(ISBLANK(AX11),(AD49/AS7)*AW11,(AD49/AX11)*AY11)</f>
        <v>0</v>
      </c>
      <c r="S49" s="534">
        <f>IF(ISBLANK(AX12),(AA49/AS7)*AW12,(AA49/AX12)*AY12)</f>
        <v>0</v>
      </c>
      <c r="T49" s="533">
        <f t="shared" si="23"/>
        <v>0</v>
      </c>
      <c r="U49" s="532">
        <f>IF(ISBLANK(AX12),(AD49/AS7)*AW12,(AD49/AX12)*AY12)</f>
        <v>0</v>
      </c>
      <c r="V49" s="531">
        <f t="shared" si="24"/>
        <v>0</v>
      </c>
      <c r="W49" s="530">
        <f t="shared" si="25"/>
        <v>0</v>
      </c>
      <c r="X49" s="529">
        <f t="shared" si="26"/>
        <v>0</v>
      </c>
      <c r="Y49" s="3864"/>
      <c r="Z49" s="515"/>
      <c r="AA49" s="545"/>
      <c r="AB49" s="544"/>
      <c r="AC49" s="543"/>
      <c r="AD49" s="542">
        <f t="shared" si="27"/>
        <v>0</v>
      </c>
      <c r="AE49" s="541"/>
      <c r="AF49" s="523"/>
      <c r="AG49" s="522"/>
      <c r="AH49" s="540">
        <f>IF(ISBLANK(AH9),(AA49/AD10)*AJ7,(AA49/AH9)*AI9)</f>
        <v>0</v>
      </c>
      <c r="AI49" s="539">
        <f t="shared" si="28"/>
        <v>0</v>
      </c>
      <c r="AJ49" s="538">
        <f>IF(ISBLANK(AH9),(AD49/AD10)*AJ7,(AD49/AH9)*AI9)</f>
        <v>0</v>
      </c>
      <c r="AK49" s="518"/>
      <c r="AL49" s="537">
        <f t="shared" si="29"/>
        <v>0</v>
      </c>
      <c r="AM49" s="516"/>
      <c r="AN49" s="372">
        <f t="shared" si="30"/>
        <v>0</v>
      </c>
      <c r="AO49" s="3685"/>
      <c r="AP49" s="515"/>
      <c r="AQ49" s="378"/>
      <c r="AR49" s="559" t="s">
        <v>106</v>
      </c>
      <c r="AS49" s="558"/>
      <c r="AT49" s="558"/>
      <c r="AU49" s="558"/>
      <c r="AV49" s="558"/>
      <c r="AW49" s="558"/>
      <c r="AX49" s="558"/>
      <c r="AY49" s="558"/>
      <c r="AZ49" s="378"/>
      <c r="BA49" s="378"/>
      <c r="BB49" s="378"/>
      <c r="BC49" s="378"/>
      <c r="BD49" s="378"/>
      <c r="BE49" s="3660" t="s">
        <v>207</v>
      </c>
      <c r="BF49" s="3661"/>
      <c r="BG49" s="3662"/>
      <c r="BH49" s="378"/>
      <c r="BI49" s="378"/>
      <c r="BJ49" s="356"/>
      <c r="BK49" s="356"/>
      <c r="BL49" s="356"/>
      <c r="BM49" s="381">
        <v>15</v>
      </c>
    </row>
    <row r="50" spans="1:65" ht="15" customHeight="1">
      <c r="A50" s="3862"/>
      <c r="B50" s="551">
        <f t="shared" si="17"/>
        <v>0</v>
      </c>
      <c r="C50" s="546"/>
      <c r="D50" s="534">
        <f>IF(ISBLANK(AX7),(AA50/AS7)*AW7,(AA50/AX7)*AY7)</f>
        <v>0</v>
      </c>
      <c r="E50" s="533">
        <f t="shared" si="18"/>
        <v>0</v>
      </c>
      <c r="F50" s="532">
        <f>IF(ISBLANK(AX7),(AD50/AS7)*AW7,(AD50/AX7)*AY7)</f>
        <v>0</v>
      </c>
      <c r="G50" s="534">
        <f>IF(ISBLANK(AX8),(AA50/AS7)*AW8,(AA50/AX8)*AY8)</f>
        <v>0</v>
      </c>
      <c r="H50" s="533">
        <f t="shared" si="19"/>
        <v>0</v>
      </c>
      <c r="I50" s="532">
        <f>IF(ISBLANK(AX8),(AD50/AS7)*AW8,(AD50/AX8)*AY8)</f>
        <v>0</v>
      </c>
      <c r="J50" s="534">
        <f>IF(ISBLANK(AX9),(AA50/AS7)*AW9,(AA50/AX9)*AY9)</f>
        <v>0</v>
      </c>
      <c r="K50" s="533">
        <f t="shared" si="20"/>
        <v>0</v>
      </c>
      <c r="L50" s="532">
        <f>IF(ISBLANK(AX9),(AD50/AS7)*AW9,(AD50/AX9)*AY9)</f>
        <v>0</v>
      </c>
      <c r="M50" s="534">
        <f>IF(ISBLANK(AX10),(AA50/AS7)*AW10,(AA50/AX10)*AY10)</f>
        <v>0</v>
      </c>
      <c r="N50" s="533">
        <f t="shared" si="21"/>
        <v>0</v>
      </c>
      <c r="O50" s="532">
        <f>IF(ISBLANK(AX10),(AD50/AS7)*AW10,(AD50/AX10)*AY10)</f>
        <v>0</v>
      </c>
      <c r="P50" s="534">
        <f>IF(ISBLANK(AX11),(AA50/AS7)*AW11,(AA50/AX11)*AY11)</f>
        <v>0</v>
      </c>
      <c r="Q50" s="533">
        <f t="shared" si="22"/>
        <v>0</v>
      </c>
      <c r="R50" s="532">
        <f>IF(ISBLANK(AX11),(AD50/AS7)*AW11,(AD50/AX11)*AY11)</f>
        <v>0</v>
      </c>
      <c r="S50" s="534">
        <f>IF(ISBLANK(AX12),(AA50/AS7)*AW12,(AA50/AX12)*AY12)</f>
        <v>0</v>
      </c>
      <c r="T50" s="533">
        <f t="shared" si="23"/>
        <v>0</v>
      </c>
      <c r="U50" s="532">
        <f>IF(ISBLANK(AX12),(AD50/AS7)*AW12,(AD50/AX12)*AY12)</f>
        <v>0</v>
      </c>
      <c r="V50" s="531">
        <f t="shared" si="24"/>
        <v>0</v>
      </c>
      <c r="W50" s="530">
        <f t="shared" si="25"/>
        <v>0</v>
      </c>
      <c r="X50" s="529">
        <f t="shared" si="26"/>
        <v>0</v>
      </c>
      <c r="Y50" s="3864"/>
      <c r="Z50" s="515"/>
      <c r="AA50" s="528"/>
      <c r="AB50" s="527"/>
      <c r="AC50" s="526"/>
      <c r="AD50" s="525">
        <f t="shared" si="27"/>
        <v>0</v>
      </c>
      <c r="AE50" s="524"/>
      <c r="AF50" s="523"/>
      <c r="AG50" s="522"/>
      <c r="AH50" s="521">
        <f>IF(ISBLANK(AH9),(AA50/AD10)*AJ7,(AA50/AH9)*AI9)</f>
        <v>0</v>
      </c>
      <c r="AI50" s="520">
        <f t="shared" si="28"/>
        <v>0</v>
      </c>
      <c r="AJ50" s="519">
        <f>IF(ISBLANK(AH9),(AD50/AD10)*AJ7,(AD50/AH9)*AI9)</f>
        <v>0</v>
      </c>
      <c r="AK50" s="518"/>
      <c r="AL50" s="517">
        <f t="shared" si="29"/>
        <v>0</v>
      </c>
      <c r="AM50" s="516"/>
      <c r="AN50" s="372">
        <f t="shared" si="30"/>
        <v>0</v>
      </c>
      <c r="AO50" s="3685"/>
      <c r="AP50" s="515"/>
      <c r="AQ50" s="378"/>
      <c r="AR50" s="559" t="s">
        <v>206</v>
      </c>
      <c r="AS50" s="558"/>
      <c r="AT50" s="558"/>
      <c r="AU50" s="558"/>
      <c r="AV50" s="558"/>
      <c r="AW50" s="558"/>
      <c r="AX50" s="558"/>
      <c r="AY50" s="557"/>
      <c r="AZ50" s="378"/>
      <c r="BA50" s="378"/>
      <c r="BB50" s="378"/>
      <c r="BC50" s="378"/>
      <c r="BD50" s="378"/>
      <c r="BE50" s="3630" t="s">
        <v>205</v>
      </c>
      <c r="BF50" s="3631"/>
      <c r="BG50" s="3632"/>
      <c r="BH50" s="378"/>
      <c r="BI50" s="3705" t="s">
        <v>130</v>
      </c>
      <c r="BJ50" s="3837"/>
      <c r="BK50" s="3838"/>
      <c r="BL50" s="356"/>
      <c r="BM50" s="381">
        <v>15</v>
      </c>
    </row>
    <row r="51" spans="1:65" ht="15" customHeight="1">
      <c r="A51" s="3862"/>
      <c r="B51" s="551">
        <f t="shared" si="17"/>
        <v>0</v>
      </c>
      <c r="C51" s="546"/>
      <c r="D51" s="534">
        <f>IF(ISBLANK(AX7),(AA51/AS7)*AW7,(AA51/AX7)*AY7)</f>
        <v>0</v>
      </c>
      <c r="E51" s="533">
        <f t="shared" si="18"/>
        <v>0</v>
      </c>
      <c r="F51" s="532">
        <f>IF(ISBLANK(AX7),(AD51/AS7)*AW7,(AD51/AX7)*AY7)</f>
        <v>0</v>
      </c>
      <c r="G51" s="534">
        <f>IF(ISBLANK(AX8),(AA51/AS7)*AW8,(AA51/AX8)*AY8)</f>
        <v>0</v>
      </c>
      <c r="H51" s="533">
        <f t="shared" si="19"/>
        <v>0</v>
      </c>
      <c r="I51" s="532">
        <f>IF(ISBLANK(AX8),(AD51/AS7)*AW8,(AD51/AX8)*AY8)</f>
        <v>0</v>
      </c>
      <c r="J51" s="534">
        <f>IF(ISBLANK(AX9),(AA51/AS7)*AW9,(AA51/AX9)*AY9)</f>
        <v>0</v>
      </c>
      <c r="K51" s="533">
        <f t="shared" si="20"/>
        <v>0</v>
      </c>
      <c r="L51" s="532">
        <f>IF(ISBLANK(AX9),(AD51/AS7)*AW9,(AD51/AX9)*AY9)</f>
        <v>0</v>
      </c>
      <c r="M51" s="534">
        <f>IF(ISBLANK(AX10),(AA51/AS7)*AW10,(AA51/AX10)*AY10)</f>
        <v>0</v>
      </c>
      <c r="N51" s="533">
        <f t="shared" si="21"/>
        <v>0</v>
      </c>
      <c r="O51" s="532">
        <f>IF(ISBLANK(AX10),(AD51/AS7)*AW10,(AD51/AX10)*AY10)</f>
        <v>0</v>
      </c>
      <c r="P51" s="534">
        <f>IF(ISBLANK(AX11),(AA51/AS7)*AW11,(AA51/AX11)*AY11)</f>
        <v>0</v>
      </c>
      <c r="Q51" s="533">
        <f t="shared" si="22"/>
        <v>0</v>
      </c>
      <c r="R51" s="532">
        <f>IF(ISBLANK(AX11),(AD51/AS7)*AW11,(AD51/AX11)*AY11)</f>
        <v>0</v>
      </c>
      <c r="S51" s="534">
        <f>IF(ISBLANK(AX12),(AA51/AS7)*AW12,(AA51/AX12)*AY12)</f>
        <v>0</v>
      </c>
      <c r="T51" s="533">
        <f t="shared" si="23"/>
        <v>0</v>
      </c>
      <c r="U51" s="532">
        <f>IF(ISBLANK(AX12),(AD51/AS7)*AW12,(AD51/AX12)*AY12)</f>
        <v>0</v>
      </c>
      <c r="V51" s="531">
        <f t="shared" si="24"/>
        <v>0</v>
      </c>
      <c r="W51" s="530">
        <f t="shared" si="25"/>
        <v>0</v>
      </c>
      <c r="X51" s="529">
        <f t="shared" si="26"/>
        <v>0</v>
      </c>
      <c r="Y51" s="3864"/>
      <c r="Z51" s="515"/>
      <c r="AA51" s="545"/>
      <c r="AB51" s="544"/>
      <c r="AC51" s="543"/>
      <c r="AD51" s="542">
        <f t="shared" si="27"/>
        <v>0</v>
      </c>
      <c r="AE51" s="541"/>
      <c r="AF51" s="523"/>
      <c r="AG51" s="522"/>
      <c r="AH51" s="540">
        <f>IF(ISBLANK(AH9),(AA51/AD10)*AJ7,(AA51/AH9)*AI9)</f>
        <v>0</v>
      </c>
      <c r="AI51" s="539">
        <f t="shared" si="28"/>
        <v>0</v>
      </c>
      <c r="AJ51" s="538">
        <f>IF(ISBLANK(AH9),(AD51/AD10)*AJ7,(AD51/AH9)*AI9)</f>
        <v>0</v>
      </c>
      <c r="AK51" s="518"/>
      <c r="AL51" s="537">
        <f t="shared" si="29"/>
        <v>0</v>
      </c>
      <c r="AM51" s="516"/>
      <c r="AN51" s="372">
        <f t="shared" si="30"/>
        <v>0</v>
      </c>
      <c r="AO51" s="3685"/>
      <c r="AP51" s="515"/>
      <c r="AQ51" s="378"/>
      <c r="AR51" s="212" t="s">
        <v>108</v>
      </c>
      <c r="AS51" s="3917" t="s">
        <v>109</v>
      </c>
      <c r="AT51" s="3917"/>
      <c r="AU51" s="3917"/>
      <c r="AV51" s="3917"/>
      <c r="AW51" s="3917"/>
      <c r="AX51" s="3917"/>
      <c r="AY51" s="3917"/>
      <c r="AZ51" s="378"/>
      <c r="BA51" s="378"/>
      <c r="BB51" s="378"/>
      <c r="BC51" s="378"/>
      <c r="BD51" s="378"/>
      <c r="BE51" s="3630"/>
      <c r="BF51" s="3631"/>
      <c r="BG51" s="3632"/>
      <c r="BH51" s="378"/>
      <c r="BI51" s="3711" t="s">
        <v>133</v>
      </c>
      <c r="BJ51" s="3712" t="s">
        <v>134</v>
      </c>
      <c r="BK51" s="3713" t="s">
        <v>135</v>
      </c>
      <c r="BL51" s="378"/>
      <c r="BM51" s="381">
        <v>15</v>
      </c>
    </row>
    <row r="52" spans="1:65" ht="15" customHeight="1">
      <c r="A52" s="3862"/>
      <c r="B52" s="551">
        <f t="shared" si="17"/>
        <v>0</v>
      </c>
      <c r="C52" s="546"/>
      <c r="D52" s="534">
        <f>IF(ISBLANK(AX7),(AA52/AS7)*AW7,(AA52/AX7)*AY7)</f>
        <v>0</v>
      </c>
      <c r="E52" s="533">
        <f t="shared" si="18"/>
        <v>0</v>
      </c>
      <c r="F52" s="532">
        <f>IF(ISBLANK(AX7),(AD52/AS7)*AW7,(AD52/AX7)*AY7)</f>
        <v>0</v>
      </c>
      <c r="G52" s="534">
        <f>IF(ISBLANK(AX8),(AA52/AS7)*AW8,(AA52/AX8)*AY8)</f>
        <v>0</v>
      </c>
      <c r="H52" s="533">
        <f t="shared" si="19"/>
        <v>0</v>
      </c>
      <c r="I52" s="532">
        <f>IF(ISBLANK(AX8),(AD52/AS7)*AW8,(AD52/AX8)*AY8)</f>
        <v>0</v>
      </c>
      <c r="J52" s="534">
        <f>IF(ISBLANK(AX9),(AA52/AS7)*AW9,(AA52/AX9)*AY9)</f>
        <v>0</v>
      </c>
      <c r="K52" s="533">
        <f t="shared" si="20"/>
        <v>0</v>
      </c>
      <c r="L52" s="532">
        <f>IF(ISBLANK(AX9),(AD52/AS7)*AW9,(AD52/AX9)*AY9)</f>
        <v>0</v>
      </c>
      <c r="M52" s="534">
        <f>IF(ISBLANK(AX10),(AA52/AS7)*AW10,(AA52/AX10)*AY10)</f>
        <v>0</v>
      </c>
      <c r="N52" s="533">
        <f t="shared" si="21"/>
        <v>0</v>
      </c>
      <c r="O52" s="532">
        <f>IF(ISBLANK(AX10),(AD52/AS7)*AW10,(AD52/AX10)*AY10)</f>
        <v>0</v>
      </c>
      <c r="P52" s="534">
        <f>IF(ISBLANK(AX11),(AA52/AS7)*AW11,(AA52/AX11)*AY11)</f>
        <v>0</v>
      </c>
      <c r="Q52" s="533">
        <f t="shared" si="22"/>
        <v>0</v>
      </c>
      <c r="R52" s="532">
        <f>IF(ISBLANK(AX11),(AD52/AS7)*AW11,(AD52/AX11)*AY11)</f>
        <v>0</v>
      </c>
      <c r="S52" s="534">
        <f>IF(ISBLANK(AX12),(AA52/AS7)*AW12,(AA52/AX12)*AY12)</f>
        <v>0</v>
      </c>
      <c r="T52" s="533">
        <f t="shared" si="23"/>
        <v>0</v>
      </c>
      <c r="U52" s="532">
        <f>IF(ISBLANK(AX12),(AD52/AS7)*AW12,(AD52/AX12)*AY12)</f>
        <v>0</v>
      </c>
      <c r="V52" s="531">
        <f t="shared" si="24"/>
        <v>0</v>
      </c>
      <c r="W52" s="530">
        <f t="shared" si="25"/>
        <v>0</v>
      </c>
      <c r="X52" s="529">
        <f t="shared" si="26"/>
        <v>0</v>
      </c>
      <c r="Y52" s="3864"/>
      <c r="Z52" s="515"/>
      <c r="AA52" s="528"/>
      <c r="AB52" s="527"/>
      <c r="AC52" s="526"/>
      <c r="AD52" s="525">
        <f t="shared" si="27"/>
        <v>0</v>
      </c>
      <c r="AE52" s="524"/>
      <c r="AF52" s="523"/>
      <c r="AG52" s="522"/>
      <c r="AH52" s="521">
        <f>IF(ISBLANK(AH9),(AA52/AD10)*AJ7,(AA52/AH9)*AI9)</f>
        <v>0</v>
      </c>
      <c r="AI52" s="520">
        <f t="shared" si="28"/>
        <v>0</v>
      </c>
      <c r="AJ52" s="519">
        <f>IF(ISBLANK(AH9),(AD52/AD10)*AJ7,(AD52/AH9)*AI9)</f>
        <v>0</v>
      </c>
      <c r="AK52" s="518"/>
      <c r="AL52" s="517">
        <f t="shared" si="29"/>
        <v>0</v>
      </c>
      <c r="AM52" s="516"/>
      <c r="AN52" s="372">
        <f t="shared" si="30"/>
        <v>0</v>
      </c>
      <c r="AO52" s="3685"/>
      <c r="AP52" s="515"/>
      <c r="AQ52" s="378"/>
      <c r="AR52" s="212" t="s">
        <v>108</v>
      </c>
      <c r="AS52" s="3918" t="s">
        <v>111</v>
      </c>
      <c r="AT52" s="3918"/>
      <c r="AU52" s="3918"/>
      <c r="AV52" s="3918"/>
      <c r="AW52" s="3918"/>
      <c r="AX52" s="3918"/>
      <c r="AY52" s="3918"/>
      <c r="AZ52" s="378"/>
      <c r="BA52" s="378"/>
      <c r="BB52" s="378"/>
      <c r="BC52" s="378"/>
      <c r="BD52" s="378"/>
      <c r="BE52" s="3630"/>
      <c r="BF52" s="3631"/>
      <c r="BG52" s="3632"/>
      <c r="BH52" s="378"/>
      <c r="BI52" s="3711"/>
      <c r="BJ52" s="3712"/>
      <c r="BK52" s="3713"/>
      <c r="BL52" s="378"/>
      <c r="BM52" s="381">
        <v>15</v>
      </c>
    </row>
    <row r="53" spans="1:65" ht="15" customHeight="1">
      <c r="A53" s="3862"/>
      <c r="B53" s="551">
        <f t="shared" si="17"/>
        <v>0</v>
      </c>
      <c r="C53" s="546"/>
      <c r="D53" s="534">
        <f>IF(ISBLANK(AX7),(AA53/AS7)*AW7,(AA53/AX7)*AY7)</f>
        <v>0</v>
      </c>
      <c r="E53" s="533">
        <f t="shared" si="18"/>
        <v>0</v>
      </c>
      <c r="F53" s="532">
        <f>IF(ISBLANK(AX7),(AD53/AS7)*AW7,(AD53/AX7)*AY7)</f>
        <v>0</v>
      </c>
      <c r="G53" s="534">
        <f>IF(ISBLANK(AX8),(AA53/AS7)*AW8,(AA53/AX8)*AY8)</f>
        <v>0</v>
      </c>
      <c r="H53" s="533">
        <f t="shared" si="19"/>
        <v>0</v>
      </c>
      <c r="I53" s="532">
        <f>IF(ISBLANK(AX8),(AD53/AS7)*AW8,(AD53/AX8)*AY8)</f>
        <v>0</v>
      </c>
      <c r="J53" s="534">
        <f>IF(ISBLANK(AX9),(AA53/AS7)*AW9,(AA53/AX9)*AY9)</f>
        <v>0</v>
      </c>
      <c r="K53" s="533">
        <f t="shared" si="20"/>
        <v>0</v>
      </c>
      <c r="L53" s="532">
        <f>IF(ISBLANK(AX9),(AD53/AS7)*AW9,(AD53/AX9)*AY9)</f>
        <v>0</v>
      </c>
      <c r="M53" s="534">
        <f>IF(ISBLANK(AX10),(AA53/AS7)*AW10,(AA53/AX10)*AY10)</f>
        <v>0</v>
      </c>
      <c r="N53" s="533">
        <f t="shared" si="21"/>
        <v>0</v>
      </c>
      <c r="O53" s="532">
        <f>IF(ISBLANK(AX10),(AD53/AS7)*AW10,(AD53/AX10)*AY10)</f>
        <v>0</v>
      </c>
      <c r="P53" s="534">
        <f>IF(ISBLANK(AX11),(AA53/AS7)*AW11,(AA53/AX11)*AY11)</f>
        <v>0</v>
      </c>
      <c r="Q53" s="533">
        <f t="shared" si="22"/>
        <v>0</v>
      </c>
      <c r="R53" s="532">
        <f>IF(ISBLANK(AX11),(AD53/AS7)*AW11,(AD53/AX11)*AY11)</f>
        <v>0</v>
      </c>
      <c r="S53" s="534">
        <f>IF(ISBLANK(AX12),(AA53/AS7)*AW12,(AA53/AX12)*AY12)</f>
        <v>0</v>
      </c>
      <c r="T53" s="533">
        <f t="shared" si="23"/>
        <v>0</v>
      </c>
      <c r="U53" s="532">
        <f>IF(ISBLANK(AX12),(AD53/AS7)*AW12,(AD53/AX12)*AY12)</f>
        <v>0</v>
      </c>
      <c r="V53" s="531">
        <f t="shared" si="24"/>
        <v>0</v>
      </c>
      <c r="W53" s="530">
        <f t="shared" si="25"/>
        <v>0</v>
      </c>
      <c r="X53" s="529">
        <f t="shared" si="26"/>
        <v>0</v>
      </c>
      <c r="Y53" s="3864"/>
      <c r="Z53" s="515"/>
      <c r="AA53" s="545"/>
      <c r="AB53" s="544"/>
      <c r="AC53" s="543"/>
      <c r="AD53" s="542">
        <f t="shared" si="27"/>
        <v>0</v>
      </c>
      <c r="AE53" s="541"/>
      <c r="AF53" s="523"/>
      <c r="AG53" s="522"/>
      <c r="AH53" s="540">
        <f>IF(ISBLANK(AH9),(AA53/AD10)*AJ7,(AA53/AH9)*AI9)</f>
        <v>0</v>
      </c>
      <c r="AI53" s="539">
        <f t="shared" si="28"/>
        <v>0</v>
      </c>
      <c r="AJ53" s="538">
        <f>IF(ISBLANK(AH9),(AD53/AD10)*AJ7,(AD53/AH9)*AI9)</f>
        <v>0</v>
      </c>
      <c r="AK53" s="518"/>
      <c r="AL53" s="537">
        <f t="shared" si="29"/>
        <v>0</v>
      </c>
      <c r="AM53" s="516"/>
      <c r="AN53" s="372">
        <f t="shared" si="30"/>
        <v>0</v>
      </c>
      <c r="AO53" s="3685"/>
      <c r="AP53" s="515"/>
      <c r="AQ53" s="378"/>
      <c r="AR53" s="212" t="s">
        <v>108</v>
      </c>
      <c r="AS53" s="3918" t="s">
        <v>113</v>
      </c>
      <c r="AT53" s="3918"/>
      <c r="AU53" s="3918"/>
      <c r="AV53" s="3918"/>
      <c r="AW53" s="3918"/>
      <c r="AX53" s="3918"/>
      <c r="AY53" s="3918"/>
      <c r="AZ53" s="378"/>
      <c r="BA53" s="378"/>
      <c r="BB53" s="378"/>
      <c r="BC53" s="378"/>
      <c r="BD53" s="378"/>
      <c r="BE53" s="3630"/>
      <c r="BF53" s="3631"/>
      <c r="BG53" s="3632"/>
      <c r="BH53" s="378"/>
      <c r="BI53" s="556">
        <v>150</v>
      </c>
      <c r="BJ53" s="555">
        <v>250</v>
      </c>
      <c r="BK53" s="554">
        <f>(BJ53*BI53)/1000</f>
        <v>37.5</v>
      </c>
      <c r="BL53" s="378"/>
      <c r="BM53" s="381">
        <v>15</v>
      </c>
    </row>
    <row r="54" spans="1:65" ht="15" customHeight="1">
      <c r="A54" s="3862"/>
      <c r="B54" s="551">
        <f t="shared" si="17"/>
        <v>0</v>
      </c>
      <c r="C54" s="546"/>
      <c r="D54" s="534">
        <f>IF(ISBLANK(AX7),(AA54/AS7)*AW7,(AA54/AX7)*AY7)</f>
        <v>0</v>
      </c>
      <c r="E54" s="533">
        <f t="shared" si="18"/>
        <v>0</v>
      </c>
      <c r="F54" s="532">
        <f>IF(ISBLANK(AX7),(AD54/AS7)*AW7,(AD54/AX7)*AY7)</f>
        <v>0</v>
      </c>
      <c r="G54" s="534">
        <f>IF(ISBLANK(AX8),(AA54/AS7)*AW8,(AA54/AX8)*AY8)</f>
        <v>0</v>
      </c>
      <c r="H54" s="533">
        <f t="shared" si="19"/>
        <v>0</v>
      </c>
      <c r="I54" s="532">
        <f>IF(ISBLANK(AX8),(AD54/AS7)*AW8,(AD54/AX8)*AY8)</f>
        <v>0</v>
      </c>
      <c r="J54" s="534">
        <f>IF(ISBLANK(AX9),(AA54/AS7)*AW9,(AA54/AX9)*AY9)</f>
        <v>0</v>
      </c>
      <c r="K54" s="533">
        <f t="shared" si="20"/>
        <v>0</v>
      </c>
      <c r="L54" s="532">
        <f>IF(ISBLANK(AX9),(AD54/AS7)*AW9,(AD54/AX9)*AY9)</f>
        <v>0</v>
      </c>
      <c r="M54" s="534">
        <f>IF(ISBLANK(AX10),(AA54/AS7)*AW10,(AA54/AX10)*AY10)</f>
        <v>0</v>
      </c>
      <c r="N54" s="533">
        <f t="shared" si="21"/>
        <v>0</v>
      </c>
      <c r="O54" s="532">
        <f>IF(ISBLANK(AX10),(AD54/AS7)*AW10,(AD54/AX10)*AY10)</f>
        <v>0</v>
      </c>
      <c r="P54" s="534">
        <f>IF(ISBLANK(AX11),(AA54/AS7)*AW11,(AA54/AX11)*AY11)</f>
        <v>0</v>
      </c>
      <c r="Q54" s="533">
        <f t="shared" si="22"/>
        <v>0</v>
      </c>
      <c r="R54" s="532">
        <f>IF(ISBLANK(AX11),(AD54/AS7)*AW11,(AD54/AX11)*AY11)</f>
        <v>0</v>
      </c>
      <c r="S54" s="534">
        <f>IF(ISBLANK(AX12),(AA54/AS7)*AW12,(AA54/AX12)*AY12)</f>
        <v>0</v>
      </c>
      <c r="T54" s="533">
        <f t="shared" si="23"/>
        <v>0</v>
      </c>
      <c r="U54" s="532">
        <f>IF(ISBLANK(AX12),(AD54/AS7)*AW12,(AD54/AX12)*AY12)</f>
        <v>0</v>
      </c>
      <c r="V54" s="531">
        <f t="shared" si="24"/>
        <v>0</v>
      </c>
      <c r="W54" s="530">
        <f t="shared" si="25"/>
        <v>0</v>
      </c>
      <c r="X54" s="529">
        <f t="shared" si="26"/>
        <v>0</v>
      </c>
      <c r="Y54" s="3864"/>
      <c r="Z54" s="515"/>
      <c r="AA54" s="528"/>
      <c r="AB54" s="527"/>
      <c r="AC54" s="526"/>
      <c r="AD54" s="525">
        <f t="shared" si="27"/>
        <v>0</v>
      </c>
      <c r="AE54" s="524"/>
      <c r="AF54" s="523"/>
      <c r="AG54" s="522"/>
      <c r="AH54" s="521">
        <f>IF(ISBLANK(AH9),(AA54/AD10)*AJ7,(AA54/AH9)*AI9)</f>
        <v>0</v>
      </c>
      <c r="AI54" s="520">
        <f t="shared" si="28"/>
        <v>0</v>
      </c>
      <c r="AJ54" s="519">
        <f>IF(ISBLANK(AH9),(AD54/AD10)*AJ7,(AD54/AH9)*AI9)</f>
        <v>0</v>
      </c>
      <c r="AK54" s="518"/>
      <c r="AL54" s="517">
        <f t="shared" si="29"/>
        <v>0</v>
      </c>
      <c r="AM54" s="516"/>
      <c r="AN54" s="372">
        <f t="shared" si="30"/>
        <v>0</v>
      </c>
      <c r="AO54" s="3685"/>
      <c r="AP54" s="515"/>
      <c r="AQ54" s="378"/>
      <c r="AR54" s="378"/>
      <c r="AS54" s="378"/>
      <c r="AT54" s="378"/>
      <c r="AU54" s="378"/>
      <c r="AV54" s="378"/>
      <c r="AW54" s="378"/>
      <c r="AX54" s="378"/>
      <c r="AY54" s="378"/>
      <c r="AZ54" s="378"/>
      <c r="BA54" s="378"/>
      <c r="BB54" s="378"/>
      <c r="BC54" s="378"/>
      <c r="BD54" s="378"/>
      <c r="BE54" s="3630" t="s">
        <v>204</v>
      </c>
      <c r="BF54" s="3631"/>
      <c r="BG54" s="3632"/>
      <c r="BH54" s="378"/>
      <c r="BI54" s="553" t="s">
        <v>203</v>
      </c>
      <c r="BJ54" s="552"/>
      <c r="BK54" s="552"/>
      <c r="BL54" s="378"/>
      <c r="BM54" s="381">
        <v>15</v>
      </c>
    </row>
    <row r="55" spans="1:65" ht="15" customHeight="1">
      <c r="A55" s="3862"/>
      <c r="B55" s="551">
        <f t="shared" si="17"/>
        <v>0</v>
      </c>
      <c r="C55" s="546"/>
      <c r="D55" s="534">
        <f>IF(ISBLANK(AX7),(AA55/AS7)*AW7,(AA55/AX7)*AY7)</f>
        <v>0</v>
      </c>
      <c r="E55" s="533">
        <f t="shared" si="18"/>
        <v>0</v>
      </c>
      <c r="F55" s="532">
        <f>IF(ISBLANK(AX7),(AD55/AS7)*AW7,(AD55/AX7)*AY7)</f>
        <v>0</v>
      </c>
      <c r="G55" s="534">
        <f>IF(ISBLANK(AX8),(AA55/AS7)*AW8,(AA55/AX8)*AY8)</f>
        <v>0</v>
      </c>
      <c r="H55" s="533">
        <f t="shared" si="19"/>
        <v>0</v>
      </c>
      <c r="I55" s="532">
        <f>IF(ISBLANK(AX8),(AD55/AS7)*AW8,(AD55/AX8)*AY8)</f>
        <v>0</v>
      </c>
      <c r="J55" s="534">
        <f>IF(ISBLANK(AX9),(AA55/AS7)*AW9,(AA55/AX9)*AY9)</f>
        <v>0</v>
      </c>
      <c r="K55" s="533">
        <f t="shared" si="20"/>
        <v>0</v>
      </c>
      <c r="L55" s="532">
        <f>IF(ISBLANK(AX9),(AD55/AS7)*AW9,(AD55/AX9)*AY9)</f>
        <v>0</v>
      </c>
      <c r="M55" s="534">
        <f>IF(ISBLANK(AX10),(AA55/AS7)*AW10,(AA55/AX10)*AY10)</f>
        <v>0</v>
      </c>
      <c r="N55" s="533">
        <f t="shared" si="21"/>
        <v>0</v>
      </c>
      <c r="O55" s="532">
        <f>IF(ISBLANK(AX10),(AD55/AS7)*AW10,(AD55/AX10)*AY10)</f>
        <v>0</v>
      </c>
      <c r="P55" s="534">
        <f>IF(ISBLANK(AX11),(AA55/AS7)*AW11,(AA55/AX11)*AY11)</f>
        <v>0</v>
      </c>
      <c r="Q55" s="533">
        <f t="shared" si="22"/>
        <v>0</v>
      </c>
      <c r="R55" s="532">
        <f>IF(ISBLANK(AX11),(AD55/AS7)*AW11,(AD55/AX11)*AY11)</f>
        <v>0</v>
      </c>
      <c r="S55" s="534">
        <f>IF(ISBLANK(AX12),(AA55/AS7)*AW12,(AA55/AX12)*AY12)</f>
        <v>0</v>
      </c>
      <c r="T55" s="533">
        <f t="shared" si="23"/>
        <v>0</v>
      </c>
      <c r="U55" s="532">
        <f>IF(ISBLANK(AX12),(AD55/AS7)*AW12,(AD55/AX12)*AY12)</f>
        <v>0</v>
      </c>
      <c r="V55" s="531">
        <f t="shared" si="24"/>
        <v>0</v>
      </c>
      <c r="W55" s="530">
        <f t="shared" si="25"/>
        <v>0</v>
      </c>
      <c r="X55" s="529">
        <f t="shared" si="26"/>
        <v>0</v>
      </c>
      <c r="Y55" s="3864"/>
      <c r="Z55" s="515"/>
      <c r="AA55" s="545"/>
      <c r="AB55" s="544"/>
      <c r="AC55" s="543"/>
      <c r="AD55" s="542">
        <f t="shared" si="27"/>
        <v>0</v>
      </c>
      <c r="AE55" s="541"/>
      <c r="AF55" s="523"/>
      <c r="AG55" s="522"/>
      <c r="AH55" s="540">
        <f>IF(ISBLANK(AH9),(AA55/AD10)*AJ7,(AA55/AH9)*AI9)</f>
        <v>0</v>
      </c>
      <c r="AI55" s="539">
        <f t="shared" si="28"/>
        <v>0</v>
      </c>
      <c r="AJ55" s="538">
        <f>IF(ISBLANK(AH9),(AD55/AD10)*AJ7,(AD55/AH9)*AI9)</f>
        <v>0</v>
      </c>
      <c r="AK55" s="518"/>
      <c r="AL55" s="537">
        <f t="shared" si="29"/>
        <v>0</v>
      </c>
      <c r="AM55" s="516"/>
      <c r="AN55" s="372">
        <f t="shared" si="30"/>
        <v>0</v>
      </c>
      <c r="AO55" s="3685"/>
      <c r="AP55" s="515"/>
      <c r="AQ55" s="378"/>
      <c r="AR55" s="378"/>
      <c r="AS55" s="378"/>
      <c r="AT55" s="378"/>
      <c r="AU55" s="378"/>
      <c r="AV55" s="378"/>
      <c r="AW55" s="378"/>
      <c r="AX55" s="378"/>
      <c r="AY55" s="378"/>
      <c r="AZ55" s="378"/>
      <c r="BA55" s="378"/>
      <c r="BB55" s="378"/>
      <c r="BC55" s="378"/>
      <c r="BD55" s="378"/>
      <c r="BE55" s="3630"/>
      <c r="BF55" s="3631"/>
      <c r="BG55" s="3632"/>
      <c r="BH55" s="378"/>
      <c r="BI55" s="3708" t="s">
        <v>131</v>
      </c>
      <c r="BJ55" s="297" t="s">
        <v>37</v>
      </c>
      <c r="BK55" s="298" t="s">
        <v>47</v>
      </c>
      <c r="BL55" s="378"/>
      <c r="BM55" s="381">
        <v>15</v>
      </c>
    </row>
    <row r="56" spans="1:65" ht="15" customHeight="1">
      <c r="A56" s="3862"/>
      <c r="B56" s="551">
        <f t="shared" si="17"/>
        <v>0</v>
      </c>
      <c r="C56" s="546"/>
      <c r="D56" s="534">
        <f>IF(ISBLANK(AX7),(AA56/AS7)*AW7,(AA56/AX7)*AY7)</f>
        <v>0</v>
      </c>
      <c r="E56" s="533">
        <f t="shared" si="18"/>
        <v>0</v>
      </c>
      <c r="F56" s="532">
        <f>IF(ISBLANK(AX7),(AD56/AS7)*AW7,(AD56/AX7)*AY7)</f>
        <v>0</v>
      </c>
      <c r="G56" s="534">
        <f>IF(ISBLANK(AX8),(AA56/AS7)*AW8,(AA56/AX8)*AY8)</f>
        <v>0</v>
      </c>
      <c r="H56" s="533">
        <f t="shared" si="19"/>
        <v>0</v>
      </c>
      <c r="I56" s="532">
        <f>IF(ISBLANK(AX8),(AD56/AS7)*AW8,(AD56/AX8)*AY8)</f>
        <v>0</v>
      </c>
      <c r="J56" s="534">
        <f>IF(ISBLANK(AX9),(AA56/AS7)*AW9,(AA56/AX9)*AY9)</f>
        <v>0</v>
      </c>
      <c r="K56" s="533">
        <f t="shared" si="20"/>
        <v>0</v>
      </c>
      <c r="L56" s="532">
        <f>IF(ISBLANK(AX9),(AD56/AS7)*AW9,(AD56/AX9)*AY9)</f>
        <v>0</v>
      </c>
      <c r="M56" s="534">
        <f>IF(ISBLANK(AX10),(AA56/AS7)*AW10,(AA56/AX10)*AY10)</f>
        <v>0</v>
      </c>
      <c r="N56" s="533">
        <f t="shared" si="21"/>
        <v>0</v>
      </c>
      <c r="O56" s="532">
        <f>IF(ISBLANK(AX10),(AD56/AS7)*AW10,(AD56/AX10)*AY10)</f>
        <v>0</v>
      </c>
      <c r="P56" s="534">
        <f>IF(ISBLANK(AX11),(AA56/AS7)*AW11,(AA56/AX11)*AY11)</f>
        <v>0</v>
      </c>
      <c r="Q56" s="533">
        <f t="shared" si="22"/>
        <v>0</v>
      </c>
      <c r="R56" s="532">
        <f>IF(ISBLANK(AX11),(AD56/AS7)*AW11,(AD56/AX11)*AY11)</f>
        <v>0</v>
      </c>
      <c r="S56" s="534">
        <f>IF(ISBLANK(AX12),(AA56/AS7)*AW12,(AA56/AX12)*AY12)</f>
        <v>0</v>
      </c>
      <c r="T56" s="533">
        <f t="shared" si="23"/>
        <v>0</v>
      </c>
      <c r="U56" s="532">
        <f>IF(ISBLANK(AX12),(AD56/AS7)*AW12,(AD56/AX12)*AY12)</f>
        <v>0</v>
      </c>
      <c r="V56" s="531">
        <f t="shared" si="24"/>
        <v>0</v>
      </c>
      <c r="W56" s="530">
        <f t="shared" si="25"/>
        <v>0</v>
      </c>
      <c r="X56" s="529">
        <f t="shared" si="26"/>
        <v>0</v>
      </c>
      <c r="Y56" s="3864"/>
      <c r="Z56" s="515"/>
      <c r="AA56" s="528"/>
      <c r="AB56" s="527"/>
      <c r="AC56" s="526"/>
      <c r="AD56" s="525">
        <f t="shared" si="27"/>
        <v>0</v>
      </c>
      <c r="AE56" s="524"/>
      <c r="AF56" s="523"/>
      <c r="AG56" s="522"/>
      <c r="AH56" s="521">
        <f>IF(ISBLANK(AH9),(AA56/AD10)*AJ7,(AA56/AH9)*AI9)</f>
        <v>0</v>
      </c>
      <c r="AI56" s="520">
        <f t="shared" si="28"/>
        <v>0</v>
      </c>
      <c r="AJ56" s="519">
        <f>IF(ISBLANK(AH9),(AD56/AD10)*AJ7,(AD56/AH9)*AI9)</f>
        <v>0</v>
      </c>
      <c r="AK56" s="518"/>
      <c r="AL56" s="517">
        <f t="shared" si="29"/>
        <v>0</v>
      </c>
      <c r="AM56" s="516"/>
      <c r="AN56" s="372">
        <f t="shared" si="30"/>
        <v>0</v>
      </c>
      <c r="AO56" s="3685"/>
      <c r="AP56" s="515"/>
      <c r="AQ56" s="378"/>
      <c r="AR56" s="378"/>
      <c r="AS56" s="378"/>
      <c r="AT56" s="378"/>
      <c r="AU56" s="378"/>
      <c r="AV56" s="378"/>
      <c r="AW56" s="378"/>
      <c r="AX56" s="378"/>
      <c r="AY56" s="378"/>
      <c r="AZ56" s="378"/>
      <c r="BA56" s="378"/>
      <c r="BB56" s="378"/>
      <c r="BC56" s="378"/>
      <c r="BD56" s="378"/>
      <c r="BE56" s="3630"/>
      <c r="BF56" s="3631"/>
      <c r="BG56" s="3632"/>
      <c r="BH56" s="378"/>
      <c r="BI56" s="3709"/>
      <c r="BJ56" s="550">
        <v>200</v>
      </c>
      <c r="BK56" s="549">
        <v>140</v>
      </c>
      <c r="BL56" s="378"/>
      <c r="BM56" s="381">
        <v>15</v>
      </c>
    </row>
    <row r="57" spans="1:65" ht="15" customHeight="1">
      <c r="A57" s="3862"/>
      <c r="B57" s="547">
        <f t="shared" si="17"/>
        <v>0</v>
      </c>
      <c r="C57" s="546"/>
      <c r="D57" s="534">
        <f>IF(ISBLANK(AX7),(AA57/AS7)*AW7,(AA57/AX7)*AY7)</f>
        <v>0</v>
      </c>
      <c r="E57" s="533">
        <f t="shared" si="18"/>
        <v>0</v>
      </c>
      <c r="F57" s="532">
        <f>IF(ISBLANK(AX7),(AD57/AS7)*AW7,(AD57/AX7)*AY7)</f>
        <v>0</v>
      </c>
      <c r="G57" s="534">
        <f>IF(ISBLANK(AX8),(AA57/AS7)*AW8,(AA57/AX8)*AY8)</f>
        <v>0</v>
      </c>
      <c r="H57" s="533">
        <f t="shared" si="19"/>
        <v>0</v>
      </c>
      <c r="I57" s="532">
        <f>IF(ISBLANK(AX8),(AD57/AS7)*AW8,(AD57/AX8)*AY8)</f>
        <v>0</v>
      </c>
      <c r="J57" s="534">
        <f>IF(ISBLANK(AX9),(AA57/AS7)*AW9,(AA57/AX9)*AY9)</f>
        <v>0</v>
      </c>
      <c r="K57" s="533">
        <f t="shared" si="20"/>
        <v>0</v>
      </c>
      <c r="L57" s="532">
        <f>IF(ISBLANK(AX9),(AD57/AS7)*AW9,(AD57/AX9)*AY9)</f>
        <v>0</v>
      </c>
      <c r="M57" s="534">
        <f>IF(ISBLANK(AX10),(AA57/AS7)*AW10,(AA57/AX10)*AY10)</f>
        <v>0</v>
      </c>
      <c r="N57" s="533">
        <f t="shared" si="21"/>
        <v>0</v>
      </c>
      <c r="O57" s="532">
        <f>IF(ISBLANK(AX10),(AD57/AS7)*AW10,(AD57/AX10)*AY10)</f>
        <v>0</v>
      </c>
      <c r="P57" s="534">
        <f>IF(ISBLANK(AX11),(AA57/AS7)*AW11,(AA57/AX11)*AY11)</f>
        <v>0</v>
      </c>
      <c r="Q57" s="533">
        <f t="shared" si="22"/>
        <v>0</v>
      </c>
      <c r="R57" s="532">
        <f>IF(ISBLANK(AX11),(AD57/AS7)*AW11,(AD57/AX11)*AY11)</f>
        <v>0</v>
      </c>
      <c r="S57" s="534">
        <f>IF(ISBLANK(AX12),(AA57/AS7)*AW12,(AA57/AX12)*AY12)</f>
        <v>0</v>
      </c>
      <c r="T57" s="533">
        <f t="shared" si="23"/>
        <v>0</v>
      </c>
      <c r="U57" s="532">
        <f>IF(ISBLANK(AX12),(AD57/AS7)*AW12,(AD57/AX12)*AY12)</f>
        <v>0</v>
      </c>
      <c r="V57" s="531">
        <f t="shared" si="24"/>
        <v>0</v>
      </c>
      <c r="W57" s="530">
        <f t="shared" si="25"/>
        <v>0</v>
      </c>
      <c r="X57" s="529">
        <f t="shared" si="26"/>
        <v>0</v>
      </c>
      <c r="Y57" s="3864"/>
      <c r="Z57" s="515"/>
      <c r="AA57" s="545"/>
      <c r="AB57" s="544"/>
      <c r="AC57" s="543"/>
      <c r="AD57" s="542">
        <f t="shared" si="27"/>
        <v>0</v>
      </c>
      <c r="AE57" s="541"/>
      <c r="AF57" s="523"/>
      <c r="AG57" s="522"/>
      <c r="AH57" s="540">
        <f>IF(ISBLANK(AH9),(AA57/AD10)*AJ7,(AA57/AH9)*AI9)</f>
        <v>0</v>
      </c>
      <c r="AI57" s="539">
        <f t="shared" si="28"/>
        <v>0</v>
      </c>
      <c r="AJ57" s="538">
        <f>IF(ISBLANK(AH9),(AD57/AD10)*AJ7,(AD57/AH9)*AI9)</f>
        <v>0</v>
      </c>
      <c r="AK57" s="518"/>
      <c r="AL57" s="537">
        <f t="shared" si="29"/>
        <v>0</v>
      </c>
      <c r="AM57" s="516"/>
      <c r="AN57" s="372">
        <f t="shared" si="30"/>
        <v>0</v>
      </c>
      <c r="AO57" s="3685"/>
      <c r="AP57" s="515"/>
      <c r="AQ57" s="378"/>
      <c r="AR57" s="378"/>
      <c r="AS57" s="378"/>
      <c r="AT57" s="378"/>
      <c r="AU57" s="378"/>
      <c r="AV57" s="378"/>
      <c r="AW57" s="378"/>
      <c r="AX57" s="378"/>
      <c r="AY57" s="378"/>
      <c r="AZ57" s="378"/>
      <c r="BA57" s="378"/>
      <c r="BB57" s="378"/>
      <c r="BC57" s="378"/>
      <c r="BD57" s="378"/>
      <c r="BE57" s="3630" t="s">
        <v>202</v>
      </c>
      <c r="BF57" s="3631"/>
      <c r="BG57" s="3632"/>
      <c r="BH57" s="378"/>
      <c r="BI57" s="3709"/>
      <c r="BJ57" s="308">
        <v>30</v>
      </c>
      <c r="BK57" s="309">
        <v>30</v>
      </c>
      <c r="BL57" s="378"/>
      <c r="BM57" s="381">
        <v>15</v>
      </c>
    </row>
    <row r="58" spans="1:65" ht="15" customHeight="1">
      <c r="A58" s="3862"/>
      <c r="B58" s="547">
        <f t="shared" si="17"/>
        <v>0</v>
      </c>
      <c r="C58" s="546"/>
      <c r="D58" s="534">
        <f>IF(ISBLANK(AX7),(AA58/AS7)*AW7,(AA58/AX7)*AY7)</f>
        <v>0</v>
      </c>
      <c r="E58" s="533">
        <f t="shared" si="18"/>
        <v>0</v>
      </c>
      <c r="F58" s="532">
        <f>IF(ISBLANK(AX7),(AD58/AS7)*AW7,(AD58/AX7)*AY7)</f>
        <v>0</v>
      </c>
      <c r="G58" s="534">
        <f>IF(ISBLANK(AX8),(AA58/AS7)*AW8,(AA58/AX8)*AY8)</f>
        <v>0</v>
      </c>
      <c r="H58" s="533">
        <f t="shared" si="19"/>
        <v>0</v>
      </c>
      <c r="I58" s="532">
        <f>IF(ISBLANK(AX8),(AD58/AS7)*AW8,(AD58/AX8)*AY8)</f>
        <v>0</v>
      </c>
      <c r="J58" s="534">
        <f>IF(ISBLANK(AX9),(AA58/AS7)*AW9,(AA58/AX9)*AY9)</f>
        <v>0</v>
      </c>
      <c r="K58" s="533">
        <f t="shared" si="20"/>
        <v>0</v>
      </c>
      <c r="L58" s="532">
        <f>IF(ISBLANK(AX9),(AD58/AS7)*AW9,(AD58/AX9)*AY9)</f>
        <v>0</v>
      </c>
      <c r="M58" s="534">
        <f>IF(ISBLANK(AX10),(AA58/AS7)*AW10,(AA58/AX10)*AY10)</f>
        <v>0</v>
      </c>
      <c r="N58" s="533">
        <f t="shared" si="21"/>
        <v>0</v>
      </c>
      <c r="O58" s="532">
        <f>IF(ISBLANK(AX10),(AD58/AS7)*AW10,(AD58/AX10)*AY10)</f>
        <v>0</v>
      </c>
      <c r="P58" s="534">
        <f>IF(ISBLANK(AX11),(AA58/AS7)*AW11,(AA58/AX11)*AY11)</f>
        <v>0</v>
      </c>
      <c r="Q58" s="533">
        <f t="shared" si="22"/>
        <v>0</v>
      </c>
      <c r="R58" s="532">
        <f>IF(ISBLANK(AX11),(AD58/AS7)*AW11,(AD58/AX11)*AY11)</f>
        <v>0</v>
      </c>
      <c r="S58" s="534">
        <f>IF(ISBLANK(AX12),(AA58/AS7)*AW12,(AA58/AX12)*AY12)</f>
        <v>0</v>
      </c>
      <c r="T58" s="533">
        <f t="shared" si="23"/>
        <v>0</v>
      </c>
      <c r="U58" s="532">
        <f>IF(ISBLANK(AX12),(AD58/AS7)*AW12,(AD58/AX12)*AY12)</f>
        <v>0</v>
      </c>
      <c r="V58" s="531">
        <f t="shared" si="24"/>
        <v>0</v>
      </c>
      <c r="W58" s="530">
        <f t="shared" si="25"/>
        <v>0</v>
      </c>
      <c r="X58" s="529">
        <f t="shared" si="26"/>
        <v>0</v>
      </c>
      <c r="Y58" s="3864"/>
      <c r="Z58" s="515"/>
      <c r="AA58" s="528"/>
      <c r="AB58" s="527"/>
      <c r="AC58" s="526"/>
      <c r="AD58" s="525">
        <f t="shared" si="27"/>
        <v>0</v>
      </c>
      <c r="AE58" s="524"/>
      <c r="AF58" s="523"/>
      <c r="AG58" s="522"/>
      <c r="AH58" s="521">
        <f>IF(ISBLANK(AH9),(AA58/AD10)*AJ7,(AA58/AH9)*AI9)</f>
        <v>0</v>
      </c>
      <c r="AI58" s="520">
        <f t="shared" si="28"/>
        <v>0</v>
      </c>
      <c r="AJ58" s="519">
        <f>IF(ISBLANK(AH9),(AD58/AD10)*AJ7,(AD58/AH9)*AI9)</f>
        <v>0</v>
      </c>
      <c r="AK58" s="518"/>
      <c r="AL58" s="517">
        <f t="shared" si="29"/>
        <v>0</v>
      </c>
      <c r="AM58" s="516"/>
      <c r="AN58" s="372">
        <f t="shared" si="30"/>
        <v>0</v>
      </c>
      <c r="AO58" s="3685"/>
      <c r="AP58" s="515"/>
      <c r="AQ58" s="378"/>
      <c r="AR58" s="378"/>
      <c r="AS58" s="378"/>
      <c r="AT58" s="378"/>
      <c r="AU58" s="378"/>
      <c r="AV58" s="378"/>
      <c r="AW58" s="378"/>
      <c r="AX58" s="378"/>
      <c r="AY58" s="378"/>
      <c r="AZ58" s="378"/>
      <c r="BA58" s="378"/>
      <c r="BB58" s="378"/>
      <c r="BC58" s="378"/>
      <c r="BD58" s="378"/>
      <c r="BE58" s="3630"/>
      <c r="BF58" s="3631"/>
      <c r="BG58" s="3632"/>
      <c r="BH58" s="378"/>
      <c r="BI58" s="3919"/>
      <c r="BJ58" s="310">
        <f>IF(BJ56=0,0,((BJ56-(BJ56*BJ57%))))/1000</f>
        <v>0.14000000000000001</v>
      </c>
      <c r="BK58" s="311">
        <f>(BK56/(100-BK57)*100)/1000</f>
        <v>0.2</v>
      </c>
      <c r="BL58" s="378"/>
      <c r="BM58" s="381">
        <v>15</v>
      </c>
    </row>
    <row r="59" spans="1:65" ht="15" customHeight="1">
      <c r="A59" s="3862"/>
      <c r="B59" s="547">
        <f t="shared" si="17"/>
        <v>0</v>
      </c>
      <c r="C59" s="546"/>
      <c r="D59" s="534">
        <f>IF(ISBLANK(AX7),(AA59/AS7)*AW7,(AA59/AX7)*AY7)</f>
        <v>0</v>
      </c>
      <c r="E59" s="533">
        <f t="shared" si="18"/>
        <v>0</v>
      </c>
      <c r="F59" s="532">
        <f>IF(ISBLANK(AX7),(AD59/AS7)*AW7,(AD59/AX7)*AY7)</f>
        <v>0</v>
      </c>
      <c r="G59" s="534">
        <f>IF(ISBLANK(AX8),(AA59/AS7)*AW8,(AA59/AX8)*AY8)</f>
        <v>0</v>
      </c>
      <c r="H59" s="533">
        <f t="shared" si="19"/>
        <v>0</v>
      </c>
      <c r="I59" s="532">
        <f>IF(ISBLANK(AX8),(AD59/AS7)*AW8,(AD59/AX8)*AY8)</f>
        <v>0</v>
      </c>
      <c r="J59" s="534">
        <f>IF(ISBLANK(AX9),(AA59/AS7)*AW9,(AA59/AX9)*AY9)</f>
        <v>0</v>
      </c>
      <c r="K59" s="533">
        <f t="shared" si="20"/>
        <v>0</v>
      </c>
      <c r="L59" s="532">
        <f>IF(ISBLANK(AX9),(AD59/AS7)*AW9,(AD59/AX9)*AY9)</f>
        <v>0</v>
      </c>
      <c r="M59" s="534">
        <f>IF(ISBLANK(AX10),(AA59/AS7)*AW10,(AA59/AX10)*AY10)</f>
        <v>0</v>
      </c>
      <c r="N59" s="533">
        <f t="shared" si="21"/>
        <v>0</v>
      </c>
      <c r="O59" s="532">
        <f>IF(ISBLANK(AX10),(AD59/AS7)*AW10,(AD59/AX10)*AY10)</f>
        <v>0</v>
      </c>
      <c r="P59" s="534">
        <f>IF(ISBLANK(AX11),(AA59/AS7)*AW11,(AA59/AX11)*AY11)</f>
        <v>0</v>
      </c>
      <c r="Q59" s="533">
        <f t="shared" si="22"/>
        <v>0</v>
      </c>
      <c r="R59" s="532">
        <f>IF(ISBLANK(AX11),(AD59/AS7)*AW11,(AD59/AX11)*AY11)</f>
        <v>0</v>
      </c>
      <c r="S59" s="534">
        <f>IF(ISBLANK(AX12),(AA59/AS7)*AW12,(AA59/AX12)*AY12)</f>
        <v>0</v>
      </c>
      <c r="T59" s="533">
        <f t="shared" si="23"/>
        <v>0</v>
      </c>
      <c r="U59" s="532">
        <f>IF(ISBLANK(AX12),(AD59/AS7)*AW12,(AD59/AX12)*AY12)</f>
        <v>0</v>
      </c>
      <c r="V59" s="531">
        <f t="shared" si="24"/>
        <v>0</v>
      </c>
      <c r="W59" s="530">
        <f t="shared" si="25"/>
        <v>0</v>
      </c>
      <c r="X59" s="529">
        <f t="shared" si="26"/>
        <v>0</v>
      </c>
      <c r="Y59" s="3864"/>
      <c r="Z59" s="515"/>
      <c r="AA59" s="545"/>
      <c r="AB59" s="544"/>
      <c r="AC59" s="543"/>
      <c r="AD59" s="542">
        <f t="shared" si="27"/>
        <v>0</v>
      </c>
      <c r="AE59" s="541"/>
      <c r="AF59" s="523"/>
      <c r="AG59" s="522"/>
      <c r="AH59" s="540">
        <f>IF(ISBLANK(AH9),(AA59/AD10)*AJ7,(AA59/AH9)*AI9)</f>
        <v>0</v>
      </c>
      <c r="AI59" s="539">
        <f t="shared" si="28"/>
        <v>0</v>
      </c>
      <c r="AJ59" s="538">
        <f>IF(ISBLANK(AH9),(AD59/AD10)*AJ7,(AD59/AH9)*AI9)</f>
        <v>0</v>
      </c>
      <c r="AK59" s="518"/>
      <c r="AL59" s="537">
        <f t="shared" si="29"/>
        <v>0</v>
      </c>
      <c r="AM59" s="516"/>
      <c r="AN59" s="372">
        <f t="shared" si="30"/>
        <v>0</v>
      </c>
      <c r="AO59" s="3685"/>
      <c r="AP59" s="515"/>
      <c r="AQ59" s="378"/>
      <c r="AR59" s="378"/>
      <c r="AS59" s="378"/>
      <c r="AT59" s="378"/>
      <c r="AU59" s="378"/>
      <c r="AV59" s="378"/>
      <c r="AW59" s="378"/>
      <c r="AX59" s="378"/>
      <c r="AY59" s="378"/>
      <c r="AZ59" s="378"/>
      <c r="BA59" s="378"/>
      <c r="BB59" s="378"/>
      <c r="BC59" s="378"/>
      <c r="BD59" s="378"/>
      <c r="BE59" s="413"/>
      <c r="BF59" s="548" t="s">
        <v>201</v>
      </c>
      <c r="BG59" s="513" t="str">
        <f>LEFT(ADDRESS(1,COLUMN(AA12),4),LEN(ADDRESS(1,COLUMN(AA12),4))-1)</f>
        <v>AA</v>
      </c>
      <c r="BH59" s="378"/>
      <c r="BI59" s="378"/>
      <c r="BJ59" s="378"/>
      <c r="BK59" s="378"/>
      <c r="BL59" s="378"/>
      <c r="BM59" s="381">
        <v>15</v>
      </c>
    </row>
    <row r="60" spans="1:65" ht="15" customHeight="1">
      <c r="A60" s="3862"/>
      <c r="B60" s="547">
        <f t="shared" si="17"/>
        <v>0</v>
      </c>
      <c r="C60" s="546"/>
      <c r="D60" s="534">
        <f>IF(ISBLANK(AX7),(AA60/AS7)*AW7,(AA60/AX7)*AY7)</f>
        <v>0</v>
      </c>
      <c r="E60" s="533">
        <f t="shared" si="18"/>
        <v>0</v>
      </c>
      <c r="F60" s="532">
        <f>IF(ISBLANK(AX7),(AD60/AS7)*AW7,(AD60/AX7)*AY7)</f>
        <v>0</v>
      </c>
      <c r="G60" s="534">
        <f>IF(ISBLANK(AX8),(AA60/AS7)*AW8,(AA60/AX8)*AY8)</f>
        <v>0</v>
      </c>
      <c r="H60" s="533">
        <f t="shared" si="19"/>
        <v>0</v>
      </c>
      <c r="I60" s="532">
        <f>IF(ISBLANK(AX8),(AD60/AS7)*AW8,(AD60/AX8)*AY8)</f>
        <v>0</v>
      </c>
      <c r="J60" s="534">
        <f>IF(ISBLANK(AX9),(AA60/AS7)*AW9,(AA60/AX9)*AY9)</f>
        <v>0</v>
      </c>
      <c r="K60" s="533">
        <f t="shared" si="20"/>
        <v>0</v>
      </c>
      <c r="L60" s="532">
        <f>IF(ISBLANK(AX9),(AD60/AS7)*AW9,(AD60/AX9)*AY9)</f>
        <v>0</v>
      </c>
      <c r="M60" s="534">
        <f>IF(ISBLANK(AX10),(AA60/AS7)*AW10,(AA60/AX10)*AY10)</f>
        <v>0</v>
      </c>
      <c r="N60" s="533">
        <f t="shared" si="21"/>
        <v>0</v>
      </c>
      <c r="O60" s="532">
        <f>IF(ISBLANK(AX10),(AD60/AS7)*AW10,(AD60/AX10)*AY10)</f>
        <v>0</v>
      </c>
      <c r="P60" s="534">
        <f>IF(ISBLANK(AX11),(AA60/AS7)*AW11,(AA60/AX11)*AY11)</f>
        <v>0</v>
      </c>
      <c r="Q60" s="533">
        <f t="shared" si="22"/>
        <v>0</v>
      </c>
      <c r="R60" s="532">
        <f>IF(ISBLANK(AX11),(AD60/AS7)*AW11,(AD60/AX11)*AY11)</f>
        <v>0</v>
      </c>
      <c r="S60" s="534">
        <f>IF(ISBLANK(AX12),(AA60/AS7)*AW12,(AA60/AX12)*AY12)</f>
        <v>0</v>
      </c>
      <c r="T60" s="533">
        <f t="shared" si="23"/>
        <v>0</v>
      </c>
      <c r="U60" s="532">
        <f>IF(ISBLANK(AX12),(AD60/AS7)*AW12,(AD60/AX12)*AY12)</f>
        <v>0</v>
      </c>
      <c r="V60" s="531">
        <f t="shared" si="24"/>
        <v>0</v>
      </c>
      <c r="W60" s="530">
        <f t="shared" si="25"/>
        <v>0</v>
      </c>
      <c r="X60" s="529">
        <f t="shared" si="26"/>
        <v>0</v>
      </c>
      <c r="Y60" s="3864"/>
      <c r="Z60" s="515"/>
      <c r="AA60" s="528"/>
      <c r="AB60" s="527"/>
      <c r="AC60" s="526"/>
      <c r="AD60" s="525">
        <f t="shared" si="27"/>
        <v>0</v>
      </c>
      <c r="AE60" s="524"/>
      <c r="AF60" s="523"/>
      <c r="AG60" s="522"/>
      <c r="AH60" s="521">
        <f>IF(ISBLANK(AH9),(AA60/AD10)*AJ7,(AA60/AH9)*AI9)</f>
        <v>0</v>
      </c>
      <c r="AI60" s="520">
        <f t="shared" si="28"/>
        <v>0</v>
      </c>
      <c r="AJ60" s="519">
        <f>IF(ISBLANK(AH9),(AD60/AD10)*AJ7,(AD60/AH9)*AI9)</f>
        <v>0</v>
      </c>
      <c r="AK60" s="518"/>
      <c r="AL60" s="517">
        <f t="shared" si="29"/>
        <v>0</v>
      </c>
      <c r="AM60" s="516"/>
      <c r="AN60" s="372">
        <f t="shared" si="30"/>
        <v>0</v>
      </c>
      <c r="AO60" s="3685"/>
      <c r="AP60" s="515"/>
      <c r="AQ60" s="378"/>
      <c r="AR60" s="378"/>
      <c r="AS60" s="378"/>
      <c r="AT60" s="378"/>
      <c r="AU60" s="378"/>
      <c r="AV60" s="378"/>
      <c r="AW60" s="378"/>
      <c r="AX60" s="378"/>
      <c r="AY60" s="378"/>
      <c r="AZ60" s="378"/>
      <c r="BA60" s="378"/>
      <c r="BB60" s="378"/>
      <c r="BC60" s="378"/>
      <c r="BD60" s="378"/>
      <c r="BE60" s="413"/>
      <c r="BF60" s="548" t="s">
        <v>200</v>
      </c>
      <c r="BG60" s="513" t="str">
        <f>LEFT(ADDRESS(1,COLUMN(AD12),4),LEN(ADDRESS(1,COLUMN(AD12),4))-1)</f>
        <v>AD</v>
      </c>
      <c r="BH60" s="378"/>
      <c r="BI60" s="378"/>
      <c r="BJ60" s="378"/>
      <c r="BK60" s="378"/>
      <c r="BL60" s="378"/>
      <c r="BM60" s="381">
        <v>15</v>
      </c>
    </row>
    <row r="61" spans="1:65" ht="15" customHeight="1">
      <c r="A61" s="3862"/>
      <c r="B61" s="547">
        <f t="shared" si="17"/>
        <v>0</v>
      </c>
      <c r="C61" s="546"/>
      <c r="D61" s="534">
        <f>IF(ISBLANK(AX7),(AA61/AS7)*AW7,(AA61/AX7)*AY7)</f>
        <v>0</v>
      </c>
      <c r="E61" s="533">
        <f t="shared" si="18"/>
        <v>0</v>
      </c>
      <c r="F61" s="532">
        <f>IF(ISBLANK(AX7),(AD61/AS7)*AW7,(AD61/AX7)*AY7)</f>
        <v>0</v>
      </c>
      <c r="G61" s="534">
        <f>IF(ISBLANK(AX8),(AA61/AS7)*AW8,(AA61/AX8)*AY8)</f>
        <v>0</v>
      </c>
      <c r="H61" s="533">
        <f t="shared" si="19"/>
        <v>0</v>
      </c>
      <c r="I61" s="532">
        <f>IF(ISBLANK(AX8),(AD61/AS7)*AW8,(AD61/AX8)*AY8)</f>
        <v>0</v>
      </c>
      <c r="J61" s="534">
        <f>IF(ISBLANK(AX9),(AA61/AS7)*AW9,(AA61/AX9)*AY9)</f>
        <v>0</v>
      </c>
      <c r="K61" s="533">
        <f t="shared" si="20"/>
        <v>0</v>
      </c>
      <c r="L61" s="532">
        <f>IF(ISBLANK(AX9),(AD61/AS7)*AW9,(AD61/AX9)*AY9)</f>
        <v>0</v>
      </c>
      <c r="M61" s="534">
        <f>IF(ISBLANK(AX10),(AA61/AS7)*AW10,(AA61/AX10)*AY10)</f>
        <v>0</v>
      </c>
      <c r="N61" s="533">
        <f t="shared" si="21"/>
        <v>0</v>
      </c>
      <c r="O61" s="532">
        <f>IF(ISBLANK(AX10),(AD61/AS7)*AW10,(AD61/AX10)*AY10)</f>
        <v>0</v>
      </c>
      <c r="P61" s="534">
        <f>IF(ISBLANK(AX11),(AA61/AS7)*AW11,(AA61/AX11)*AY11)</f>
        <v>0</v>
      </c>
      <c r="Q61" s="533">
        <f t="shared" si="22"/>
        <v>0</v>
      </c>
      <c r="R61" s="532">
        <f>IF(ISBLANK(AX11),(AD61/AS7)*AW11,(AD61/AX11)*AY11)</f>
        <v>0</v>
      </c>
      <c r="S61" s="534">
        <f>IF(ISBLANK(AX12),(AA61/AS7)*AW12,(AA61/AX12)*AY12)</f>
        <v>0</v>
      </c>
      <c r="T61" s="533">
        <f t="shared" si="23"/>
        <v>0</v>
      </c>
      <c r="U61" s="532">
        <f>IF(ISBLANK(AX12),(AD61/AS7)*AW12,(AD61/AX12)*AY12)</f>
        <v>0</v>
      </c>
      <c r="V61" s="531">
        <f t="shared" si="24"/>
        <v>0</v>
      </c>
      <c r="W61" s="530">
        <f t="shared" si="25"/>
        <v>0</v>
      </c>
      <c r="X61" s="529">
        <f t="shared" si="26"/>
        <v>0</v>
      </c>
      <c r="Y61" s="3864"/>
      <c r="Z61" s="515"/>
      <c r="AA61" s="545"/>
      <c r="AB61" s="544"/>
      <c r="AC61" s="543"/>
      <c r="AD61" s="542">
        <f t="shared" si="27"/>
        <v>0</v>
      </c>
      <c r="AE61" s="541"/>
      <c r="AF61" s="523"/>
      <c r="AG61" s="522"/>
      <c r="AH61" s="540">
        <f>IF(ISBLANK(AH9),(AA61/AD10)*AJ7,(AA61/AH9)*AI9)</f>
        <v>0</v>
      </c>
      <c r="AI61" s="539">
        <f t="shared" si="28"/>
        <v>0</v>
      </c>
      <c r="AJ61" s="538">
        <f>IF(ISBLANK(AH9),(AD61/AD10)*AJ7,(AD61/AH9)*AI9)</f>
        <v>0</v>
      </c>
      <c r="AK61" s="518"/>
      <c r="AL61" s="537">
        <f t="shared" si="29"/>
        <v>0</v>
      </c>
      <c r="AM61" s="516"/>
      <c r="AN61" s="372">
        <f t="shared" si="30"/>
        <v>0</v>
      </c>
      <c r="AO61" s="3685"/>
      <c r="AP61" s="515"/>
      <c r="AQ61" s="378"/>
      <c r="AR61" s="378"/>
      <c r="AS61" s="378"/>
      <c r="AT61" s="378"/>
      <c r="AU61" s="378"/>
      <c r="AV61" s="378"/>
      <c r="AW61" s="378"/>
      <c r="AX61" s="378"/>
      <c r="AY61" s="378"/>
      <c r="AZ61" s="378"/>
      <c r="BA61" s="378"/>
      <c r="BB61" s="378"/>
      <c r="BC61" s="378"/>
      <c r="BD61" s="378"/>
      <c r="BE61" s="413" t="s">
        <v>199</v>
      </c>
      <c r="BF61" s="412"/>
      <c r="BG61" s="411"/>
      <c r="BH61" s="378"/>
      <c r="BI61" s="378"/>
      <c r="BJ61" s="378"/>
      <c r="BK61" s="378"/>
      <c r="BL61" s="378"/>
      <c r="BM61" s="381">
        <v>15</v>
      </c>
    </row>
    <row r="62" spans="1:65" ht="15" customHeight="1">
      <c r="A62" s="3862"/>
      <c r="B62" s="536">
        <f t="shared" si="17"/>
        <v>0</v>
      </c>
      <c r="C62" s="535"/>
      <c r="D62" s="534">
        <f>IF(ISBLANK(AX7),(AA62/AS7)*AW7,(AA62/AX7)*AY7)</f>
        <v>0</v>
      </c>
      <c r="E62" s="533">
        <f t="shared" si="18"/>
        <v>0</v>
      </c>
      <c r="F62" s="532">
        <f>IF(ISBLANK(AX7),(AD62/AS7)*AW7,(AD62/AX7)*AY7)</f>
        <v>0</v>
      </c>
      <c r="G62" s="534">
        <f>IF(ISBLANK(AX8),(AA62/AS7)*AW8,(AA62/AX8)*AY8)</f>
        <v>0</v>
      </c>
      <c r="H62" s="533">
        <f t="shared" si="19"/>
        <v>0</v>
      </c>
      <c r="I62" s="532">
        <f>IF(ISBLANK(AX8),(AD62/AS7)*AW8,(AD62/AX8)*AY8)</f>
        <v>0</v>
      </c>
      <c r="J62" s="534">
        <f>IF(ISBLANK(AX9),(AA62/AS7)*AW9,(AA62/AX9)*AY9)</f>
        <v>0</v>
      </c>
      <c r="K62" s="533">
        <f t="shared" si="20"/>
        <v>0</v>
      </c>
      <c r="L62" s="532">
        <f>IF(ISBLANK(AX9),(AD62/AS7)*AW9,(AD62/AX9)*AY9)</f>
        <v>0</v>
      </c>
      <c r="M62" s="534">
        <f>IF(ISBLANK(AX10),(AA62/AS7)*AW10,(AA62/AX10)*AY10)</f>
        <v>0</v>
      </c>
      <c r="N62" s="533">
        <f t="shared" si="21"/>
        <v>0</v>
      </c>
      <c r="O62" s="532">
        <f>IF(ISBLANK(AX10),(AD62/AS7)*AW10,(AD62/AX10)*AY10)</f>
        <v>0</v>
      </c>
      <c r="P62" s="534">
        <f>IF(ISBLANK(AX11),(AA62/AS7)*AW11,(AA62/AX11)*AY11)</f>
        <v>0</v>
      </c>
      <c r="Q62" s="533">
        <f t="shared" si="22"/>
        <v>0</v>
      </c>
      <c r="R62" s="532">
        <f>IF(ISBLANK(AX11),(AD62/AS7)*AW11,(AD62/AX11)*AY11)</f>
        <v>0</v>
      </c>
      <c r="S62" s="534">
        <f>IF(ISBLANK(AX12),(AA62/AS7)*AW12,(AA62/AX12)*AY12)</f>
        <v>0</v>
      </c>
      <c r="T62" s="533">
        <f t="shared" si="23"/>
        <v>0</v>
      </c>
      <c r="U62" s="532">
        <f>IF(ISBLANK(AX12),(AD62/AS7)*AW12,(AD62/AX12)*AY12)</f>
        <v>0</v>
      </c>
      <c r="V62" s="531">
        <f t="shared" si="24"/>
        <v>0</v>
      </c>
      <c r="W62" s="530">
        <f t="shared" si="25"/>
        <v>0</v>
      </c>
      <c r="X62" s="529">
        <f t="shared" si="26"/>
        <v>0</v>
      </c>
      <c r="Y62" s="3865"/>
      <c r="Z62" s="515"/>
      <c r="AA62" s="528"/>
      <c r="AB62" s="527"/>
      <c r="AC62" s="526"/>
      <c r="AD62" s="525">
        <f t="shared" si="27"/>
        <v>0</v>
      </c>
      <c r="AE62" s="524"/>
      <c r="AF62" s="523"/>
      <c r="AG62" s="522"/>
      <c r="AH62" s="521">
        <f>IF(ISBLANK(AH9),(AA62/AD10)*AJ7,(AA62/AH9)*AI9)</f>
        <v>0</v>
      </c>
      <c r="AI62" s="520">
        <f t="shared" si="28"/>
        <v>0</v>
      </c>
      <c r="AJ62" s="519">
        <f>IF(ISBLANK(AH9),(AD62/AD10)*AJ7,(AD62/AH9)*AI9)</f>
        <v>0</v>
      </c>
      <c r="AK62" s="518"/>
      <c r="AL62" s="517">
        <f t="shared" si="29"/>
        <v>0</v>
      </c>
      <c r="AM62" s="516"/>
      <c r="AN62" s="372">
        <f t="shared" si="30"/>
        <v>0</v>
      </c>
      <c r="AO62" s="3686"/>
      <c r="AP62" s="515"/>
      <c r="AQ62" s="378"/>
      <c r="AR62" s="378"/>
      <c r="AS62" s="378"/>
      <c r="AT62" s="378"/>
      <c r="AU62" s="378"/>
      <c r="AV62" s="378"/>
      <c r="AW62" s="378"/>
      <c r="AX62" s="378"/>
      <c r="AY62" s="378"/>
      <c r="AZ62" s="378"/>
      <c r="BA62" s="378"/>
      <c r="BB62" s="378"/>
      <c r="BC62" s="378"/>
      <c r="BD62" s="378"/>
      <c r="BE62" s="413"/>
      <c r="BF62" s="514" t="s">
        <v>198</v>
      </c>
      <c r="BG62" s="513" t="str">
        <f>ADDRESS(ROW(AJ9),COLUMN(AJ9),4)</f>
        <v>AJ9</v>
      </c>
      <c r="BH62" s="378"/>
      <c r="BI62" s="378"/>
      <c r="BJ62" s="378"/>
      <c r="BK62" s="378"/>
      <c r="BL62" s="378"/>
      <c r="BM62" s="381">
        <v>15</v>
      </c>
    </row>
    <row r="63" spans="1:65" ht="15" customHeight="1">
      <c r="A63" s="3862"/>
      <c r="B63" s="512"/>
      <c r="C63" s="511" t="s">
        <v>197</v>
      </c>
      <c r="D63" s="510"/>
      <c r="E63" s="509"/>
      <c r="F63" s="508"/>
      <c r="G63" s="510"/>
      <c r="H63" s="509"/>
      <c r="I63" s="508"/>
      <c r="J63" s="510"/>
      <c r="K63" s="509"/>
      <c r="L63" s="508"/>
      <c r="M63" s="510"/>
      <c r="N63" s="509"/>
      <c r="O63" s="508"/>
      <c r="P63" s="510"/>
      <c r="Q63" s="509"/>
      <c r="R63" s="508"/>
      <c r="S63" s="510"/>
      <c r="T63" s="509"/>
      <c r="U63" s="508"/>
      <c r="V63" s="507">
        <f>SUM(V13:V62)</f>
        <v>42.664999999999999</v>
      </c>
      <c r="W63" s="506"/>
      <c r="X63" s="505"/>
      <c r="Y63" s="3911" t="str">
        <f>X3</f>
        <v>021</v>
      </c>
      <c r="AA63" s="504"/>
      <c r="AB63" s="503" t="s">
        <v>196</v>
      </c>
      <c r="AC63" s="500"/>
      <c r="AD63" s="500"/>
      <c r="AE63" s="502"/>
      <c r="AF63" s="501"/>
      <c r="AG63" s="501"/>
      <c r="AH63" s="501"/>
      <c r="AI63" s="501"/>
      <c r="AJ63" s="500"/>
      <c r="AK63" s="500"/>
      <c r="AL63" s="500"/>
      <c r="AM63" s="500"/>
      <c r="AN63" s="499"/>
      <c r="AO63" s="3714" t="str">
        <f>AN3</f>
        <v>021</v>
      </c>
      <c r="AQ63" s="378"/>
      <c r="AR63" s="378"/>
      <c r="AS63" s="378"/>
      <c r="AT63" s="378"/>
      <c r="AU63" s="378"/>
      <c r="AV63" s="378"/>
      <c r="AW63" s="378"/>
      <c r="AX63" s="378"/>
      <c r="AY63" s="378"/>
      <c r="AZ63" s="378"/>
      <c r="BA63" s="378"/>
      <c r="BB63" s="378"/>
      <c r="BC63" s="378"/>
      <c r="BD63" s="378"/>
      <c r="BE63" s="413"/>
      <c r="BF63" s="412"/>
      <c r="BG63" s="411"/>
      <c r="BH63" s="378"/>
      <c r="BI63" s="378"/>
      <c r="BJ63" s="378"/>
      <c r="BK63" s="378"/>
      <c r="BL63" s="378"/>
      <c r="BM63" s="381">
        <v>15</v>
      </c>
    </row>
    <row r="64" spans="1:65" ht="18" customHeight="1">
      <c r="A64" s="3862"/>
      <c r="B64" s="3913" t="s">
        <v>191</v>
      </c>
      <c r="C64" s="3914"/>
      <c r="D64" s="498"/>
      <c r="E64" s="373" t="s">
        <v>195</v>
      </c>
      <c r="F64" s="482">
        <f>SUM(F13:F62)</f>
        <v>1.625</v>
      </c>
      <c r="G64" s="498"/>
      <c r="H64" s="373" t="s">
        <v>195</v>
      </c>
      <c r="I64" s="482">
        <f>SUM(I13:I62)</f>
        <v>18.199999999999996</v>
      </c>
      <c r="J64" s="498"/>
      <c r="K64" s="373" t="s">
        <v>195</v>
      </c>
      <c r="L64" s="482">
        <f>SUM(L13:L62)</f>
        <v>13.199999999999998</v>
      </c>
      <c r="M64" s="498"/>
      <c r="N64" s="373" t="s">
        <v>195</v>
      </c>
      <c r="O64" s="482">
        <f>SUM(O13:O62)</f>
        <v>7.2</v>
      </c>
      <c r="P64" s="498"/>
      <c r="Q64" s="373" t="s">
        <v>195</v>
      </c>
      <c r="R64" s="482">
        <f>SUM(R13:R62)</f>
        <v>1.5999999999999999</v>
      </c>
      <c r="S64" s="498"/>
      <c r="T64" s="373" t="s">
        <v>195</v>
      </c>
      <c r="U64" s="482">
        <f>SUM(U13:U62)</f>
        <v>0.84000000000000008</v>
      </c>
      <c r="V64" s="493">
        <f>SUM(V13:V62)</f>
        <v>42.664999999999999</v>
      </c>
      <c r="W64" s="497"/>
      <c r="X64" s="496">
        <f>SUM(X13:X62)</f>
        <v>60.410826923076918</v>
      </c>
      <c r="Y64" s="3912"/>
      <c r="AA64" s="489"/>
      <c r="AB64" s="495">
        <f>IF(ISBLANK(AA13),AC13,AA13*AC13)+IF(ISBLANK(AA14),AC14,AA14*AC14)+IF(ISBLANK(AA15),AC15,AA15*AC15)+IF(ISBLANK(AA16),AC16,AA16*AC16)+IF(ISBLANK(AA17),AC17,AA17*AC17)+IF(ISBLANK(AA18),AC18,AA18*AC18)+IF(ISBLANK(AA19),AC19,AA19*AC19)+IF(ISBLANK(AA20),AC20,AA20*AC20)+IF(ISBLANK(AA21),AC21,AA21*AC21)+IF(ISBLANK(AA22),AC22,AA22*AC22)+IF(ISBLANK(AA23),AC23,AA23*AC23)+IF(ISBLANK(AA24),AC24,AA24*AC24)+IF(ISBLANK(AA25),AC25,AA25*AC25)+IF(ISBLANK(AA26),AC26,AA26*AC26)+IF(ISBLANK(AA27),AC27,AA27*AC27)+IF(ISBLANK(AA28),AC28,AA28*AC28)+IF(ISBLANK(AA29),AC29,AA29*AC29)+IF(ISBLANK(AA30),AC30,AA30*AC30)+IF(ISBLANK(AA31),AC31,AA31*AC31)+IF(ISBLANK(AA32),AC32,AA32*AC32)+IF(ISBLANK(AA33),AC33,AA33*AC33)+IF(ISBLANK(AA34),AC34,AA34*AC34)+IF(ISBLANK(AA35),AC35,AA35*AC35)+IF(ISBLANK(AA36),AC36,AA36*AC36)+IF(ISBLANK(AA37),AC37,AA37*AC37)+IF(ISBLANK(AA38),AC38,AA38*AC38)+IF(ISBLANK(AA39),AC39,AA39*AC39)+ IF(ISBLANK(AA40),AC40,AA40*AC40)+ IF(ISBLANK(AA41),AC41,AA41*AC41)+ IF(ISBLANK(AA42),AC42,AA42*AC42)+ IF(ISBLANK(AA43),AC43,AA43*AC43)+ IF(ISBLANK(AA44),AC44,AA44*AC44)+ IF(ISBLANK(AA45),AC45,AA45*AC45)+ IF(ISBLANK(AA46),AC46,AA46*AC46)+ IF(ISBLANK(AA47),AC47,AA47*AC47)+ IF(ISBLANK(AA48),AC48,AA48*AC48)+IF(ISBLANK(AA49),AC49,AA49*AC49)+IF(ISBLANK(AA50),AC50,AA50*AC50)+ IF(ISBLANK(AA51),AC51,AA51*AC51) +IF(ISBLANK(AA52),AC52,AA52*AC52) +IF(ISBLANK(AA53),AC53,AA53*AC53) +IF(ISBLANK(AA54),AC54,AA54*AC54) +IF(ISBLANK(AA55),AC55,AA55*AC55) +IF(ISBLANK(AA56),AC56,AA56*AC56) +IF(ISBLANK(AA57),AC57,AA57*AC57) +IF(ISBLANK(AA58),AC58,AA58*AC58) +IF(ISBLANK(AA59),AC59,AA59*AC59) +IF(ISBLANK(AA60),AC60,AA60*AC60) +IF(ISBLANK(AA61),AC61,AA61*AC61) +IF(ISBLANK(AA62),AC62,AA62*AC62)</f>
        <v>3.64</v>
      </c>
      <c r="AC64" s="493"/>
      <c r="AD64" s="493">
        <f>SUM(AD13:AD62)</f>
        <v>3.64</v>
      </c>
      <c r="AE64" s="494"/>
      <c r="AF64" s="8"/>
      <c r="AG64" s="8"/>
      <c r="AH64" s="8"/>
      <c r="AI64" s="486" t="s">
        <v>37</v>
      </c>
      <c r="AJ64" s="485">
        <f>SUM(AJ13:AJ62)</f>
        <v>27</v>
      </c>
      <c r="AK64" s="486" t="s">
        <v>47</v>
      </c>
      <c r="AL64" s="485">
        <f>SUM(AL13:AL62)</f>
        <v>19.211538461538463</v>
      </c>
      <c r="AM64" s="493"/>
      <c r="AN64" s="493"/>
      <c r="AO64" s="3715"/>
      <c r="AQ64" s="378"/>
      <c r="AR64" s="378"/>
      <c r="AS64" s="378"/>
      <c r="AT64" s="378"/>
      <c r="AU64" s="378"/>
      <c r="AV64" s="378"/>
      <c r="AW64" s="378"/>
      <c r="AX64" s="378"/>
      <c r="AY64" s="378"/>
      <c r="AZ64" s="378"/>
      <c r="BA64" s="378"/>
      <c r="BB64" s="378"/>
      <c r="BC64" s="378"/>
      <c r="BD64" s="378"/>
      <c r="BE64" s="3601" t="s">
        <v>194</v>
      </c>
      <c r="BF64" s="3602"/>
      <c r="BG64" s="3603"/>
      <c r="BH64" s="378"/>
      <c r="BI64" s="378"/>
      <c r="BJ64" s="378"/>
      <c r="BK64" s="378"/>
      <c r="BL64" s="378"/>
      <c r="BM64" s="381">
        <v>18</v>
      </c>
    </row>
    <row r="65" spans="1:65" ht="18" customHeight="1">
      <c r="A65" s="3862"/>
      <c r="B65" s="3915"/>
      <c r="C65" s="3916"/>
      <c r="D65" s="481"/>
      <c r="E65" s="491" t="s">
        <v>193</v>
      </c>
      <c r="F65" s="492" t="str">
        <f>IF(ISBLANK(AY7),AW6,BA6)</f>
        <v>Total ❿</v>
      </c>
      <c r="G65" s="481"/>
      <c r="H65" s="491" t="s">
        <v>193</v>
      </c>
      <c r="I65" s="492" t="str">
        <f>IF(ISBLANK(AY8),AW6,BA6)</f>
        <v>❼ Total</v>
      </c>
      <c r="J65" s="481"/>
      <c r="K65" s="491" t="s">
        <v>193</v>
      </c>
      <c r="L65" s="492" t="str">
        <f>IF(ISBLANK(AY9),AW6,BA6)</f>
        <v>❼ Total</v>
      </c>
      <c r="M65" s="481"/>
      <c r="N65" s="491" t="s">
        <v>193</v>
      </c>
      <c r="O65" s="492" t="str">
        <f>IF(ISBLANK(AY10),AW6,BA6)</f>
        <v>❼ Total</v>
      </c>
      <c r="P65" s="481"/>
      <c r="Q65" s="491" t="s">
        <v>193</v>
      </c>
      <c r="R65" s="492" t="str">
        <f>IF(ISBLANK(AY11),AW6,BA6)</f>
        <v>❼ Total</v>
      </c>
      <c r="S65" s="481"/>
      <c r="T65" s="491" t="s">
        <v>193</v>
      </c>
      <c r="U65" s="492" t="str">
        <f>IF(ISBLANK(AY12),AW6,BA6)</f>
        <v>❼ Total</v>
      </c>
      <c r="V65" s="481"/>
      <c r="W65" s="491" t="s">
        <v>193</v>
      </c>
      <c r="X65" s="490"/>
      <c r="Y65" s="3912"/>
      <c r="AA65" s="489"/>
      <c r="AB65" s="484"/>
      <c r="AC65" s="484"/>
      <c r="AD65" s="484"/>
      <c r="AE65" s="477"/>
      <c r="AF65" s="488"/>
      <c r="AG65" s="488"/>
      <c r="AH65" s="488"/>
      <c r="AI65" s="487"/>
      <c r="AJ65" s="484"/>
      <c r="AK65" s="486" t="s">
        <v>192</v>
      </c>
      <c r="AL65" s="485">
        <f>AJ64-AL64</f>
        <v>7.7884615384615365</v>
      </c>
      <c r="AM65" s="484"/>
      <c r="AN65" s="484"/>
      <c r="AO65" s="3715"/>
      <c r="AQ65" s="378"/>
      <c r="AR65" s="378"/>
      <c r="AS65" s="378"/>
      <c r="AT65" s="378"/>
      <c r="AU65" s="378"/>
      <c r="AV65" s="378"/>
      <c r="AW65" s="378"/>
      <c r="AX65" s="378"/>
      <c r="AY65" s="378"/>
      <c r="AZ65" s="378"/>
      <c r="BA65" s="378"/>
      <c r="BB65" s="378"/>
      <c r="BC65" s="378"/>
      <c r="BD65" s="378"/>
      <c r="BE65" s="3601"/>
      <c r="BF65" s="3602"/>
      <c r="BG65" s="3603"/>
      <c r="BH65" s="378"/>
      <c r="BI65" s="378"/>
      <c r="BJ65" s="378"/>
      <c r="BK65" s="378"/>
      <c r="BL65" s="378"/>
      <c r="BM65" s="381">
        <v>18</v>
      </c>
    </row>
    <row r="66" spans="1:65" ht="18" customHeight="1">
      <c r="A66" s="3862"/>
      <c r="B66" s="384"/>
      <c r="C66" s="384"/>
      <c r="D66" s="481"/>
      <c r="E66" s="483">
        <f>(F66/D68)*1000</f>
        <v>13</v>
      </c>
      <c r="F66" s="482">
        <f>IF(ISBLANK(AY7),AW7,BA7)</f>
        <v>1.625</v>
      </c>
      <c r="G66" s="481"/>
      <c r="H66" s="483">
        <f>(I64/G68)*1000</f>
        <v>69.999999999999986</v>
      </c>
      <c r="I66" s="482">
        <f>IF(ISBLANK(AY8),AW8,BA8)</f>
        <v>18.2</v>
      </c>
      <c r="J66" s="481"/>
      <c r="K66" s="483">
        <f>(L64/J68)*1000</f>
        <v>109.99999999999997</v>
      </c>
      <c r="L66" s="482">
        <f>IF(ISBLANK(AY9),AW9,BA9)</f>
        <v>13.2</v>
      </c>
      <c r="M66" s="481"/>
      <c r="N66" s="483">
        <f>(O64/M68)*1000</f>
        <v>120.00000000000001</v>
      </c>
      <c r="O66" s="482">
        <f>IF(ISBLANK(AY10),AW10,BA10)</f>
        <v>7.2</v>
      </c>
      <c r="P66" s="481"/>
      <c r="Q66" s="483">
        <f>(R64/P68)*1000</f>
        <v>79.999999999999986</v>
      </c>
      <c r="R66" s="482">
        <f>IF(ISBLANK(AY11),AW11,BA11)</f>
        <v>1.6</v>
      </c>
      <c r="S66" s="481"/>
      <c r="T66" s="483">
        <f>(U64/S68)*1000</f>
        <v>70</v>
      </c>
      <c r="U66" s="482">
        <f>IF(ISBLANK(AY12),AW12,BA12)</f>
        <v>0.84</v>
      </c>
      <c r="V66" s="481" t="s">
        <v>190</v>
      </c>
      <c r="W66" s="480">
        <f>X64/V67</f>
        <v>0.10119066486277541</v>
      </c>
      <c r="X66" s="479"/>
      <c r="Y66" s="3912"/>
      <c r="AA66" s="478"/>
      <c r="AB66" s="476"/>
      <c r="AC66" s="476"/>
      <c r="AD66" s="476"/>
      <c r="AE66" s="477" t="s">
        <v>191</v>
      </c>
      <c r="AF66" s="476"/>
      <c r="AG66" s="476"/>
      <c r="AH66" s="476"/>
      <c r="AI66" s="476"/>
      <c r="AJ66" s="476"/>
      <c r="AK66" s="476"/>
      <c r="AL66" s="476"/>
      <c r="AM66" s="476"/>
      <c r="AN66" s="476"/>
      <c r="AO66" s="3715"/>
      <c r="AQ66" s="378"/>
      <c r="AR66" s="378"/>
      <c r="AS66" s="378"/>
      <c r="AT66" s="378"/>
      <c r="AU66" s="378"/>
      <c r="AV66" s="378"/>
      <c r="AW66" s="378"/>
      <c r="AX66" s="378"/>
      <c r="AY66" s="378"/>
      <c r="AZ66" s="378"/>
      <c r="BA66" s="378"/>
      <c r="BB66" s="378"/>
      <c r="BC66" s="378"/>
      <c r="BD66" s="378"/>
      <c r="BE66" s="3601"/>
      <c r="BF66" s="3602"/>
      <c r="BG66" s="3603"/>
      <c r="BH66" s="378"/>
      <c r="BI66" s="378"/>
      <c r="BJ66" s="378"/>
      <c r="BK66" s="378"/>
      <c r="BL66" s="378"/>
      <c r="BM66" s="381">
        <v>18</v>
      </c>
    </row>
    <row r="67" spans="1:65" ht="15" customHeight="1" thickBot="1">
      <c r="A67" s="3862"/>
      <c r="B67" s="384"/>
      <c r="C67" s="384"/>
      <c r="D67" s="475" t="s">
        <v>190</v>
      </c>
      <c r="E67" s="474">
        <f>BB7</f>
        <v>50</v>
      </c>
      <c r="F67" s="473" t="str">
        <f>IF(ISBLANK(AY7),"",AZ7)</f>
        <v>Kg agneau</v>
      </c>
      <c r="G67" s="475" t="s">
        <v>190</v>
      </c>
      <c r="H67" s="474">
        <f>BB8</f>
        <v>0</v>
      </c>
      <c r="I67" s="473" t="str">
        <f>IF(ISBLANK(AY8),"",AZ8)</f>
        <v/>
      </c>
      <c r="J67" s="475" t="s">
        <v>190</v>
      </c>
      <c r="K67" s="474">
        <f>BB9</f>
        <v>0</v>
      </c>
      <c r="L67" s="473" t="str">
        <f>IF(ISBLANK(AY9),"",AZ9)</f>
        <v/>
      </c>
      <c r="M67" s="475" t="s">
        <v>190</v>
      </c>
      <c r="N67" s="474">
        <f>BB10</f>
        <v>0</v>
      </c>
      <c r="O67" s="473" t="str">
        <f>IF(ISBLANK(AY10),"",AZ10)</f>
        <v/>
      </c>
      <c r="P67" s="475" t="s">
        <v>190</v>
      </c>
      <c r="Q67" s="474">
        <f>BB11</f>
        <v>0</v>
      </c>
      <c r="R67" s="473" t="str">
        <f>IF(ISBLANK(AY11),"",AZ11)</f>
        <v/>
      </c>
      <c r="S67" s="475" t="s">
        <v>190</v>
      </c>
      <c r="T67" s="474">
        <f>BB12</f>
        <v>0</v>
      </c>
      <c r="U67" s="473" t="str">
        <f>IF(ISBLANK(AY12),"",AZ12)</f>
        <v/>
      </c>
      <c r="V67" s="472">
        <f>SUM(D68,G68,J68,M68,P68,S68)</f>
        <v>597</v>
      </c>
      <c r="W67" s="471" t="s">
        <v>189</v>
      </c>
      <c r="X67" s="470"/>
      <c r="Y67" s="3912"/>
      <c r="Z67" s="378"/>
      <c r="AA67" s="469"/>
      <c r="AB67" s="468"/>
      <c r="AC67" s="468"/>
      <c r="AD67" s="468"/>
      <c r="AE67" s="468"/>
      <c r="AF67" s="468"/>
      <c r="AG67" s="468"/>
      <c r="AH67" s="468"/>
      <c r="AI67" s="468"/>
      <c r="AJ67" s="468"/>
      <c r="AK67" s="468"/>
      <c r="AL67" s="468"/>
      <c r="AM67" s="468"/>
      <c r="AN67" s="468"/>
      <c r="AO67" s="3716"/>
      <c r="AP67" s="378"/>
      <c r="AQ67" s="378"/>
      <c r="AR67" s="378"/>
      <c r="AS67" s="378"/>
      <c r="AT67" s="378"/>
      <c r="AU67" s="378"/>
      <c r="AV67" s="378"/>
      <c r="AW67" s="378"/>
      <c r="AX67" s="378"/>
      <c r="AY67" s="378"/>
      <c r="AZ67" s="378"/>
      <c r="BA67" s="378"/>
      <c r="BB67" s="378"/>
      <c r="BC67" s="378"/>
      <c r="BD67" s="378"/>
      <c r="BE67" s="3601"/>
      <c r="BF67" s="3602"/>
      <c r="BG67" s="3603"/>
      <c r="BH67" s="378"/>
      <c r="BI67" s="378"/>
      <c r="BJ67" s="378"/>
      <c r="BK67" s="378"/>
      <c r="BL67" s="378"/>
      <c r="BM67" s="381">
        <v>15</v>
      </c>
    </row>
    <row r="68" spans="1:65" ht="20.100000000000001" customHeight="1">
      <c r="A68" s="384"/>
      <c r="B68" s="467"/>
      <c r="C68" s="458"/>
      <c r="D68" s="466">
        <f>D11</f>
        <v>125</v>
      </c>
      <c r="E68" s="465" t="str">
        <f>D9</f>
        <v>Maternelles</v>
      </c>
      <c r="F68" s="464"/>
      <c r="G68" s="462">
        <f>G11</f>
        <v>260</v>
      </c>
      <c r="H68" s="461" t="str">
        <f>G9</f>
        <v>Primaires</v>
      </c>
      <c r="I68" s="463"/>
      <c r="J68" s="462">
        <f>J11</f>
        <v>120</v>
      </c>
      <c r="K68" s="461" t="str">
        <f>J9</f>
        <v>Adultes</v>
      </c>
      <c r="L68" s="463"/>
      <c r="M68" s="462">
        <f>M11</f>
        <v>60</v>
      </c>
      <c r="N68" s="461" t="str">
        <f>M9</f>
        <v>Adultes +</v>
      </c>
      <c r="O68" s="463"/>
      <c r="P68" s="462">
        <f>P11</f>
        <v>20</v>
      </c>
      <c r="Q68" s="461" t="str">
        <f>P9</f>
        <v>PAM</v>
      </c>
      <c r="R68" s="463"/>
      <c r="S68" s="462">
        <f>S11</f>
        <v>12</v>
      </c>
      <c r="T68" s="461" t="str">
        <f>S9</f>
        <v>PAS</v>
      </c>
      <c r="U68" s="460"/>
      <c r="V68" s="459"/>
      <c r="W68" s="458"/>
      <c r="X68" s="458"/>
      <c r="Y68" s="3912"/>
      <c r="Z68" s="378"/>
      <c r="AA68" s="450" t="s">
        <v>188</v>
      </c>
      <c r="AB68" s="449"/>
      <c r="AC68" s="449"/>
      <c r="AD68" s="449"/>
      <c r="AE68" s="449"/>
      <c r="AF68" s="449"/>
      <c r="AG68" s="449"/>
      <c r="AH68" s="449"/>
      <c r="AI68" s="449"/>
      <c r="AJ68" s="449"/>
      <c r="AK68" s="449"/>
      <c r="AL68" s="449"/>
      <c r="AM68" s="449"/>
      <c r="AN68" s="449"/>
      <c r="AO68" s="457" t="str">
        <f>AA3</f>
        <v>SAISISSEZ LE NOM DE VOTRE PLAT cellule AA3</v>
      </c>
      <c r="AP68" s="378"/>
      <c r="AQ68" s="378"/>
      <c r="AR68" s="378"/>
      <c r="AS68" s="378"/>
      <c r="AT68" s="378"/>
      <c r="AU68" s="378"/>
      <c r="AV68" s="378"/>
      <c r="AW68" s="378"/>
      <c r="AX68" s="378"/>
      <c r="AY68" s="378"/>
      <c r="AZ68" s="378"/>
      <c r="BA68" s="378"/>
      <c r="BB68" s="378"/>
      <c r="BC68" s="378"/>
      <c r="BD68" s="378"/>
      <c r="BE68" s="456" t="s">
        <v>187</v>
      </c>
      <c r="BG68" s="455" t="str">
        <f>ADDRESS(ROW(AH9),COLUMN(AH9),4)</f>
        <v>AH9</v>
      </c>
      <c r="BH68" s="378"/>
      <c r="BI68" s="378"/>
      <c r="BJ68" s="378"/>
      <c r="BK68" s="378"/>
      <c r="BL68" s="378"/>
      <c r="BM68" s="381">
        <v>20</v>
      </c>
    </row>
    <row r="69" spans="1:65" ht="20.100000000000001" customHeight="1" thickBot="1">
      <c r="A69" s="384"/>
      <c r="B69" s="454">
        <v>10.71</v>
      </c>
      <c r="C69" s="452">
        <v>10.71</v>
      </c>
      <c r="D69" s="452">
        <v>7</v>
      </c>
      <c r="E69" s="452">
        <v>8</v>
      </c>
      <c r="F69" s="452">
        <v>10</v>
      </c>
      <c r="G69" s="452">
        <v>7</v>
      </c>
      <c r="H69" s="452">
        <v>8</v>
      </c>
      <c r="I69" s="452">
        <v>10</v>
      </c>
      <c r="J69" s="452">
        <v>7</v>
      </c>
      <c r="K69" s="452">
        <v>8</v>
      </c>
      <c r="L69" s="452">
        <v>10</v>
      </c>
      <c r="M69" s="452">
        <v>7</v>
      </c>
      <c r="N69" s="452">
        <v>8</v>
      </c>
      <c r="O69" s="452">
        <v>10</v>
      </c>
      <c r="P69" s="452">
        <v>7</v>
      </c>
      <c r="Q69" s="452">
        <v>8</v>
      </c>
      <c r="R69" s="452">
        <v>10</v>
      </c>
      <c r="S69" s="452">
        <v>7</v>
      </c>
      <c r="T69" s="452">
        <v>8</v>
      </c>
      <c r="U69" s="451">
        <v>10</v>
      </c>
      <c r="V69" s="453">
        <v>11</v>
      </c>
      <c r="W69" s="452">
        <v>11</v>
      </c>
      <c r="X69" s="452">
        <v>11</v>
      </c>
      <c r="Y69" s="451">
        <v>7</v>
      </c>
      <c r="Z69" s="356"/>
      <c r="AA69" s="450" t="s">
        <v>186</v>
      </c>
      <c r="AB69" s="449"/>
      <c r="AC69" s="449"/>
      <c r="AD69" s="449"/>
      <c r="AE69" s="449"/>
      <c r="AF69" s="449"/>
      <c r="AG69" s="449"/>
      <c r="AH69" s="449"/>
      <c r="AI69" s="449"/>
      <c r="AJ69" s="449"/>
      <c r="AK69" s="449"/>
      <c r="AL69" s="449"/>
      <c r="AM69" s="449"/>
      <c r="AN69" s="449"/>
      <c r="AO69" s="448" t="s">
        <v>185</v>
      </c>
      <c r="AP69" s="356"/>
      <c r="AQ69" s="356"/>
      <c r="AR69" s="378"/>
      <c r="AS69" s="378"/>
      <c r="AT69" s="378"/>
      <c r="AU69" s="378"/>
      <c r="AV69" s="378"/>
      <c r="AW69" s="378"/>
      <c r="AX69" s="378"/>
      <c r="AY69" s="378"/>
      <c r="AZ69" s="378"/>
      <c r="BA69" s="378"/>
      <c r="BB69" s="378"/>
      <c r="BC69" s="378"/>
      <c r="BD69" s="378"/>
      <c r="BE69" s="441">
        <v>16</v>
      </c>
      <c r="BF69" s="440" t="s">
        <v>184</v>
      </c>
      <c r="BG69" s="447"/>
      <c r="BH69" s="378"/>
      <c r="BI69" s="378"/>
      <c r="BJ69" s="378"/>
      <c r="BK69" s="378"/>
      <c r="BL69" s="378"/>
      <c r="BM69" s="381">
        <v>20</v>
      </c>
    </row>
    <row r="70" spans="1:65" ht="20.100000000000001" customHeight="1" thickBot="1">
      <c r="A70" s="384"/>
      <c r="B70" s="356"/>
      <c r="C70" s="356"/>
      <c r="D70" s="356"/>
      <c r="E70" s="356"/>
      <c r="F70" s="356"/>
      <c r="G70" s="356"/>
      <c r="H70" s="356"/>
      <c r="I70" s="356"/>
      <c r="J70" s="356"/>
      <c r="K70" s="356"/>
      <c r="L70" s="356"/>
      <c r="M70" s="356"/>
      <c r="N70" s="356"/>
      <c r="O70" s="356"/>
      <c r="P70" s="356"/>
      <c r="Q70" s="356"/>
      <c r="R70" s="356"/>
      <c r="S70" s="356"/>
      <c r="T70" s="356"/>
      <c r="U70" s="356"/>
      <c r="V70" s="356"/>
      <c r="W70" s="356"/>
      <c r="X70" s="356"/>
      <c r="Y70" s="356"/>
      <c r="Z70" s="356"/>
      <c r="AA70" s="3604" t="s">
        <v>183</v>
      </c>
      <c r="AB70" s="3605"/>
      <c r="AC70" s="3605"/>
      <c r="AD70" s="3920">
        <v>7.2916666666666671E-2</v>
      </c>
      <c r="AE70" s="40"/>
      <c r="AF70" s="40"/>
      <c r="AG70" s="3605" t="s">
        <v>182</v>
      </c>
      <c r="AH70" s="3605"/>
      <c r="AI70" s="3922">
        <v>8.3333333333333329E-2</v>
      </c>
      <c r="AJ70" s="40"/>
      <c r="AK70" s="443"/>
      <c r="AL70" s="443"/>
      <c r="AM70" s="443"/>
      <c r="AN70" s="443"/>
      <c r="AO70" s="446"/>
      <c r="AP70" s="356"/>
      <c r="AQ70" s="356"/>
      <c r="AR70" s="378"/>
      <c r="AS70" s="378"/>
      <c r="AT70" s="378"/>
      <c r="AU70" s="378"/>
      <c r="AV70" s="378"/>
      <c r="AW70" s="378"/>
      <c r="AX70" s="378"/>
      <c r="AY70" s="378"/>
      <c r="AZ70" s="378"/>
      <c r="BA70" s="378"/>
      <c r="BB70" s="378"/>
      <c r="BC70" s="378"/>
      <c r="BD70" s="378"/>
      <c r="BE70" s="441">
        <v>2</v>
      </c>
      <c r="BF70" s="440" t="s">
        <v>181</v>
      </c>
      <c r="BG70" s="3609"/>
      <c r="BH70" s="378"/>
      <c r="BI70" s="378"/>
      <c r="BJ70" s="378"/>
      <c r="BK70" s="378"/>
      <c r="BL70" s="378"/>
      <c r="BM70" s="381">
        <v>20</v>
      </c>
    </row>
    <row r="71" spans="1:65" ht="20.100000000000001" customHeight="1">
      <c r="A71" s="384"/>
      <c r="B71" s="3564" t="str">
        <f>AA3</f>
        <v>SAISISSEZ LE NOM DE VOTRE PLAT cellule AA3</v>
      </c>
      <c r="C71" s="3565"/>
      <c r="D71" s="3565"/>
      <c r="E71" s="3565"/>
      <c r="F71" s="3565"/>
      <c r="G71" s="3565"/>
      <c r="H71" s="3565"/>
      <c r="I71" s="3565"/>
      <c r="J71" s="3565"/>
      <c r="K71" s="3565"/>
      <c r="L71" s="3568" t="s">
        <v>116</v>
      </c>
      <c r="M71" s="3568"/>
      <c r="N71" s="3592">
        <v>3</v>
      </c>
      <c r="O71" s="3594" t="s">
        <v>22</v>
      </c>
      <c r="P71" s="356"/>
      <c r="Q71" s="3636" t="s">
        <v>117</v>
      </c>
      <c r="R71" s="3637"/>
      <c r="S71" s="3638"/>
      <c r="T71" s="356"/>
      <c r="U71" s="356"/>
      <c r="V71" s="356"/>
      <c r="W71" s="356"/>
      <c r="X71" s="356"/>
      <c r="Y71" s="356"/>
      <c r="Z71" s="356"/>
      <c r="AA71" s="3604"/>
      <c r="AB71" s="3605"/>
      <c r="AC71" s="3605"/>
      <c r="AD71" s="3921"/>
      <c r="AE71" s="444" t="s">
        <v>180</v>
      </c>
      <c r="AF71" s="445"/>
      <c r="AG71" s="3605"/>
      <c r="AH71" s="3605"/>
      <c r="AI71" s="3922"/>
      <c r="AJ71" s="444" t="s">
        <v>179</v>
      </c>
      <c r="AK71" s="443"/>
      <c r="AL71" s="443"/>
      <c r="AM71" s="443"/>
      <c r="AN71" s="443"/>
      <c r="AO71" s="442"/>
      <c r="AP71" s="356"/>
      <c r="AQ71" s="356"/>
      <c r="AR71" s="378"/>
      <c r="AS71" s="378"/>
      <c r="AT71" s="378"/>
      <c r="AU71" s="378"/>
      <c r="AV71" s="378"/>
      <c r="AW71" s="378"/>
      <c r="AX71" s="378"/>
      <c r="AY71" s="378"/>
      <c r="AZ71" s="378"/>
      <c r="BA71" s="378"/>
      <c r="BB71" s="378"/>
      <c r="BC71" s="378"/>
      <c r="BD71" s="378"/>
      <c r="BE71" s="441">
        <v>24</v>
      </c>
      <c r="BF71" s="440" t="s">
        <v>178</v>
      </c>
      <c r="BG71" s="3609"/>
      <c r="BH71" s="378"/>
      <c r="BI71" s="378"/>
      <c r="BJ71" s="378"/>
      <c r="BK71" s="378"/>
      <c r="BL71" s="378"/>
      <c r="BM71" s="381">
        <v>20</v>
      </c>
    </row>
    <row r="72" spans="1:65" ht="15.75" customHeight="1">
      <c r="A72" s="384"/>
      <c r="B72" s="3566"/>
      <c r="C72" s="3567"/>
      <c r="D72" s="3567"/>
      <c r="E72" s="3567"/>
      <c r="F72" s="3567"/>
      <c r="G72" s="3567"/>
      <c r="H72" s="3567"/>
      <c r="I72" s="3567"/>
      <c r="J72" s="3567"/>
      <c r="K72" s="3567"/>
      <c r="L72" s="3569"/>
      <c r="M72" s="3569"/>
      <c r="N72" s="3593"/>
      <c r="O72" s="3595"/>
      <c r="P72" s="356"/>
      <c r="Q72" s="3639"/>
      <c r="R72" s="3640"/>
      <c r="S72" s="3641"/>
      <c r="T72" s="356"/>
      <c r="U72" s="356"/>
      <c r="V72" s="356"/>
      <c r="W72" s="356"/>
      <c r="X72" s="356"/>
      <c r="Y72" s="356"/>
      <c r="Z72" s="356"/>
      <c r="AA72" s="439">
        <v>0</v>
      </c>
      <c r="AB72" s="163" t="s">
        <v>82</v>
      </c>
      <c r="AC72" s="437"/>
      <c r="AD72" s="437"/>
      <c r="AE72" s="437"/>
      <c r="AF72" s="437"/>
      <c r="AG72" s="437"/>
      <c r="AH72" s="438">
        <f>MAX(AA72:AA101)</f>
        <v>2</v>
      </c>
      <c r="AI72" s="163" t="s">
        <v>82</v>
      </c>
      <c r="AJ72" s="437"/>
      <c r="AK72" s="437"/>
      <c r="AL72" s="437"/>
      <c r="AM72" s="437"/>
      <c r="AN72" s="437"/>
      <c r="AO72" s="436"/>
      <c r="AP72" s="356"/>
      <c r="AQ72" s="378"/>
      <c r="AR72" s="378"/>
      <c r="AS72" s="378"/>
      <c r="AT72" s="378"/>
      <c r="AU72" s="378"/>
      <c r="AV72" s="378"/>
      <c r="AW72" s="378"/>
      <c r="AX72" s="378"/>
      <c r="AY72" s="378"/>
      <c r="AZ72" s="378"/>
      <c r="BA72" s="378"/>
      <c r="BB72" s="378"/>
      <c r="BC72" s="378"/>
      <c r="BD72" s="378"/>
      <c r="BE72" s="3610" t="s">
        <v>177</v>
      </c>
      <c r="BF72" s="3611"/>
      <c r="BG72" s="3612"/>
      <c r="BH72" s="378"/>
      <c r="BI72" s="378"/>
      <c r="BJ72" s="378"/>
      <c r="BK72" s="378"/>
      <c r="BL72" s="378"/>
      <c r="BM72" s="381">
        <v>15.75</v>
      </c>
    </row>
    <row r="73" spans="1:65" ht="15.75" customHeight="1">
      <c r="A73" s="8"/>
      <c r="B73" s="261" t="s">
        <v>119</v>
      </c>
      <c r="C73" s="417"/>
      <c r="D73" s="417"/>
      <c r="E73" s="263"/>
      <c r="F73" s="264"/>
      <c r="G73" s="265"/>
      <c r="H73" s="417"/>
      <c r="I73" s="417"/>
      <c r="J73" s="418" t="s">
        <v>120</v>
      </c>
      <c r="K73" s="417"/>
      <c r="L73" s="266"/>
      <c r="M73" s="266" t="s">
        <v>121</v>
      </c>
      <c r="N73" s="267">
        <f>N71</f>
        <v>3</v>
      </c>
      <c r="O73" s="268" t="str">
        <f>O71</f>
        <v>Kg</v>
      </c>
      <c r="P73" s="356"/>
      <c r="Q73" s="3639"/>
      <c r="R73" s="3640"/>
      <c r="S73" s="3641"/>
      <c r="T73" s="356"/>
      <c r="U73" s="356"/>
      <c r="V73" s="356"/>
      <c r="W73" s="356"/>
      <c r="X73" s="356"/>
      <c r="Y73" s="356"/>
      <c r="Z73" s="356"/>
      <c r="AA73" s="247" t="str">
        <f>IF(ISBLANK(AB73),"",LARGE(AA72:AA72,1)+1)</f>
        <v/>
      </c>
      <c r="AB73" s="395"/>
      <c r="AC73" s="395"/>
      <c r="AD73" s="395"/>
      <c r="AE73" s="395"/>
      <c r="AF73" s="395"/>
      <c r="AG73" s="395"/>
      <c r="AH73" s="166" t="str">
        <f>IF(ISBLANK(AI73),"",LARGE(AH72:AH72,1)+1)</f>
        <v/>
      </c>
      <c r="AI73" s="395"/>
      <c r="AJ73" s="395"/>
      <c r="AK73" s="435"/>
      <c r="AL73" s="435"/>
      <c r="AM73" s="435"/>
      <c r="AN73" s="435"/>
      <c r="AO73" s="434"/>
      <c r="AP73" s="356"/>
      <c r="AQ73" s="378"/>
      <c r="AR73" s="378"/>
      <c r="AS73" s="378"/>
      <c r="AT73" s="378"/>
      <c r="AU73" s="378"/>
      <c r="AV73" s="378"/>
      <c r="AW73" s="378"/>
      <c r="AX73" s="378"/>
      <c r="AY73" s="378"/>
      <c r="AZ73" s="378"/>
      <c r="BA73" s="378"/>
      <c r="BB73" s="378"/>
      <c r="BC73" s="378"/>
      <c r="BD73" s="378"/>
      <c r="BE73" s="3610"/>
      <c r="BF73" s="3611"/>
      <c r="BG73" s="3612"/>
      <c r="BH73" s="378"/>
      <c r="BI73" s="378"/>
      <c r="BJ73" s="378"/>
      <c r="BK73" s="378"/>
      <c r="BL73" s="378"/>
      <c r="BM73" s="381">
        <v>15.75</v>
      </c>
    </row>
    <row r="74" spans="1:65" ht="15.75" customHeight="1">
      <c r="A74" s="356"/>
      <c r="B74" s="3573">
        <f>SUM(C77:C82)</f>
        <v>597</v>
      </c>
      <c r="C74" s="3563" t="s">
        <v>122</v>
      </c>
      <c r="D74" s="3553">
        <f>(D77*C77)/1000+(D78*C78)/1000+(D79*C79)/1000+(D80*C80)/1000+(D81*C81)/1000+(D82*C82)/1000</f>
        <v>47.290000000000006</v>
      </c>
      <c r="E74" s="3597">
        <f>IF(D74=0,0,INT(D74/N71))</f>
        <v>15</v>
      </c>
      <c r="F74" s="3597"/>
      <c r="G74" s="3599">
        <f>D74-(E74*N71)</f>
        <v>2.2900000000000063</v>
      </c>
      <c r="H74" s="3581" t="str">
        <f>IF(G74=0,0,O71)</f>
        <v>Kg</v>
      </c>
      <c r="I74" s="3581"/>
      <c r="J74" s="382"/>
      <c r="K74" s="382"/>
      <c r="L74" s="3597">
        <f>IF(G74=0,0,E74+1)</f>
        <v>16</v>
      </c>
      <c r="M74" s="3597"/>
      <c r="N74" s="3599">
        <f>IF(G74=0,0,D74-(L74*N71))</f>
        <v>-0.70999999999999375</v>
      </c>
      <c r="O74" s="3557" t="str">
        <f>IF(N74=0,0,O71)</f>
        <v>Kg</v>
      </c>
      <c r="P74" s="356"/>
      <c r="Q74" s="3639"/>
      <c r="R74" s="3640"/>
      <c r="S74" s="3641"/>
      <c r="T74" s="356"/>
      <c r="U74" s="356"/>
      <c r="V74" s="356"/>
      <c r="W74" s="356"/>
      <c r="X74" s="356"/>
      <c r="Y74" s="356"/>
      <c r="Z74" s="356"/>
      <c r="AA74" s="247" t="str">
        <f>IF(ISBLANK(AB74),"",LARGE(AA72:AA73,1)+1)</f>
        <v/>
      </c>
      <c r="AB74" s="395"/>
      <c r="AC74" s="395"/>
      <c r="AD74" s="395"/>
      <c r="AE74" s="395"/>
      <c r="AF74" s="395"/>
      <c r="AG74" s="395"/>
      <c r="AH74" s="166" t="str">
        <f>IF(ISBLANK(AI74),"",LARGE(AH72:AH73,1)+1)</f>
        <v/>
      </c>
      <c r="AI74" s="395"/>
      <c r="AJ74" s="395"/>
      <c r="AK74" s="395"/>
      <c r="AL74" s="395"/>
      <c r="AM74" s="395"/>
      <c r="AN74" s="395"/>
      <c r="AO74" s="407"/>
      <c r="AP74" s="356"/>
      <c r="AQ74" s="378"/>
      <c r="AR74" s="378"/>
      <c r="AS74" s="378"/>
      <c r="AT74" s="378"/>
      <c r="AU74" s="378"/>
      <c r="AV74" s="378"/>
      <c r="AW74" s="378"/>
      <c r="AX74" s="378"/>
      <c r="AY74" s="378"/>
      <c r="AZ74" s="378"/>
      <c r="BA74" s="378"/>
      <c r="BB74" s="378"/>
      <c r="BC74" s="378"/>
      <c r="BD74" s="378"/>
      <c r="BE74" s="3610"/>
      <c r="BF74" s="3611"/>
      <c r="BG74" s="3612"/>
      <c r="BH74" s="378"/>
      <c r="BI74" s="378"/>
      <c r="BJ74" s="378"/>
      <c r="BK74" s="378"/>
      <c r="BL74" s="378"/>
      <c r="BM74" s="381">
        <v>15.75</v>
      </c>
    </row>
    <row r="75" spans="1:65" ht="15.75" customHeight="1">
      <c r="A75" s="356"/>
      <c r="B75" s="3574"/>
      <c r="C75" s="3577"/>
      <c r="D75" s="3596"/>
      <c r="E75" s="3598"/>
      <c r="F75" s="3598"/>
      <c r="G75" s="3600"/>
      <c r="H75" s="3582"/>
      <c r="I75" s="3582"/>
      <c r="J75" s="414"/>
      <c r="K75" s="414"/>
      <c r="L75" s="3598"/>
      <c r="M75" s="3598"/>
      <c r="N75" s="3600"/>
      <c r="O75" s="3558"/>
      <c r="P75" s="356"/>
      <c r="Q75" s="3668" t="s">
        <v>123</v>
      </c>
      <c r="R75" s="3669"/>
      <c r="S75" s="3670"/>
      <c r="T75" s="356"/>
      <c r="U75" s="356"/>
      <c r="V75" s="356"/>
      <c r="W75" s="356"/>
      <c r="X75" s="356"/>
      <c r="Y75" s="356"/>
      <c r="Z75" s="356"/>
      <c r="AA75" s="247">
        <f>IF(ISBLANK(AB75),"",LARGE(AA72:AA74,1)+1)</f>
        <v>1</v>
      </c>
      <c r="AB75" s="395" t="s">
        <v>84</v>
      </c>
      <c r="AC75" s="395"/>
      <c r="AD75" s="395"/>
      <c r="AE75" s="395"/>
      <c r="AF75" s="395"/>
      <c r="AG75" s="395"/>
      <c r="AH75" s="166" t="str">
        <f>IF(ISBLANK(AI75),"",LARGE(AH72:AH74,1)+1)</f>
        <v/>
      </c>
      <c r="AI75" s="395"/>
      <c r="AJ75" s="395"/>
      <c r="AK75" s="395"/>
      <c r="AL75" s="395"/>
      <c r="AM75" s="395"/>
      <c r="AN75" s="395"/>
      <c r="AO75" s="407"/>
      <c r="AP75" s="356"/>
      <c r="AQ75" s="378"/>
      <c r="AR75" s="378"/>
      <c r="AS75" s="378"/>
      <c r="AT75" s="378"/>
      <c r="AU75" s="378"/>
      <c r="AV75" s="378"/>
      <c r="AW75" s="378"/>
      <c r="AX75" s="378"/>
      <c r="AY75" s="378"/>
      <c r="AZ75" s="378"/>
      <c r="BA75" s="378"/>
      <c r="BB75" s="378"/>
      <c r="BC75" s="378"/>
      <c r="BD75" s="378"/>
      <c r="BE75" s="3613" t="s">
        <v>176</v>
      </c>
      <c r="BF75" s="3614"/>
      <c r="BG75" s="3615"/>
      <c r="BH75" s="378"/>
      <c r="BI75" s="378"/>
      <c r="BJ75" s="378"/>
      <c r="BK75" s="378"/>
      <c r="BL75" s="378"/>
      <c r="BM75" s="381">
        <v>15.75</v>
      </c>
    </row>
    <row r="76" spans="1:65" ht="15.75" customHeight="1">
      <c r="A76" s="356"/>
      <c r="B76" s="277"/>
      <c r="C76" s="278" t="s">
        <v>124</v>
      </c>
      <c r="D76" s="3413" t="s">
        <v>125</v>
      </c>
      <c r="E76" s="382"/>
      <c r="F76" s="279"/>
      <c r="G76" s="280"/>
      <c r="H76" s="410" t="s">
        <v>126</v>
      </c>
      <c r="I76" s="409"/>
      <c r="J76" s="409"/>
      <c r="K76" s="417"/>
      <c r="L76" s="409"/>
      <c r="M76" s="409"/>
      <c r="N76" s="409"/>
      <c r="O76" s="408"/>
      <c r="P76" s="356"/>
      <c r="Q76" s="3668"/>
      <c r="R76" s="3669"/>
      <c r="S76" s="3670"/>
      <c r="T76" s="356"/>
      <c r="U76" s="356"/>
      <c r="V76" s="356"/>
      <c r="W76" s="356"/>
      <c r="X76" s="356"/>
      <c r="Y76" s="356"/>
      <c r="Z76" s="356"/>
      <c r="AA76" s="247">
        <f>IF(ISBLANK(AB76),"",LARGE(AA72:AA75,1)+1)</f>
        <v>2</v>
      </c>
      <c r="AB76" s="395" t="s">
        <v>85</v>
      </c>
      <c r="AC76" s="395"/>
      <c r="AD76" s="395"/>
      <c r="AE76" s="395"/>
      <c r="AF76" s="395"/>
      <c r="AG76" s="395"/>
      <c r="AH76" s="166" t="str">
        <f>IF(ISBLANK(AI76),"",LARGE(AH72:AH75,1)+1)</f>
        <v/>
      </c>
      <c r="AI76" s="395"/>
      <c r="AJ76" s="395"/>
      <c r="AK76" s="395"/>
      <c r="AL76" s="395"/>
      <c r="AM76" s="395"/>
      <c r="AN76" s="395"/>
      <c r="AO76" s="407"/>
      <c r="AP76" s="356"/>
      <c r="AQ76" s="378"/>
      <c r="AR76" s="378"/>
      <c r="AS76" s="378"/>
      <c r="AT76" s="378"/>
      <c r="AU76" s="378"/>
      <c r="AV76" s="378"/>
      <c r="AW76" s="378"/>
      <c r="AX76" s="378"/>
      <c r="AY76" s="378"/>
      <c r="AZ76" s="378"/>
      <c r="BA76" s="378"/>
      <c r="BB76" s="378"/>
      <c r="BC76" s="378"/>
      <c r="BD76" s="378"/>
      <c r="BE76" s="3613"/>
      <c r="BF76" s="3614"/>
      <c r="BG76" s="3615"/>
      <c r="BH76" s="378"/>
      <c r="BI76" s="378"/>
      <c r="BJ76" s="378"/>
      <c r="BK76" s="378"/>
      <c r="BL76" s="378"/>
      <c r="BM76" s="381">
        <v>15.75</v>
      </c>
    </row>
    <row r="77" spans="1:65" ht="15.75" customHeight="1">
      <c r="A77" s="356"/>
      <c r="B77" s="284" t="s">
        <v>128</v>
      </c>
      <c r="C77" s="285">
        <f t="shared" ref="C77:D82" si="31">AU7</f>
        <v>125</v>
      </c>
      <c r="D77" s="286">
        <f t="shared" si="31"/>
        <v>50</v>
      </c>
      <c r="E77" s="287">
        <f t="shared" ref="E77:E82" si="32">(C77/1000)*D77</f>
        <v>6.25</v>
      </c>
      <c r="F77" s="288"/>
      <c r="G77" s="3552">
        <f>IF(E77=0,0,INT(E77/N71))</f>
        <v>2</v>
      </c>
      <c r="H77" s="3552"/>
      <c r="I77" s="404">
        <f>E77-(G77*N71)</f>
        <v>0.25</v>
      </c>
      <c r="J77" s="290" t="str">
        <f>IF(I77=0,0,O71)</f>
        <v>Kg</v>
      </c>
      <c r="K77" s="382"/>
      <c r="L77" s="291">
        <f t="shared" ref="L77:L82" si="33">IF(I77=0,0,G77+1)</f>
        <v>3</v>
      </c>
      <c r="M77" s="403">
        <f>IF(I77=0,0,E77-(L77*N71))</f>
        <v>-2.75</v>
      </c>
      <c r="N77" s="425" t="str">
        <f>IF(M77=0,0,O71)</f>
        <v>Kg</v>
      </c>
      <c r="O77" s="400"/>
      <c r="P77" s="356"/>
      <c r="Q77" s="3668"/>
      <c r="R77" s="3669"/>
      <c r="S77" s="3670"/>
      <c r="T77" s="356"/>
      <c r="U77" s="356"/>
      <c r="V77" s="356"/>
      <c r="W77" s="356"/>
      <c r="X77" s="356"/>
      <c r="Y77" s="356"/>
      <c r="Z77" s="356"/>
      <c r="AA77" s="247" t="str">
        <f>IF(ISBLANK(AB77),"",LARGE(AA72:AA76,1)+1)</f>
        <v/>
      </c>
      <c r="AB77" s="395"/>
      <c r="AC77" s="395" t="s">
        <v>86</v>
      </c>
      <c r="AD77" s="395"/>
      <c r="AE77" s="395"/>
      <c r="AF77" s="395"/>
      <c r="AG77" s="395"/>
      <c r="AH77" s="166" t="str">
        <f>IF(ISBLANK(AI77),"",LARGE(AH72:AH76,1)+1)</f>
        <v/>
      </c>
      <c r="AI77" s="395"/>
      <c r="AJ77" s="395"/>
      <c r="AK77" s="395"/>
      <c r="AL77" s="395"/>
      <c r="AM77" s="395"/>
      <c r="AN77" s="395"/>
      <c r="AO77" s="407"/>
      <c r="AP77" s="356"/>
      <c r="AQ77" s="378"/>
      <c r="AR77" s="378"/>
      <c r="AS77" s="378"/>
      <c r="AT77" s="378"/>
      <c r="AU77" s="378"/>
      <c r="AV77" s="378"/>
      <c r="AW77" s="378"/>
      <c r="AX77" s="378"/>
      <c r="AY77" s="378"/>
      <c r="AZ77" s="378"/>
      <c r="BA77" s="378"/>
      <c r="BB77" s="378"/>
      <c r="BC77" s="378"/>
      <c r="BD77" s="378"/>
      <c r="BE77" s="3613"/>
      <c r="BF77" s="3614"/>
      <c r="BG77" s="3615"/>
      <c r="BH77" s="378"/>
      <c r="BI77" s="378"/>
      <c r="BJ77" s="378"/>
      <c r="BK77" s="378"/>
      <c r="BL77" s="378"/>
      <c r="BM77" s="381">
        <v>15.75</v>
      </c>
    </row>
    <row r="78" spans="1:65" ht="15.75" customHeight="1">
      <c r="A78" s="356"/>
      <c r="B78" s="295" t="s">
        <v>129</v>
      </c>
      <c r="C78" s="285">
        <f t="shared" si="31"/>
        <v>260</v>
      </c>
      <c r="D78" s="286">
        <f t="shared" si="31"/>
        <v>70</v>
      </c>
      <c r="E78" s="287">
        <f t="shared" si="32"/>
        <v>18.2</v>
      </c>
      <c r="F78" s="382"/>
      <c r="G78" s="3552">
        <f>IF(E78=0,0,INT(E78/N71))</f>
        <v>6</v>
      </c>
      <c r="H78" s="3552"/>
      <c r="I78" s="404">
        <f>E78-(G78*N71)</f>
        <v>0.19999999999999929</v>
      </c>
      <c r="J78" s="290" t="str">
        <f>IF(I78=0,0,O71)</f>
        <v>Kg</v>
      </c>
      <c r="K78" s="382"/>
      <c r="L78" s="291">
        <f t="shared" si="33"/>
        <v>7</v>
      </c>
      <c r="M78" s="403">
        <f>IF(I78=0,0,E78-(L78*N71))</f>
        <v>-2.8000000000000007</v>
      </c>
      <c r="N78" s="425" t="str">
        <f>IF(M78=0,0,O71)</f>
        <v>Kg</v>
      </c>
      <c r="O78" s="400"/>
      <c r="P78" s="356"/>
      <c r="Q78" s="3674" t="s">
        <v>127</v>
      </c>
      <c r="R78" s="3675"/>
      <c r="S78" s="3676"/>
      <c r="T78" s="356"/>
      <c r="U78" s="356"/>
      <c r="V78" s="356"/>
      <c r="W78" s="356"/>
      <c r="X78" s="356"/>
      <c r="Y78" s="356"/>
      <c r="Z78" s="356"/>
      <c r="AA78" s="247" t="str">
        <f>IF(ISBLANK(AB78),"",LARGE(AA72:AA77,1)+1)</f>
        <v/>
      </c>
      <c r="AB78" s="395"/>
      <c r="AC78" s="395"/>
      <c r="AD78" s="395"/>
      <c r="AE78" s="395"/>
      <c r="AF78" s="395"/>
      <c r="AG78" s="395"/>
      <c r="AH78" s="166" t="str">
        <f>IF(ISBLANK(AI78),"",LARGE(AH72:AH77,1)+1)</f>
        <v/>
      </c>
      <c r="AI78" s="395"/>
      <c r="AJ78" s="395"/>
      <c r="AK78" s="395"/>
      <c r="AL78" s="395"/>
      <c r="AM78" s="395"/>
      <c r="AN78" s="395"/>
      <c r="AO78" s="407"/>
      <c r="AP78" s="356"/>
      <c r="AQ78" s="378"/>
      <c r="AR78" s="378"/>
      <c r="AS78" s="378"/>
      <c r="AT78" s="378"/>
      <c r="AU78" s="378"/>
      <c r="AV78" s="378"/>
      <c r="AW78" s="378"/>
      <c r="AX78" s="378"/>
      <c r="AY78" s="378"/>
      <c r="AZ78" s="378"/>
      <c r="BA78" s="378"/>
      <c r="BB78" s="378"/>
      <c r="BC78" s="378"/>
      <c r="BD78" s="378"/>
      <c r="BE78" s="433"/>
      <c r="BF78" s="432" t="s">
        <v>98</v>
      </c>
      <c r="BG78" s="431" t="str">
        <f>ADDRESS(ROW(AI9),COLUMN(AI9),4)</f>
        <v>AI9</v>
      </c>
      <c r="BH78" s="378"/>
      <c r="BI78" s="378"/>
      <c r="BJ78" s="378"/>
      <c r="BK78" s="378"/>
      <c r="BL78" s="378"/>
      <c r="BM78" s="381">
        <v>15.75</v>
      </c>
    </row>
    <row r="79" spans="1:65" ht="15.75" customHeight="1">
      <c r="A79" s="356"/>
      <c r="B79" s="299" t="s">
        <v>28</v>
      </c>
      <c r="C79" s="285">
        <f t="shared" si="31"/>
        <v>120</v>
      </c>
      <c r="D79" s="286">
        <f t="shared" si="31"/>
        <v>110</v>
      </c>
      <c r="E79" s="287">
        <f t="shared" si="32"/>
        <v>13.2</v>
      </c>
      <c r="F79" s="382"/>
      <c r="G79" s="3552">
        <f>IF(E79=0,0,INT(E79/N71))</f>
        <v>4</v>
      </c>
      <c r="H79" s="3552"/>
      <c r="I79" s="404">
        <f>E79-(G79*N71)</f>
        <v>1.1999999999999993</v>
      </c>
      <c r="J79" s="290" t="str">
        <f>IF(I79=0,0,O71)</f>
        <v>Kg</v>
      </c>
      <c r="K79" s="382"/>
      <c r="L79" s="291">
        <f t="shared" si="33"/>
        <v>5</v>
      </c>
      <c r="M79" s="403">
        <f>IF(I79=0,0,E79-(L79*N71))</f>
        <v>-1.8000000000000007</v>
      </c>
      <c r="N79" s="425" t="str">
        <f>IF(M79=0,0,O71)</f>
        <v>Kg</v>
      </c>
      <c r="O79" s="400"/>
      <c r="P79" s="356"/>
      <c r="Q79" s="3674"/>
      <c r="R79" s="3675"/>
      <c r="S79" s="3676"/>
      <c r="T79" s="356"/>
      <c r="U79" s="356"/>
      <c r="V79" s="356"/>
      <c r="W79" s="356"/>
      <c r="X79" s="356"/>
      <c r="Y79" s="356"/>
      <c r="Z79" s="356"/>
      <c r="AA79" s="247" t="str">
        <f>IF(ISBLANK(AB79),"",LARGE(AA72:AA78,1)+1)</f>
        <v/>
      </c>
      <c r="AB79" s="395"/>
      <c r="AC79" s="395"/>
      <c r="AD79" s="395"/>
      <c r="AE79" s="395"/>
      <c r="AF79" s="395"/>
      <c r="AG79" s="395"/>
      <c r="AH79" s="166" t="str">
        <f>IF(ISBLANK(AI79),"",LARGE(AH72:AH78,1)+1)</f>
        <v/>
      </c>
      <c r="AI79" s="395"/>
      <c r="AJ79" s="395"/>
      <c r="AK79" s="395"/>
      <c r="AL79" s="395"/>
      <c r="AM79" s="395"/>
      <c r="AN79" s="395"/>
      <c r="AO79" s="407"/>
      <c r="AP79" s="356"/>
      <c r="AQ79" s="378"/>
      <c r="AR79" s="378"/>
      <c r="AS79" s="378"/>
      <c r="AT79" s="378"/>
      <c r="AU79" s="378"/>
      <c r="AV79" s="378"/>
      <c r="AW79" s="378"/>
      <c r="AX79" s="378"/>
      <c r="AY79" s="378"/>
      <c r="AZ79" s="378"/>
      <c r="BA79" s="378"/>
      <c r="BB79" s="378"/>
      <c r="BC79" s="378"/>
      <c r="BD79" s="378"/>
      <c r="BE79" s="428" t="s">
        <v>175</v>
      </c>
      <c r="BF79" s="430"/>
      <c r="BG79" s="429"/>
      <c r="BH79" s="378"/>
      <c r="BI79" s="378"/>
      <c r="BJ79" s="378"/>
      <c r="BK79" s="378"/>
      <c r="BL79" s="378"/>
      <c r="BM79" s="381">
        <v>15.75</v>
      </c>
    </row>
    <row r="80" spans="1:65" ht="15.75" customHeight="1">
      <c r="A80" s="356"/>
      <c r="B80" s="299" t="s">
        <v>136</v>
      </c>
      <c r="C80" s="285">
        <f t="shared" si="31"/>
        <v>60</v>
      </c>
      <c r="D80" s="286">
        <f t="shared" si="31"/>
        <v>120</v>
      </c>
      <c r="E80" s="287">
        <f t="shared" si="32"/>
        <v>7.1999999999999993</v>
      </c>
      <c r="F80" s="382"/>
      <c r="G80" s="3552">
        <f>IF(E80=0,0,INT(E80/N71))</f>
        <v>2</v>
      </c>
      <c r="H80" s="3552"/>
      <c r="I80" s="404">
        <f>E80-(G80*N71)</f>
        <v>1.1999999999999993</v>
      </c>
      <c r="J80" s="290" t="str">
        <f>IF(I80=0,0,O71)</f>
        <v>Kg</v>
      </c>
      <c r="K80" s="382"/>
      <c r="L80" s="291">
        <f t="shared" si="33"/>
        <v>3</v>
      </c>
      <c r="M80" s="403">
        <f>IF(I80=0,0,E80-(L80*N71))</f>
        <v>-1.8000000000000007</v>
      </c>
      <c r="N80" s="425" t="str">
        <f>IF(M80=0,0,O71)</f>
        <v>Kg</v>
      </c>
      <c r="O80" s="400"/>
      <c r="P80" s="356"/>
      <c r="Q80" s="3674"/>
      <c r="R80" s="3675"/>
      <c r="S80" s="3676"/>
      <c r="T80" s="356"/>
      <c r="U80" s="356"/>
      <c r="V80" s="356"/>
      <c r="W80" s="356"/>
      <c r="X80" s="356"/>
      <c r="Y80" s="356"/>
      <c r="Z80" s="356"/>
      <c r="AA80" s="247" t="str">
        <f>IF(ISBLANK(AB80),"",LARGE(AA72:AA79,1)+1)</f>
        <v/>
      </c>
      <c r="AB80" s="395"/>
      <c r="AC80" s="395"/>
      <c r="AD80" s="395"/>
      <c r="AE80" s="395"/>
      <c r="AF80" s="395"/>
      <c r="AG80" s="395"/>
      <c r="AH80" s="166">
        <f>IF(ISBLANK(AI80),"",LARGE(AH72:AH79,1)+1)</f>
        <v>3</v>
      </c>
      <c r="AI80" s="395" t="s">
        <v>84</v>
      </c>
      <c r="AJ80" s="395"/>
      <c r="AK80" s="395"/>
      <c r="AL80" s="395"/>
      <c r="AM80" s="395"/>
      <c r="AN80" s="395"/>
      <c r="AO80" s="407"/>
      <c r="AP80" s="356"/>
      <c r="AQ80" s="378"/>
      <c r="AR80" s="378"/>
      <c r="AS80" s="378"/>
      <c r="AT80" s="378"/>
      <c r="AU80" s="378"/>
      <c r="AV80" s="378"/>
      <c r="AW80" s="378"/>
      <c r="AX80" s="378"/>
      <c r="AY80" s="378"/>
      <c r="AZ80" s="378"/>
      <c r="BA80" s="378"/>
      <c r="BB80" s="378"/>
      <c r="BC80" s="378"/>
      <c r="BD80" s="378"/>
      <c r="BE80" s="428"/>
      <c r="BF80" s="427" t="s">
        <v>174</v>
      </c>
      <c r="BG80" s="426" t="str">
        <f>LEFT(ADDRESS(1,COLUMN(AK12),4),LEN(ADDRESS(1,COLUMN(AK12),4))-1)</f>
        <v>AK</v>
      </c>
      <c r="BH80" s="378"/>
      <c r="BI80" s="378"/>
      <c r="BJ80" s="378"/>
      <c r="BK80" s="378"/>
      <c r="BL80" s="378"/>
      <c r="BM80" s="381">
        <v>15.75</v>
      </c>
    </row>
    <row r="81" spans="1:65" ht="15.75" customHeight="1">
      <c r="A81" s="8"/>
      <c r="B81" s="299" t="s">
        <v>56</v>
      </c>
      <c r="C81" s="285">
        <f t="shared" si="31"/>
        <v>20</v>
      </c>
      <c r="D81" s="286">
        <f t="shared" si="31"/>
        <v>80</v>
      </c>
      <c r="E81" s="287">
        <f t="shared" si="32"/>
        <v>1.6</v>
      </c>
      <c r="F81" s="382"/>
      <c r="G81" s="3552">
        <f>IF(E81=0,0,INT(E81/N71))</f>
        <v>0</v>
      </c>
      <c r="H81" s="3552"/>
      <c r="I81" s="404">
        <f>E81-(G81*N71)</f>
        <v>1.6</v>
      </c>
      <c r="J81" s="290" t="str">
        <f>IF(I81=0,0,O71)</f>
        <v>Kg</v>
      </c>
      <c r="K81" s="382"/>
      <c r="L81" s="291">
        <f t="shared" si="33"/>
        <v>1</v>
      </c>
      <c r="M81" s="403">
        <f>IF(I81=0,0,E81-(L81*N71))</f>
        <v>-1.4</v>
      </c>
      <c r="N81" s="425" t="str">
        <f>IF(M81=0,0,O71)</f>
        <v>Kg</v>
      </c>
      <c r="O81" s="400"/>
      <c r="P81" s="356"/>
      <c r="Q81" s="3674"/>
      <c r="R81" s="3675"/>
      <c r="S81" s="3676"/>
      <c r="T81" s="356"/>
      <c r="U81" s="356"/>
      <c r="V81" s="356"/>
      <c r="W81" s="356"/>
      <c r="X81" s="356"/>
      <c r="Y81" s="356"/>
      <c r="Z81" s="356"/>
      <c r="AA81" s="247" t="str">
        <f>IF(ISBLANK(AB81),"",LARGE(AA72:AA80,1)+1)</f>
        <v/>
      </c>
      <c r="AB81" s="395"/>
      <c r="AC81" s="395"/>
      <c r="AD81" s="395"/>
      <c r="AE81" s="395"/>
      <c r="AF81" s="395"/>
      <c r="AG81" s="395"/>
      <c r="AH81" s="166">
        <f>IF(ISBLANK(AI81),"",LARGE(AH72:AH80,1)+1)</f>
        <v>4</v>
      </c>
      <c r="AI81" s="395" t="s">
        <v>85</v>
      </c>
      <c r="AJ81" s="395"/>
      <c r="AK81" s="395"/>
      <c r="AL81" s="395"/>
      <c r="AM81" s="395"/>
      <c r="AN81" s="395"/>
      <c r="AO81" s="407"/>
      <c r="AP81" s="356"/>
      <c r="AQ81" s="378"/>
      <c r="AR81" s="378"/>
      <c r="AS81" s="378"/>
      <c r="AT81" s="378"/>
      <c r="AU81" s="378"/>
      <c r="AV81" s="378"/>
      <c r="AW81" s="378"/>
      <c r="AX81" s="378"/>
      <c r="AY81" s="378"/>
      <c r="AZ81" s="378"/>
      <c r="BA81" s="378"/>
      <c r="BB81" s="378"/>
      <c r="BC81" s="378"/>
      <c r="BD81" s="378"/>
      <c r="BE81" s="3616" t="s">
        <v>99</v>
      </c>
      <c r="BF81" s="3617"/>
      <c r="BG81" s="3618"/>
      <c r="BH81" s="378"/>
      <c r="BI81" s="378"/>
      <c r="BJ81" s="378"/>
      <c r="BK81" s="378"/>
      <c r="BL81" s="378"/>
      <c r="BM81" s="381">
        <v>15.75</v>
      </c>
    </row>
    <row r="82" spans="1:65" ht="15.75" customHeight="1">
      <c r="A82" s="8"/>
      <c r="B82" s="299" t="s">
        <v>57</v>
      </c>
      <c r="C82" s="285">
        <f t="shared" si="31"/>
        <v>12</v>
      </c>
      <c r="D82" s="286">
        <f t="shared" si="31"/>
        <v>70</v>
      </c>
      <c r="E82" s="287">
        <f t="shared" si="32"/>
        <v>0.84</v>
      </c>
      <c r="F82" s="382"/>
      <c r="G82" s="3552">
        <f>IF(E82=0,0,INT(E82/N71))</f>
        <v>0</v>
      </c>
      <c r="H82" s="3552"/>
      <c r="I82" s="404">
        <f>E82-(G82*N71)</f>
        <v>0.84</v>
      </c>
      <c r="J82" s="290" t="str">
        <f>IF(I82=0,0,O71)</f>
        <v>Kg</v>
      </c>
      <c r="K82" s="382"/>
      <c r="L82" s="291">
        <f t="shared" si="33"/>
        <v>1</v>
      </c>
      <c r="M82" s="403">
        <f>IF(I82=0,0,E82-(L82*N71))</f>
        <v>-2.16</v>
      </c>
      <c r="N82" s="425" t="str">
        <f>IF(M82=0,0,O71)</f>
        <v>Kg</v>
      </c>
      <c r="O82" s="400"/>
      <c r="P82" s="356"/>
      <c r="Q82" s="3674"/>
      <c r="R82" s="3675"/>
      <c r="S82" s="3676"/>
      <c r="T82" s="356"/>
      <c r="U82" s="356"/>
      <c r="V82" s="356"/>
      <c r="W82" s="356"/>
      <c r="X82" s="356"/>
      <c r="Y82" s="356"/>
      <c r="Z82" s="356"/>
      <c r="AA82" s="247" t="str">
        <f>IF(ISBLANK(AB82),"",LARGE(AA72:AA81,1)+1)</f>
        <v/>
      </c>
      <c r="AB82" s="395"/>
      <c r="AC82" s="395"/>
      <c r="AD82" s="395"/>
      <c r="AE82" s="395"/>
      <c r="AF82" s="395"/>
      <c r="AG82" s="395"/>
      <c r="AH82" s="166" t="str">
        <f>IF(ISBLANK(AI82),"",LARGE(AH72:AH81,1)+1)</f>
        <v/>
      </c>
      <c r="AI82" s="395"/>
      <c r="AJ82" s="395" t="s">
        <v>86</v>
      </c>
      <c r="AK82" s="395"/>
      <c r="AL82" s="395"/>
      <c r="AM82" s="395"/>
      <c r="AN82" s="395"/>
      <c r="AO82" s="407"/>
      <c r="AP82" s="356"/>
      <c r="AQ82" s="378"/>
      <c r="AR82" s="378"/>
      <c r="AS82" s="378"/>
      <c r="AT82" s="378"/>
      <c r="AU82" s="378"/>
      <c r="AV82" s="378"/>
      <c r="AW82" s="378"/>
      <c r="AX82" s="378"/>
      <c r="AY82" s="378"/>
      <c r="AZ82" s="378"/>
      <c r="BA82" s="378"/>
      <c r="BB82" s="378"/>
      <c r="BC82" s="378"/>
      <c r="BD82" s="378"/>
      <c r="BE82" s="3616"/>
      <c r="BF82" s="3617"/>
      <c r="BG82" s="3618"/>
      <c r="BH82" s="378"/>
      <c r="BI82" s="378"/>
      <c r="BJ82" s="378"/>
      <c r="BK82" s="378"/>
      <c r="BL82" s="378"/>
      <c r="BM82" s="381">
        <v>15.75</v>
      </c>
    </row>
    <row r="83" spans="1:65" ht="15.75" customHeight="1">
      <c r="A83" s="8"/>
      <c r="B83" s="393"/>
      <c r="C83" s="382"/>
      <c r="D83" s="382"/>
      <c r="E83" s="382"/>
      <c r="F83" s="382"/>
      <c r="G83" s="344" t="s">
        <v>139</v>
      </c>
      <c r="H83" s="344"/>
      <c r="I83" s="344"/>
      <c r="J83" s="344"/>
      <c r="K83" s="401"/>
      <c r="L83" s="344"/>
      <c r="M83" s="344"/>
      <c r="N83" s="344"/>
      <c r="O83" s="400"/>
      <c r="P83" s="356"/>
      <c r="Q83" s="3677" t="s">
        <v>132</v>
      </c>
      <c r="R83" s="3678"/>
      <c r="S83" s="3679"/>
      <c r="T83" s="356"/>
      <c r="U83" s="356"/>
      <c r="V83" s="356"/>
      <c r="W83" s="356"/>
      <c r="X83" s="356"/>
      <c r="Y83" s="356"/>
      <c r="Z83" s="356"/>
      <c r="AA83" s="247" t="str">
        <f>IF(ISBLANK(AB83),"",LARGE(AA72:AA82,1)+1)</f>
        <v/>
      </c>
      <c r="AB83" s="395"/>
      <c r="AC83" s="395"/>
      <c r="AD83" s="395"/>
      <c r="AE83" s="395"/>
      <c r="AF83" s="395"/>
      <c r="AG83" s="395"/>
      <c r="AH83" s="166" t="str">
        <f>IF(ISBLANK(AI83),"",LARGE(AH72:AH82,1)+1)</f>
        <v/>
      </c>
      <c r="AI83" s="395"/>
      <c r="AJ83" s="395"/>
      <c r="AK83" s="395"/>
      <c r="AL83" s="395"/>
      <c r="AM83" s="395"/>
      <c r="AN83" s="395"/>
      <c r="AO83" s="407"/>
      <c r="AP83" s="356"/>
      <c r="AQ83" s="378"/>
      <c r="AR83" s="378"/>
      <c r="AS83" s="378"/>
      <c r="AT83" s="378"/>
      <c r="AU83" s="378"/>
      <c r="AV83" s="378"/>
      <c r="AW83" s="378"/>
      <c r="AX83" s="378"/>
      <c r="AY83" s="378"/>
      <c r="AZ83" s="378"/>
      <c r="BA83" s="378"/>
      <c r="BB83" s="378"/>
      <c r="BC83" s="378"/>
      <c r="BD83" s="378"/>
      <c r="BE83" s="3616"/>
      <c r="BF83" s="3617"/>
      <c r="BG83" s="3618"/>
      <c r="BH83" s="378"/>
      <c r="BI83" s="378"/>
      <c r="BJ83" s="378"/>
      <c r="BK83" s="378"/>
      <c r="BL83" s="378"/>
      <c r="BM83" s="381">
        <v>15.75</v>
      </c>
    </row>
    <row r="84" spans="1:65" ht="15.75" customHeight="1">
      <c r="A84" s="8"/>
      <c r="B84" s="393"/>
      <c r="C84" s="382"/>
      <c r="D84" s="382"/>
      <c r="E84" s="382"/>
      <c r="F84" s="382"/>
      <c r="G84" s="3560">
        <f>IF(G85=0,0,INT(G85/N71))</f>
        <v>14</v>
      </c>
      <c r="H84" s="3560"/>
      <c r="I84" s="399" t="s">
        <v>140</v>
      </c>
      <c r="J84" s="314">
        <f>D74-G85</f>
        <v>5.2900000000000063</v>
      </c>
      <c r="K84" s="382"/>
      <c r="L84" s="3554" t="s">
        <v>141</v>
      </c>
      <c r="M84" s="3554"/>
      <c r="N84" s="3555">
        <f>COUNTIF(I77:I82,"&gt;0")</f>
        <v>6</v>
      </c>
      <c r="O84" s="3549" t="s">
        <v>142</v>
      </c>
      <c r="P84" s="356"/>
      <c r="Q84" s="3677"/>
      <c r="R84" s="3678"/>
      <c r="S84" s="3679"/>
      <c r="T84" s="356"/>
      <c r="U84" s="356"/>
      <c r="V84" s="356"/>
      <c r="W84" s="356"/>
      <c r="X84" s="356"/>
      <c r="Y84" s="356"/>
      <c r="Z84" s="356"/>
      <c r="AA84" s="247" t="str">
        <f>IF(ISBLANK(AB84),"",LARGE(AA72:AA83,1)+1)</f>
        <v/>
      </c>
      <c r="AB84" s="395"/>
      <c r="AC84" s="395"/>
      <c r="AD84" s="395"/>
      <c r="AE84" s="395"/>
      <c r="AF84" s="395"/>
      <c r="AG84" s="395"/>
      <c r="AH84" s="166" t="str">
        <f>IF(ISBLANK(AI84),"",LARGE(AH72:AH83,1)+1)</f>
        <v/>
      </c>
      <c r="AI84" s="395"/>
      <c r="AJ84" s="395"/>
      <c r="AK84" s="395"/>
      <c r="AL84" s="395"/>
      <c r="AM84" s="395"/>
      <c r="AN84" s="395"/>
      <c r="AO84" s="407"/>
      <c r="AP84" s="356"/>
      <c r="AQ84" s="378"/>
      <c r="AR84" s="378"/>
      <c r="AS84" s="378"/>
      <c r="AT84" s="378"/>
      <c r="AU84" s="378"/>
      <c r="AV84" s="378"/>
      <c r="AW84" s="378"/>
      <c r="AX84" s="378"/>
      <c r="AY84" s="378"/>
      <c r="AZ84" s="378"/>
      <c r="BA84" s="378"/>
      <c r="BB84" s="378"/>
      <c r="BC84" s="378"/>
      <c r="BD84" s="378"/>
      <c r="BE84" s="424" t="s">
        <v>173</v>
      </c>
      <c r="BF84" s="412"/>
      <c r="BG84" s="411"/>
      <c r="BH84" s="378"/>
      <c r="BI84" s="378"/>
      <c r="BJ84" s="378"/>
      <c r="BK84" s="378"/>
      <c r="BL84" s="378"/>
      <c r="BM84" s="381">
        <v>15.75</v>
      </c>
    </row>
    <row r="85" spans="1:65" ht="15.75" customHeight="1">
      <c r="A85" s="8"/>
      <c r="B85" s="393"/>
      <c r="C85" s="382"/>
      <c r="D85" s="382"/>
      <c r="E85" s="382"/>
      <c r="F85" s="382"/>
      <c r="G85" s="3842">
        <f>SUM(G77:H82)*N71</f>
        <v>42</v>
      </c>
      <c r="H85" s="3842"/>
      <c r="I85" s="379"/>
      <c r="J85" s="318">
        <f>G85+J84</f>
        <v>47.290000000000006</v>
      </c>
      <c r="K85" s="382"/>
      <c r="L85" s="3554"/>
      <c r="M85" s="3554"/>
      <c r="N85" s="3555"/>
      <c r="O85" s="3549"/>
      <c r="P85" s="356"/>
      <c r="Q85" s="3680" t="s">
        <v>137</v>
      </c>
      <c r="R85" s="3681"/>
      <c r="S85" s="3682"/>
      <c r="T85" s="356"/>
      <c r="U85" s="356"/>
      <c r="V85" s="356"/>
      <c r="W85" s="356"/>
      <c r="X85" s="356"/>
      <c r="Y85" s="356"/>
      <c r="Z85" s="356"/>
      <c r="AA85" s="247" t="str">
        <f>IF(ISBLANK(AB85),"",LARGE(AA72:AA84,1)+1)</f>
        <v/>
      </c>
      <c r="AB85" s="395"/>
      <c r="AC85" s="395"/>
      <c r="AD85" s="395"/>
      <c r="AE85" s="395"/>
      <c r="AF85" s="395"/>
      <c r="AG85" s="395"/>
      <c r="AH85" s="166" t="str">
        <f>IF(ISBLANK(AI85),"",LARGE(AH72:AH84,1)+1)</f>
        <v/>
      </c>
      <c r="AI85" s="395"/>
      <c r="AJ85" s="395"/>
      <c r="AK85" s="395"/>
      <c r="AL85" s="395"/>
      <c r="AM85" s="395"/>
      <c r="AN85" s="395"/>
      <c r="AO85" s="407"/>
      <c r="AP85" s="356"/>
      <c r="AQ85" s="378"/>
      <c r="AR85" s="378"/>
      <c r="AS85" s="378"/>
      <c r="AT85" s="378"/>
      <c r="AU85" s="378"/>
      <c r="AV85" s="378"/>
      <c r="AW85" s="378"/>
      <c r="AX85" s="378"/>
      <c r="AY85" s="378"/>
      <c r="AZ85" s="378"/>
      <c r="BA85" s="378"/>
      <c r="BB85" s="378"/>
      <c r="BC85" s="378"/>
      <c r="BD85" s="378"/>
      <c r="BE85" s="413"/>
      <c r="BF85" s="412"/>
      <c r="BG85" s="411"/>
      <c r="BH85" s="378"/>
      <c r="BI85" s="378"/>
      <c r="BJ85" s="378"/>
      <c r="BK85" s="378"/>
      <c r="BL85" s="378"/>
      <c r="BM85" s="381">
        <v>15.75</v>
      </c>
    </row>
    <row r="86" spans="1:65" ht="15.75" customHeight="1" thickBot="1">
      <c r="A86" s="8"/>
      <c r="B86" s="387"/>
      <c r="C86" s="386"/>
      <c r="D86" s="386"/>
      <c r="E86" s="386"/>
      <c r="F86" s="386"/>
      <c r="G86" s="386"/>
      <c r="H86" s="386"/>
      <c r="I86" s="386"/>
      <c r="J86" s="386"/>
      <c r="K86" s="386"/>
      <c r="L86" s="386"/>
      <c r="M86" s="386"/>
      <c r="N86" s="386"/>
      <c r="O86" s="385"/>
      <c r="P86" s="356"/>
      <c r="Q86" s="3543" t="s">
        <v>138</v>
      </c>
      <c r="R86" s="3544"/>
      <c r="S86" s="3545"/>
      <c r="T86" s="356"/>
      <c r="U86" s="356"/>
      <c r="V86" s="356"/>
      <c r="W86" s="356"/>
      <c r="X86" s="356"/>
      <c r="Y86" s="356"/>
      <c r="Z86" s="356"/>
      <c r="AA86" s="247" t="str">
        <f>IF(ISBLANK(AB86),"",LARGE(AA72:AA85,1)+1)</f>
        <v/>
      </c>
      <c r="AB86" s="395"/>
      <c r="AC86" s="395"/>
      <c r="AD86" s="395"/>
      <c r="AE86" s="395"/>
      <c r="AF86" s="395"/>
      <c r="AG86" s="395"/>
      <c r="AH86" s="166" t="str">
        <f>IF(ISBLANK(AI86),"",LARGE(AH72:AH85,1)+1)</f>
        <v/>
      </c>
      <c r="AI86" s="395"/>
      <c r="AJ86" s="395"/>
      <c r="AK86" s="395"/>
      <c r="AL86" s="395"/>
      <c r="AM86" s="395"/>
      <c r="AN86" s="395"/>
      <c r="AO86" s="407"/>
      <c r="AP86" s="356"/>
      <c r="AQ86" s="378"/>
      <c r="AR86" s="378"/>
      <c r="AS86" s="378"/>
      <c r="AT86" s="378"/>
      <c r="AU86" s="378"/>
      <c r="AV86" s="378"/>
      <c r="AW86" s="378"/>
      <c r="AX86" s="378"/>
      <c r="AY86" s="378"/>
      <c r="AZ86" s="378"/>
      <c r="BA86" s="378"/>
      <c r="BB86" s="378"/>
      <c r="BC86" s="378"/>
      <c r="BD86" s="378"/>
      <c r="BE86" s="423" t="s">
        <v>172</v>
      </c>
      <c r="BF86" s="422"/>
      <c r="BG86" s="421"/>
      <c r="BH86" s="378"/>
      <c r="BI86" s="378"/>
      <c r="BJ86" s="378"/>
      <c r="BK86" s="378"/>
      <c r="BL86" s="378"/>
      <c r="BM86" s="381">
        <v>15.75</v>
      </c>
    </row>
    <row r="87" spans="1:65" ht="15.75" customHeight="1" thickBot="1">
      <c r="A87" s="8"/>
      <c r="B87" s="384"/>
      <c r="C87" s="384"/>
      <c r="D87" s="384"/>
      <c r="E87" s="384"/>
      <c r="F87" s="384"/>
      <c r="G87" s="384"/>
      <c r="H87" s="384"/>
      <c r="I87" s="384"/>
      <c r="J87" s="384"/>
      <c r="K87" s="384"/>
      <c r="L87" s="384"/>
      <c r="M87" s="384"/>
      <c r="N87" s="384"/>
      <c r="O87" s="384"/>
      <c r="P87" s="356"/>
      <c r="Q87" s="3543"/>
      <c r="R87" s="3544"/>
      <c r="S87" s="3545"/>
      <c r="T87" s="356"/>
      <c r="U87" s="356"/>
      <c r="V87" s="356"/>
      <c r="W87" s="356"/>
      <c r="X87" s="356"/>
      <c r="Y87" s="356"/>
      <c r="Z87" s="356"/>
      <c r="AA87" s="247" t="str">
        <f>IF(ISBLANK(AB87),"",LARGE(AA72:AA86,1)+1)</f>
        <v/>
      </c>
      <c r="AB87" s="395"/>
      <c r="AC87" s="395"/>
      <c r="AD87" s="395"/>
      <c r="AE87" s="395"/>
      <c r="AF87" s="395"/>
      <c r="AG87" s="395"/>
      <c r="AH87" s="166" t="str">
        <f>IF(ISBLANK(AI87),"",LARGE(AH72:AH86,1)+1)</f>
        <v/>
      </c>
      <c r="AI87" s="395"/>
      <c r="AJ87" s="395"/>
      <c r="AK87" s="395"/>
      <c r="AL87" s="395"/>
      <c r="AM87" s="395"/>
      <c r="AN87" s="395"/>
      <c r="AO87" s="407"/>
      <c r="AP87" s="356"/>
      <c r="AQ87" s="378"/>
      <c r="AR87" s="378"/>
      <c r="AS87" s="378"/>
      <c r="AT87" s="378"/>
      <c r="AU87" s="378"/>
      <c r="AV87" s="378"/>
      <c r="AW87" s="378"/>
      <c r="AX87" s="378"/>
      <c r="AY87" s="378"/>
      <c r="AZ87" s="378"/>
      <c r="BA87" s="378"/>
      <c r="BB87" s="378"/>
      <c r="BC87" s="378"/>
      <c r="BD87" s="378"/>
      <c r="BE87" s="413"/>
      <c r="BF87" s="420" t="s">
        <v>98</v>
      </c>
      <c r="BG87" s="419" t="str">
        <f>ADDRESS(ROW(X11),COLUMN(X11),4)</f>
        <v>X11</v>
      </c>
      <c r="BH87" s="378"/>
      <c r="BI87" s="378"/>
      <c r="BJ87" s="378"/>
      <c r="BK87" s="378"/>
      <c r="BL87" s="378"/>
      <c r="BM87" s="381">
        <v>15.75</v>
      </c>
    </row>
    <row r="88" spans="1:65" ht="15.75" customHeight="1">
      <c r="A88" s="8"/>
      <c r="B88" s="3564" t="str">
        <f>+AA3</f>
        <v>SAISISSEZ LE NOM DE VOTRE PLAT cellule AA3</v>
      </c>
      <c r="C88" s="3565"/>
      <c r="D88" s="3565"/>
      <c r="E88" s="3565"/>
      <c r="F88" s="3565"/>
      <c r="G88" s="3565"/>
      <c r="H88" s="3565"/>
      <c r="I88" s="3565"/>
      <c r="J88" s="3565"/>
      <c r="K88" s="3565"/>
      <c r="L88" s="3568" t="s">
        <v>116</v>
      </c>
      <c r="M88" s="3568"/>
      <c r="N88" s="3570">
        <v>50</v>
      </c>
      <c r="O88" s="3550" t="s">
        <v>144</v>
      </c>
      <c r="P88" s="356"/>
      <c r="Q88" s="3543"/>
      <c r="R88" s="3544"/>
      <c r="S88" s="3545"/>
      <c r="T88" s="356"/>
      <c r="U88" s="356"/>
      <c r="V88" s="356"/>
      <c r="W88" s="356"/>
      <c r="X88" s="356"/>
      <c r="Y88" s="356"/>
      <c r="Z88" s="356"/>
      <c r="AA88" s="247" t="str">
        <f>IF(ISBLANK(AB88),"",LARGE(AA72:AA87,1)+1)</f>
        <v/>
      </c>
      <c r="AB88" s="395"/>
      <c r="AC88" s="395"/>
      <c r="AD88" s="395"/>
      <c r="AE88" s="395"/>
      <c r="AF88" s="395"/>
      <c r="AG88" s="395"/>
      <c r="AH88" s="166" t="str">
        <f>IF(ISBLANK(AI88),"",LARGE(AH72:AH87,1)+1)</f>
        <v/>
      </c>
      <c r="AI88" s="395"/>
      <c r="AJ88" s="395"/>
      <c r="AK88" s="395"/>
      <c r="AL88" s="395"/>
      <c r="AM88" s="395"/>
      <c r="AN88" s="395"/>
      <c r="AO88" s="407"/>
      <c r="AP88" s="356"/>
      <c r="AQ88" s="378"/>
      <c r="AR88" s="378"/>
      <c r="AS88" s="378"/>
      <c r="AT88" s="378"/>
      <c r="AU88" s="378"/>
      <c r="AV88" s="378"/>
      <c r="AW88" s="378"/>
      <c r="AX88" s="378"/>
      <c r="AY88" s="378"/>
      <c r="AZ88" s="378"/>
      <c r="BA88" s="378"/>
      <c r="BB88" s="378"/>
      <c r="BC88" s="378"/>
      <c r="BD88" s="378"/>
      <c r="BE88" s="3583" t="s">
        <v>171</v>
      </c>
      <c r="BF88" s="3584"/>
      <c r="BG88" s="3585"/>
      <c r="BH88" s="378"/>
      <c r="BI88" s="378"/>
      <c r="BJ88" s="378"/>
      <c r="BK88" s="378"/>
      <c r="BL88" s="378"/>
      <c r="BM88" s="381">
        <v>15.75</v>
      </c>
    </row>
    <row r="89" spans="1:65" ht="15.75" customHeight="1">
      <c r="A89" s="8"/>
      <c r="B89" s="3566"/>
      <c r="C89" s="3567"/>
      <c r="D89" s="3567"/>
      <c r="E89" s="3567"/>
      <c r="F89" s="3567"/>
      <c r="G89" s="3567"/>
      <c r="H89" s="3567"/>
      <c r="I89" s="3567"/>
      <c r="J89" s="3567"/>
      <c r="K89" s="3567"/>
      <c r="L89" s="3569"/>
      <c r="M89" s="3569"/>
      <c r="N89" s="3571"/>
      <c r="O89" s="3551"/>
      <c r="P89" s="356"/>
      <c r="Q89" s="3543"/>
      <c r="R89" s="3544"/>
      <c r="S89" s="3545"/>
      <c r="T89" s="356"/>
      <c r="U89" s="356"/>
      <c r="V89" s="356"/>
      <c r="W89" s="356"/>
      <c r="X89" s="356"/>
      <c r="Y89" s="356"/>
      <c r="Z89" s="356"/>
      <c r="AA89" s="247" t="str">
        <f>IF(ISBLANK(AB89),"",LARGE(AA72:AA88,1)+1)</f>
        <v/>
      </c>
      <c r="AB89" s="395"/>
      <c r="AC89" s="395"/>
      <c r="AD89" s="395"/>
      <c r="AE89" s="395"/>
      <c r="AF89" s="395"/>
      <c r="AG89" s="395"/>
      <c r="AH89" s="166" t="str">
        <f>IF(ISBLANK(AI89),"",LARGE(AH72:AH88,1)+1)</f>
        <v/>
      </c>
      <c r="AI89" s="395"/>
      <c r="AJ89" s="395"/>
      <c r="AK89" s="395"/>
      <c r="AL89" s="395"/>
      <c r="AM89" s="395"/>
      <c r="AN89" s="395"/>
      <c r="AO89" s="407"/>
      <c r="AP89" s="356"/>
      <c r="AQ89" s="378"/>
      <c r="AR89" s="378"/>
      <c r="AS89" s="378"/>
      <c r="AT89" s="378"/>
      <c r="AU89" s="378"/>
      <c r="AV89" s="378"/>
      <c r="AW89" s="378"/>
      <c r="AX89" s="378"/>
      <c r="AY89" s="378"/>
      <c r="AZ89" s="378"/>
      <c r="BA89" s="378"/>
      <c r="BB89" s="378"/>
      <c r="BC89" s="378"/>
      <c r="BD89" s="378"/>
      <c r="BE89" s="3586"/>
      <c r="BF89" s="3587"/>
      <c r="BG89" s="3588"/>
      <c r="BH89" s="378"/>
      <c r="BI89" s="378"/>
      <c r="BJ89" s="378"/>
      <c r="BK89" s="378"/>
      <c r="BL89" s="378"/>
      <c r="BM89" s="381">
        <v>15.75</v>
      </c>
    </row>
    <row r="90" spans="1:65" ht="15.75" customHeight="1" thickBot="1">
      <c r="A90" s="384"/>
      <c r="B90" s="261" t="s">
        <v>119</v>
      </c>
      <c r="C90" s="417"/>
      <c r="D90" s="417"/>
      <c r="E90" s="263"/>
      <c r="F90" s="264"/>
      <c r="G90" s="265"/>
      <c r="H90" s="417"/>
      <c r="I90" s="417"/>
      <c r="J90" s="418" t="s">
        <v>120</v>
      </c>
      <c r="K90" s="417"/>
      <c r="L90" s="266"/>
      <c r="M90" s="266" t="s">
        <v>121</v>
      </c>
      <c r="N90" s="416">
        <f>N88</f>
        <v>50</v>
      </c>
      <c r="O90" s="415" t="str">
        <f>O88</f>
        <v>Morceaux</v>
      </c>
      <c r="P90" s="356"/>
      <c r="Q90" s="3543"/>
      <c r="R90" s="3544"/>
      <c r="S90" s="3545"/>
      <c r="T90" s="356"/>
      <c r="U90" s="356"/>
      <c r="V90" s="356"/>
      <c r="W90" s="356"/>
      <c r="X90" s="356"/>
      <c r="Y90" s="356"/>
      <c r="Z90" s="356"/>
      <c r="AA90" s="247" t="str">
        <f>IF(ISBLANK(AB90),"",LARGE(AA72:AA89,1)+1)</f>
        <v/>
      </c>
      <c r="AB90" s="395"/>
      <c r="AC90" s="395"/>
      <c r="AD90" s="395"/>
      <c r="AE90" s="395"/>
      <c r="AF90" s="395"/>
      <c r="AG90" s="395"/>
      <c r="AH90" s="166" t="str">
        <f>IF(ISBLANK(AI90),"",LARGE(AH72:AH89,1)+1)</f>
        <v/>
      </c>
      <c r="AI90" s="395"/>
      <c r="AJ90" s="395"/>
      <c r="AK90" s="395"/>
      <c r="AL90" s="395"/>
      <c r="AM90" s="395"/>
      <c r="AN90" s="395"/>
      <c r="AO90" s="407"/>
      <c r="AP90" s="356"/>
      <c r="AQ90" s="378"/>
      <c r="AR90" s="378"/>
      <c r="AS90" s="378"/>
      <c r="AT90" s="378"/>
      <c r="AU90" s="378"/>
      <c r="AV90" s="378"/>
      <c r="AW90" s="378"/>
      <c r="AX90" s="378"/>
      <c r="AY90" s="378"/>
      <c r="AZ90" s="378"/>
      <c r="BA90" s="378"/>
      <c r="BB90" s="378"/>
      <c r="BC90" s="378"/>
      <c r="BD90" s="378"/>
      <c r="BE90" s="274">
        <f ca="1">CELL("largeur",BE90)</f>
        <v>12</v>
      </c>
      <c r="BF90" s="275">
        <f ca="1">CELL("largeur",BF90)</f>
        <v>12</v>
      </c>
      <c r="BG90" s="276">
        <f ca="1">CELL("largeur",BG90)</f>
        <v>12</v>
      </c>
      <c r="BH90" s="378"/>
      <c r="BI90" s="378"/>
      <c r="BJ90" s="378"/>
      <c r="BK90" s="378"/>
      <c r="BL90" s="378"/>
      <c r="BM90" s="381">
        <v>15.75</v>
      </c>
    </row>
    <row r="91" spans="1:65" ht="15.75" customHeight="1">
      <c r="A91" s="384"/>
      <c r="B91" s="3573">
        <f>SUM(C94:C99)</f>
        <v>597</v>
      </c>
      <c r="C91" s="3563" t="str">
        <f>O88</f>
        <v>Morceaux</v>
      </c>
      <c r="D91" s="3575">
        <f>SUM(E94:E99)</f>
        <v>597</v>
      </c>
      <c r="E91" s="3597">
        <f>IF(D91=0,0,INT(D91/N88))</f>
        <v>11</v>
      </c>
      <c r="F91" s="3597"/>
      <c r="G91" s="3599">
        <f>D91-(E91*N88)</f>
        <v>47</v>
      </c>
      <c r="H91" s="3581" t="str">
        <f>IF(G91=0,0,O88)</f>
        <v>Morceaux</v>
      </c>
      <c r="I91" s="3581"/>
      <c r="J91" s="382"/>
      <c r="K91" s="382"/>
      <c r="L91" s="3597">
        <f>IF(G91=0,0,E91+1)</f>
        <v>12</v>
      </c>
      <c r="M91" s="3597"/>
      <c r="N91" s="3599">
        <f>IF(G91=0,0,D91-(L91*N88))</f>
        <v>-3</v>
      </c>
      <c r="O91" s="3557" t="str">
        <f>IF(N91=0,0,O88)</f>
        <v>Morceaux</v>
      </c>
      <c r="P91" s="356"/>
      <c r="Q91" s="3543"/>
      <c r="R91" s="3544"/>
      <c r="S91" s="3545"/>
      <c r="T91" s="356"/>
      <c r="U91" s="356"/>
      <c r="V91" s="356"/>
      <c r="W91" s="356"/>
      <c r="X91" s="356"/>
      <c r="Y91" s="356"/>
      <c r="Z91" s="356"/>
      <c r="AA91" s="247" t="str">
        <f>IF(ISBLANK(AB91),"",LARGE(AA72:AA90,1)+1)</f>
        <v/>
      </c>
      <c r="AB91" s="395"/>
      <c r="AC91" s="395"/>
      <c r="AD91" s="395"/>
      <c r="AE91" s="395"/>
      <c r="AF91" s="395"/>
      <c r="AG91" s="395"/>
      <c r="AH91" s="166" t="str">
        <f>IF(ISBLANK(AI91),"",LARGE(AH72:AH90,1)+1)</f>
        <v/>
      </c>
      <c r="AI91" s="395"/>
      <c r="AJ91" s="395"/>
      <c r="AK91" s="395"/>
      <c r="AL91" s="395"/>
      <c r="AM91" s="395"/>
      <c r="AN91" s="395"/>
      <c r="AO91" s="407"/>
      <c r="AP91" s="356"/>
      <c r="AQ91" s="378"/>
      <c r="AR91" s="378"/>
      <c r="AS91" s="378"/>
      <c r="AT91" s="378"/>
      <c r="AU91" s="378"/>
      <c r="AV91" s="378"/>
      <c r="AW91" s="378"/>
      <c r="AX91" s="378"/>
      <c r="AY91" s="378"/>
      <c r="AZ91" s="378"/>
      <c r="BA91" s="378"/>
      <c r="BB91" s="378"/>
      <c r="BC91" s="378"/>
      <c r="BD91" s="378"/>
      <c r="BE91" s="378"/>
      <c r="BF91" s="378"/>
      <c r="BG91" s="378"/>
      <c r="BH91" s="378"/>
      <c r="BI91" s="378"/>
      <c r="BJ91" s="378"/>
      <c r="BK91" s="378"/>
      <c r="BL91" s="378"/>
      <c r="BM91" s="381">
        <v>15.75</v>
      </c>
    </row>
    <row r="92" spans="1:65" ht="15.75" customHeight="1">
      <c r="A92" s="384"/>
      <c r="B92" s="3574"/>
      <c r="C92" s="3577"/>
      <c r="D92" s="3576"/>
      <c r="E92" s="3598"/>
      <c r="F92" s="3598"/>
      <c r="G92" s="3600"/>
      <c r="H92" s="3582"/>
      <c r="I92" s="3582"/>
      <c r="J92" s="414"/>
      <c r="K92" s="414"/>
      <c r="L92" s="3598"/>
      <c r="M92" s="3598"/>
      <c r="N92" s="3600"/>
      <c r="O92" s="3558"/>
      <c r="P92" s="356"/>
      <c r="Q92" s="413"/>
      <c r="R92" s="412"/>
      <c r="S92" s="411"/>
      <c r="T92" s="356"/>
      <c r="U92" s="356"/>
      <c r="V92" s="356"/>
      <c r="W92" s="356"/>
      <c r="X92" s="356"/>
      <c r="Y92" s="356"/>
      <c r="Z92" s="356"/>
      <c r="AA92" s="247" t="str">
        <f>IF(ISBLANK(AB92),"",LARGE(AA72:AA91,1)+1)</f>
        <v/>
      </c>
      <c r="AB92" s="395"/>
      <c r="AC92" s="395"/>
      <c r="AD92" s="395"/>
      <c r="AE92" s="395"/>
      <c r="AF92" s="395"/>
      <c r="AG92" s="395"/>
      <c r="AH92" s="166" t="str">
        <f>IF(ISBLANK(AI92),"",LARGE(AH72:AH91,1)+1)</f>
        <v/>
      </c>
      <c r="AI92" s="395"/>
      <c r="AJ92" s="395"/>
      <c r="AK92" s="395"/>
      <c r="AL92" s="395"/>
      <c r="AM92" s="395"/>
      <c r="AN92" s="395"/>
      <c r="AO92" s="407"/>
      <c r="AP92" s="356"/>
      <c r="AQ92" s="378"/>
      <c r="AR92" s="378"/>
      <c r="AS92" s="378"/>
      <c r="AT92" s="378"/>
      <c r="AU92" s="378"/>
      <c r="AV92" s="378"/>
      <c r="AW92" s="378"/>
      <c r="AX92" s="378"/>
      <c r="AY92" s="378"/>
      <c r="AZ92" s="378"/>
      <c r="BA92" s="378"/>
      <c r="BB92" s="378"/>
      <c r="BC92" s="378"/>
      <c r="BD92" s="378"/>
      <c r="BE92" s="378"/>
      <c r="BF92" s="378"/>
      <c r="BG92" s="378"/>
      <c r="BH92" s="378"/>
      <c r="BI92" s="378"/>
      <c r="BJ92" s="378"/>
      <c r="BK92" s="378"/>
      <c r="BL92" s="378"/>
      <c r="BM92" s="381">
        <v>15.75</v>
      </c>
    </row>
    <row r="93" spans="1:65" ht="15.75" customHeight="1">
      <c r="A93" s="384"/>
      <c r="B93" s="277"/>
      <c r="C93" s="278" t="s">
        <v>124</v>
      </c>
      <c r="D93" s="335" t="s">
        <v>146</v>
      </c>
      <c r="E93" s="382"/>
      <c r="F93" s="279"/>
      <c r="G93" s="280"/>
      <c r="H93" s="282"/>
      <c r="I93" s="282"/>
      <c r="J93" s="282"/>
      <c r="K93" s="410" t="s">
        <v>126</v>
      </c>
      <c r="L93" s="409"/>
      <c r="M93" s="409"/>
      <c r="N93" s="409"/>
      <c r="O93" s="408"/>
      <c r="P93" s="356"/>
      <c r="Q93" s="3543" t="s">
        <v>143</v>
      </c>
      <c r="R93" s="3544"/>
      <c r="S93" s="3545"/>
      <c r="T93" s="356"/>
      <c r="U93" s="356"/>
      <c r="V93" s="356"/>
      <c r="W93" s="356"/>
      <c r="X93" s="356"/>
      <c r="Y93" s="356"/>
      <c r="Z93" s="356"/>
      <c r="AA93" s="247" t="str">
        <f>IF(ISBLANK(AB93),"",LARGE(AA72:AA92,1)+1)</f>
        <v/>
      </c>
      <c r="AB93" s="395"/>
      <c r="AC93" s="395"/>
      <c r="AD93" s="395"/>
      <c r="AE93" s="395"/>
      <c r="AF93" s="395"/>
      <c r="AG93" s="395"/>
      <c r="AH93" s="166" t="str">
        <f>IF(ISBLANK(AI93),"",LARGE(AH72:AH92,1)+1)</f>
        <v/>
      </c>
      <c r="AI93" s="395"/>
      <c r="AJ93" s="395"/>
      <c r="AK93" s="395"/>
      <c r="AL93" s="395"/>
      <c r="AM93" s="395"/>
      <c r="AN93" s="395"/>
      <c r="AO93" s="407"/>
      <c r="AP93" s="356"/>
      <c r="AQ93" s="378"/>
      <c r="AR93" s="378"/>
      <c r="AS93" s="378"/>
      <c r="AT93" s="378"/>
      <c r="AU93" s="378"/>
      <c r="AV93" s="378"/>
      <c r="AW93" s="378"/>
      <c r="AX93" s="378"/>
      <c r="AY93" s="378"/>
      <c r="AZ93" s="378"/>
      <c r="BA93" s="378"/>
      <c r="BB93" s="378"/>
      <c r="BC93" s="378"/>
      <c r="BD93" s="378"/>
      <c r="BE93" s="378"/>
      <c r="BF93" s="378"/>
      <c r="BG93" s="378"/>
      <c r="BH93" s="378"/>
      <c r="BI93" s="378"/>
      <c r="BJ93" s="378"/>
      <c r="BK93" s="378"/>
      <c r="BL93" s="378"/>
      <c r="BM93" s="381">
        <v>15.75</v>
      </c>
    </row>
    <row r="94" spans="1:65" ht="15.75" customHeight="1">
      <c r="A94" s="384"/>
      <c r="B94" s="284" t="s">
        <v>128</v>
      </c>
      <c r="C94" s="285">
        <f t="shared" ref="C94:C99" si="34">AU7</f>
        <v>125</v>
      </c>
      <c r="D94" s="406">
        <v>1</v>
      </c>
      <c r="E94" s="338">
        <f t="shared" ref="E94:E99" si="35">C94*D94</f>
        <v>125</v>
      </c>
      <c r="F94" s="405" t="str">
        <f>O88</f>
        <v>Morceaux</v>
      </c>
      <c r="G94" s="3552">
        <f>IF(E94=0,0,INT(E94/N88))</f>
        <v>2</v>
      </c>
      <c r="H94" s="3552"/>
      <c r="I94" s="404">
        <f>E94-(G94*N88)</f>
        <v>25</v>
      </c>
      <c r="J94" s="342" t="str">
        <f>IF(I94=0,0,O88)</f>
        <v>Morceaux</v>
      </c>
      <c r="K94" s="382"/>
      <c r="L94" s="291">
        <f t="shared" ref="L94:L99" si="36">IF(I94=0,0,G94+1)</f>
        <v>3</v>
      </c>
      <c r="M94" s="403">
        <f>IF(I94=0,0,E94-(L94*N88))</f>
        <v>-25</v>
      </c>
      <c r="N94" s="402" t="str">
        <f>IF(M94=0,0,O88)</f>
        <v>Morceaux</v>
      </c>
      <c r="O94" s="400"/>
      <c r="P94" s="356"/>
      <c r="Q94" s="3543"/>
      <c r="R94" s="3544"/>
      <c r="S94" s="3545"/>
      <c r="T94" s="356"/>
      <c r="U94" s="356"/>
      <c r="V94" s="356"/>
      <c r="W94" s="356"/>
      <c r="X94" s="356"/>
      <c r="Y94" s="356"/>
      <c r="Z94" s="356"/>
      <c r="AA94" s="247" t="str">
        <f>IF(ISBLANK(AB94),"",LARGE(AA72:AA93,1)+1)</f>
        <v/>
      </c>
      <c r="AB94" s="395"/>
      <c r="AC94" s="395"/>
      <c r="AD94" s="395"/>
      <c r="AE94" s="395"/>
      <c r="AF94" s="395"/>
      <c r="AG94" s="395"/>
      <c r="AH94" s="166" t="str">
        <f>IF(ISBLANK(AI94),"",LARGE(AH72:AH93,1)+1)</f>
        <v/>
      </c>
      <c r="AI94" s="395"/>
      <c r="AJ94" s="395"/>
      <c r="AK94" s="395"/>
      <c r="AL94" s="395"/>
      <c r="AM94" s="395"/>
      <c r="AN94" s="395"/>
      <c r="AO94" s="407"/>
      <c r="AP94" s="356"/>
      <c r="AQ94" s="378"/>
      <c r="AR94" s="378"/>
      <c r="AS94" s="378"/>
      <c r="AT94" s="378"/>
      <c r="AU94" s="378"/>
      <c r="AV94" s="378"/>
      <c r="AW94" s="378"/>
      <c r="AX94" s="378"/>
      <c r="AY94" s="378"/>
      <c r="AZ94" s="378"/>
      <c r="BA94" s="378"/>
      <c r="BB94" s="378"/>
      <c r="BC94" s="378"/>
      <c r="BD94" s="378"/>
      <c r="BE94" s="378"/>
      <c r="BF94" s="378"/>
      <c r="BG94" s="378"/>
      <c r="BH94" s="378"/>
      <c r="BI94" s="378"/>
      <c r="BJ94" s="378"/>
      <c r="BK94" s="378"/>
      <c r="BL94" s="378"/>
      <c r="BM94" s="381">
        <v>15.75</v>
      </c>
    </row>
    <row r="95" spans="1:65" ht="15.75" customHeight="1">
      <c r="A95" s="384"/>
      <c r="B95" s="295" t="s">
        <v>129</v>
      </c>
      <c r="C95" s="285">
        <f t="shared" si="34"/>
        <v>260</v>
      </c>
      <c r="D95" s="406">
        <v>1</v>
      </c>
      <c r="E95" s="338">
        <f t="shared" si="35"/>
        <v>260</v>
      </c>
      <c r="F95" s="405" t="str">
        <f>O88</f>
        <v>Morceaux</v>
      </c>
      <c r="G95" s="3552">
        <f>IF(E95=0,0,INT(E95/N88))</f>
        <v>5</v>
      </c>
      <c r="H95" s="3552"/>
      <c r="I95" s="404">
        <f>E95-(G95*N88)</f>
        <v>10</v>
      </c>
      <c r="J95" s="342" t="str">
        <f>IF(I95=0,0,O88)</f>
        <v>Morceaux</v>
      </c>
      <c r="K95" s="382"/>
      <c r="L95" s="291">
        <f t="shared" si="36"/>
        <v>6</v>
      </c>
      <c r="M95" s="403">
        <f>IF(I95=0,0,E95-(L95*N88))</f>
        <v>-40</v>
      </c>
      <c r="N95" s="402" t="str">
        <f>IF(M95=0,0,O88)</f>
        <v>Morceaux</v>
      </c>
      <c r="O95" s="400"/>
      <c r="P95" s="356"/>
      <c r="Q95" s="3543"/>
      <c r="R95" s="3544"/>
      <c r="S95" s="3545"/>
      <c r="T95" s="356"/>
      <c r="U95" s="356"/>
      <c r="V95" s="356"/>
      <c r="W95" s="356"/>
      <c r="X95" s="356"/>
      <c r="Y95" s="356"/>
      <c r="Z95" s="356"/>
      <c r="AA95" s="247" t="str">
        <f>IF(ISBLANK(AB95),"",LARGE(AA72:AA94,1)+1)</f>
        <v/>
      </c>
      <c r="AB95" s="395"/>
      <c r="AC95" s="395"/>
      <c r="AD95" s="395"/>
      <c r="AE95" s="395"/>
      <c r="AF95" s="395"/>
      <c r="AG95" s="395"/>
      <c r="AH95" s="166" t="str">
        <f>IF(ISBLANK(AI95),"",LARGE(AH72:AH94,1)+1)</f>
        <v/>
      </c>
      <c r="AI95" s="395"/>
      <c r="AJ95" s="395"/>
      <c r="AK95" s="395"/>
      <c r="AL95" s="395"/>
      <c r="AM95" s="395"/>
      <c r="AN95" s="395"/>
      <c r="AO95" s="407"/>
      <c r="AP95" s="356"/>
      <c r="AQ95" s="378"/>
      <c r="AR95" s="378"/>
      <c r="AS95" s="378"/>
      <c r="AT95" s="378"/>
      <c r="AU95" s="378"/>
      <c r="AV95" s="378"/>
      <c r="AW95" s="378"/>
      <c r="AX95" s="378"/>
      <c r="AY95" s="378"/>
      <c r="AZ95" s="378"/>
      <c r="BA95" s="378"/>
      <c r="BB95" s="378"/>
      <c r="BC95" s="378"/>
      <c r="BD95" s="378"/>
      <c r="BE95" s="378"/>
      <c r="BF95" s="378"/>
      <c r="BG95" s="378"/>
      <c r="BH95" s="378"/>
      <c r="BI95" s="378"/>
      <c r="BJ95" s="378"/>
      <c r="BK95" s="378"/>
      <c r="BL95" s="378"/>
      <c r="BM95" s="381">
        <v>15.75</v>
      </c>
    </row>
    <row r="96" spans="1:65" ht="15.75" customHeight="1">
      <c r="A96" s="384"/>
      <c r="B96" s="299" t="s">
        <v>28</v>
      </c>
      <c r="C96" s="285">
        <f t="shared" si="34"/>
        <v>120</v>
      </c>
      <c r="D96" s="406">
        <v>1</v>
      </c>
      <c r="E96" s="338">
        <f t="shared" si="35"/>
        <v>120</v>
      </c>
      <c r="F96" s="405" t="str">
        <f>O88</f>
        <v>Morceaux</v>
      </c>
      <c r="G96" s="3552">
        <f>IF(E96=0,0,INT(E96/N88))</f>
        <v>2</v>
      </c>
      <c r="H96" s="3552"/>
      <c r="I96" s="404">
        <f>E96-(G96*N88)</f>
        <v>20</v>
      </c>
      <c r="J96" s="342" t="str">
        <f>IF(I96=0,0,O88)</f>
        <v>Morceaux</v>
      </c>
      <c r="K96" s="382"/>
      <c r="L96" s="291">
        <f t="shared" si="36"/>
        <v>3</v>
      </c>
      <c r="M96" s="403">
        <f>IF(I96=0,0,E96-(L96*N88))</f>
        <v>-30</v>
      </c>
      <c r="N96" s="402" t="str">
        <f>IF(M96=0,0,O88)</f>
        <v>Morceaux</v>
      </c>
      <c r="O96" s="400"/>
      <c r="P96" s="356"/>
      <c r="Q96" s="3543"/>
      <c r="R96" s="3544"/>
      <c r="S96" s="3545"/>
      <c r="T96" s="356"/>
      <c r="U96" s="356"/>
      <c r="V96" s="356"/>
      <c r="W96" s="356"/>
      <c r="X96" s="356"/>
      <c r="Y96" s="356"/>
      <c r="Z96" s="356"/>
      <c r="AA96" s="247" t="str">
        <f>IF(ISBLANK(AB96),"",LARGE(AA72:AA95,1)+1)</f>
        <v/>
      </c>
      <c r="AB96" s="395"/>
      <c r="AC96" s="395"/>
      <c r="AD96" s="395"/>
      <c r="AE96" s="395"/>
      <c r="AF96" s="395"/>
      <c r="AG96" s="395"/>
      <c r="AH96" s="166" t="str">
        <f>IF(ISBLANK(AI96),"",LARGE(AH72:AH95,1)+1)</f>
        <v/>
      </c>
      <c r="AI96" s="395"/>
      <c r="AJ96" s="395"/>
      <c r="AK96" s="395"/>
      <c r="AL96" s="395"/>
      <c r="AM96" s="395"/>
      <c r="AN96" s="395"/>
      <c r="AO96" s="407"/>
      <c r="AP96" s="356"/>
      <c r="AQ96" s="378"/>
      <c r="AR96" s="378"/>
      <c r="AS96" s="378"/>
      <c r="AT96" s="378"/>
      <c r="AU96" s="378"/>
      <c r="AV96" s="378"/>
      <c r="AW96" s="378"/>
      <c r="AX96" s="378"/>
      <c r="AY96" s="378"/>
      <c r="AZ96" s="378"/>
      <c r="BA96" s="378"/>
      <c r="BB96" s="378"/>
      <c r="BC96" s="378"/>
      <c r="BD96" s="378"/>
      <c r="BE96" s="378"/>
      <c r="BF96" s="378"/>
      <c r="BG96" s="378"/>
      <c r="BH96" s="378"/>
      <c r="BI96" s="378"/>
      <c r="BJ96" s="378"/>
      <c r="BK96" s="378"/>
      <c r="BL96" s="378"/>
      <c r="BM96" s="381">
        <v>15.75</v>
      </c>
    </row>
    <row r="97" spans="1:65" ht="15.75" customHeight="1">
      <c r="A97" s="384"/>
      <c r="B97" s="299" t="s">
        <v>136</v>
      </c>
      <c r="C97" s="285">
        <f t="shared" si="34"/>
        <v>60</v>
      </c>
      <c r="D97" s="406">
        <v>1</v>
      </c>
      <c r="E97" s="338">
        <f t="shared" si="35"/>
        <v>60</v>
      </c>
      <c r="F97" s="405" t="str">
        <f>O88</f>
        <v>Morceaux</v>
      </c>
      <c r="G97" s="3552">
        <f>IF(E97=0,0,INT(E97/N88))</f>
        <v>1</v>
      </c>
      <c r="H97" s="3552"/>
      <c r="I97" s="404">
        <f>E97-(G97*N88)</f>
        <v>10</v>
      </c>
      <c r="J97" s="342" t="str">
        <f>IF(I97=0,0,O88)</f>
        <v>Morceaux</v>
      </c>
      <c r="K97" s="382"/>
      <c r="L97" s="291">
        <f t="shared" si="36"/>
        <v>2</v>
      </c>
      <c r="M97" s="403">
        <f>IF(I97=0,0,E97-(L97*N88))</f>
        <v>-40</v>
      </c>
      <c r="N97" s="402" t="str">
        <f>IF(M97=0,0,O88)</f>
        <v>Morceaux</v>
      </c>
      <c r="O97" s="400"/>
      <c r="P97" s="356"/>
      <c r="Q97" s="3543" t="s">
        <v>145</v>
      </c>
      <c r="R97" s="3544"/>
      <c r="S97" s="3545"/>
      <c r="T97" s="356"/>
      <c r="U97" s="356"/>
      <c r="V97" s="356"/>
      <c r="W97" s="356"/>
      <c r="X97" s="356"/>
      <c r="Y97" s="356"/>
      <c r="Z97" s="356"/>
      <c r="AA97" s="247" t="str">
        <f>IF(ISBLANK(AB97),"",LARGE(AA72:AA96,1)+1)</f>
        <v/>
      </c>
      <c r="AB97" s="395"/>
      <c r="AC97" s="395"/>
      <c r="AD97" s="395"/>
      <c r="AE97" s="395"/>
      <c r="AF97" s="395"/>
      <c r="AG97" s="395"/>
      <c r="AH97" s="166" t="str">
        <f>IF(ISBLANK(AI97),"",LARGE(AH72:AH96,1)+1)</f>
        <v/>
      </c>
      <c r="AI97" s="395"/>
      <c r="AJ97" s="395"/>
      <c r="AK97" s="395"/>
      <c r="AL97" s="395"/>
      <c r="AM97" s="395"/>
      <c r="AN97" s="395"/>
      <c r="AO97" s="407"/>
      <c r="AP97" s="356"/>
      <c r="AQ97" s="378"/>
      <c r="AR97" s="378"/>
      <c r="AS97" s="378"/>
      <c r="AT97" s="378"/>
      <c r="AU97" s="378"/>
      <c r="AV97" s="378"/>
      <c r="AW97" s="378"/>
      <c r="AX97" s="378"/>
      <c r="AY97" s="378"/>
      <c r="AZ97" s="378"/>
      <c r="BA97" s="378"/>
      <c r="BB97" s="378"/>
      <c r="BC97" s="378"/>
      <c r="BD97" s="378"/>
      <c r="BE97" s="378"/>
      <c r="BF97" s="378"/>
      <c r="BG97" s="378"/>
      <c r="BH97" s="378"/>
      <c r="BI97" s="378"/>
      <c r="BJ97" s="378"/>
      <c r="BK97" s="378"/>
      <c r="BL97" s="378"/>
      <c r="BM97" s="381">
        <v>15.75</v>
      </c>
    </row>
    <row r="98" spans="1:65" ht="15.75" customHeight="1">
      <c r="A98" s="384"/>
      <c r="B98" s="299" t="s">
        <v>56</v>
      </c>
      <c r="C98" s="285">
        <f t="shared" si="34"/>
        <v>20</v>
      </c>
      <c r="D98" s="406">
        <v>1</v>
      </c>
      <c r="E98" s="338">
        <f t="shared" si="35"/>
        <v>20</v>
      </c>
      <c r="F98" s="405" t="str">
        <f>O88</f>
        <v>Morceaux</v>
      </c>
      <c r="G98" s="3552">
        <f>IF(E98=0,0,INT(E98/N88))</f>
        <v>0</v>
      </c>
      <c r="H98" s="3552"/>
      <c r="I98" s="404">
        <f>E98-(G98*N88)</f>
        <v>20</v>
      </c>
      <c r="J98" s="342" t="str">
        <f>IF(I98=0,0,O88)</f>
        <v>Morceaux</v>
      </c>
      <c r="K98" s="382"/>
      <c r="L98" s="291">
        <f t="shared" si="36"/>
        <v>1</v>
      </c>
      <c r="M98" s="403">
        <f>IF(I98=0,0,E98-(L98*N88))</f>
        <v>-30</v>
      </c>
      <c r="N98" s="402" t="str">
        <f>IF(M98=0,0,O88)</f>
        <v>Morceaux</v>
      </c>
      <c r="O98" s="400"/>
      <c r="P98" s="356"/>
      <c r="Q98" s="3543"/>
      <c r="R98" s="3544"/>
      <c r="S98" s="3923"/>
      <c r="T98" s="356"/>
      <c r="U98" s="356"/>
      <c r="V98" s="356"/>
      <c r="W98" s="356"/>
      <c r="X98" s="356"/>
      <c r="Y98" s="356"/>
      <c r="Z98" s="356"/>
      <c r="AA98" s="247" t="str">
        <f>IF(ISBLANK(AB98),"",LARGE(AA72:AA97,1)+1)</f>
        <v/>
      </c>
      <c r="AB98" s="395"/>
      <c r="AC98" s="395"/>
      <c r="AD98" s="395"/>
      <c r="AE98" s="395"/>
      <c r="AF98" s="395"/>
      <c r="AG98" s="395"/>
      <c r="AH98" s="166" t="str">
        <f>IF(ISBLANK(AI98),"",LARGE(AH72:AH97,1)+1)</f>
        <v/>
      </c>
      <c r="AI98" s="395"/>
      <c r="AJ98" s="395"/>
      <c r="AK98" s="395"/>
      <c r="AL98" s="395"/>
      <c r="AM98" s="395"/>
      <c r="AN98" s="395"/>
      <c r="AO98" s="394"/>
      <c r="AP98" s="356"/>
      <c r="AQ98" s="378"/>
      <c r="AR98" s="378"/>
      <c r="AS98" s="378"/>
      <c r="AT98" s="378"/>
      <c r="AU98" s="378"/>
      <c r="AV98" s="378"/>
      <c r="AW98" s="378"/>
      <c r="AX98" s="378"/>
      <c r="AY98" s="378"/>
      <c r="AZ98" s="378"/>
      <c r="BA98" s="378"/>
      <c r="BB98" s="378"/>
      <c r="BC98" s="378"/>
      <c r="BD98" s="378"/>
      <c r="BE98" s="378"/>
      <c r="BF98" s="378"/>
      <c r="BG98" s="378"/>
      <c r="BH98" s="378"/>
      <c r="BI98" s="378"/>
      <c r="BJ98" s="378"/>
      <c r="BK98" s="378"/>
      <c r="BL98" s="378"/>
      <c r="BM98" s="381">
        <v>15.75</v>
      </c>
    </row>
    <row r="99" spans="1:65" ht="15.75" customHeight="1" thickBot="1">
      <c r="A99" s="378"/>
      <c r="B99" s="299" t="s">
        <v>57</v>
      </c>
      <c r="C99" s="285">
        <f t="shared" si="34"/>
        <v>12</v>
      </c>
      <c r="D99" s="406">
        <v>1</v>
      </c>
      <c r="E99" s="338">
        <f t="shared" si="35"/>
        <v>12</v>
      </c>
      <c r="F99" s="405" t="str">
        <f>O88</f>
        <v>Morceaux</v>
      </c>
      <c r="G99" s="3552">
        <f>IF(E99=0,0,INT(E99/N88))</f>
        <v>0</v>
      </c>
      <c r="H99" s="3552"/>
      <c r="I99" s="404">
        <f>E99-(G99*N88)</f>
        <v>12</v>
      </c>
      <c r="J99" s="342" t="str">
        <f>IF(I99=0,0,O88)</f>
        <v>Morceaux</v>
      </c>
      <c r="K99" s="382"/>
      <c r="L99" s="291">
        <f t="shared" si="36"/>
        <v>1</v>
      </c>
      <c r="M99" s="403">
        <f>IF(I99=0,0,E99-(L99*N88))</f>
        <v>-38</v>
      </c>
      <c r="N99" s="402" t="str">
        <f>IF(M99=0,0,O88)</f>
        <v>Morceaux</v>
      </c>
      <c r="O99" s="400"/>
      <c r="P99" s="356"/>
      <c r="Q99" s="3546"/>
      <c r="R99" s="3547"/>
      <c r="S99" s="3548"/>
      <c r="T99" s="356"/>
      <c r="U99" s="356"/>
      <c r="V99" s="356"/>
      <c r="W99" s="356"/>
      <c r="X99" s="356"/>
      <c r="Y99" s="356"/>
      <c r="Z99" s="356"/>
      <c r="AA99" s="247" t="str">
        <f>IF(ISBLANK(AB99),"",LARGE(AA72:AA98,1)+1)</f>
        <v/>
      </c>
      <c r="AB99" s="395"/>
      <c r="AC99" s="395"/>
      <c r="AD99" s="395"/>
      <c r="AE99" s="395"/>
      <c r="AF99" s="395"/>
      <c r="AG99" s="395"/>
      <c r="AH99" s="166" t="str">
        <f>IF(ISBLANK(AI99),"",LARGE(AH72:AH98,1)+1)</f>
        <v/>
      </c>
      <c r="AI99" s="395"/>
      <c r="AJ99" s="395"/>
      <c r="AK99" s="395"/>
      <c r="AL99" s="395"/>
      <c r="AM99" s="395"/>
      <c r="AN99" s="395"/>
      <c r="AO99" s="394"/>
      <c r="AP99" s="378"/>
      <c r="AQ99" s="378"/>
      <c r="AR99" s="378"/>
      <c r="AS99" s="378"/>
      <c r="AT99" s="378"/>
      <c r="AU99" s="378"/>
      <c r="AV99" s="378"/>
      <c r="AW99" s="378"/>
      <c r="AX99" s="378"/>
      <c r="AY99" s="378"/>
      <c r="AZ99" s="378"/>
      <c r="BA99" s="378"/>
      <c r="BB99" s="378"/>
      <c r="BC99" s="378"/>
      <c r="BD99" s="378"/>
      <c r="BE99" s="378"/>
      <c r="BF99" s="378"/>
      <c r="BG99" s="378"/>
      <c r="BH99" s="378"/>
      <c r="BI99" s="378"/>
      <c r="BJ99" s="378"/>
      <c r="BK99" s="378"/>
      <c r="BL99" s="378"/>
      <c r="BM99" s="381">
        <v>15.75</v>
      </c>
    </row>
    <row r="100" spans="1:65" ht="15.75" customHeight="1">
      <c r="A100" s="378"/>
      <c r="B100" s="393"/>
      <c r="C100" s="382"/>
      <c r="D100" s="382"/>
      <c r="E100" s="382"/>
      <c r="F100" s="382"/>
      <c r="G100" s="344" t="s">
        <v>139</v>
      </c>
      <c r="H100" s="344"/>
      <c r="I100" s="344"/>
      <c r="J100" s="344"/>
      <c r="K100" s="401"/>
      <c r="L100" s="344"/>
      <c r="M100" s="344"/>
      <c r="N100" s="344"/>
      <c r="O100" s="400"/>
      <c r="P100" s="356"/>
      <c r="Q100" s="356"/>
      <c r="R100" s="356"/>
      <c r="S100" s="356"/>
      <c r="T100" s="356"/>
      <c r="U100" s="356"/>
      <c r="V100" s="356"/>
      <c r="W100" s="356"/>
      <c r="X100" s="356"/>
      <c r="Y100" s="356"/>
      <c r="Z100" s="356"/>
      <c r="AA100" s="247" t="str">
        <f>IF(ISBLANK(AB100),"",LARGE(AA72:AA99,1)+1)</f>
        <v/>
      </c>
      <c r="AB100" s="395"/>
      <c r="AC100" s="395"/>
      <c r="AD100" s="395"/>
      <c r="AE100" s="395"/>
      <c r="AF100" s="395"/>
      <c r="AG100" s="395"/>
      <c r="AH100" s="166" t="str">
        <f>IF(ISBLANK(AI100),"",LARGE(AH72:AH99,1)+1)</f>
        <v/>
      </c>
      <c r="AI100" s="395"/>
      <c r="AJ100" s="395"/>
      <c r="AK100" s="395"/>
      <c r="AL100" s="395"/>
      <c r="AM100" s="395"/>
      <c r="AN100" s="395"/>
      <c r="AO100" s="394"/>
      <c r="AP100" s="378"/>
      <c r="AQ100" s="378"/>
      <c r="AR100" s="378"/>
      <c r="AS100" s="378"/>
      <c r="AT100" s="378"/>
      <c r="AU100" s="378"/>
      <c r="AV100" s="378"/>
      <c r="AW100" s="378"/>
      <c r="AX100" s="378"/>
      <c r="AY100" s="378"/>
      <c r="AZ100" s="378"/>
      <c r="BA100" s="378"/>
      <c r="BB100" s="378"/>
      <c r="BC100" s="378"/>
      <c r="BD100" s="378"/>
      <c r="BE100" s="378"/>
      <c r="BF100" s="378"/>
      <c r="BG100" s="378"/>
      <c r="BH100" s="378"/>
      <c r="BI100" s="378"/>
      <c r="BJ100" s="378"/>
      <c r="BK100" s="378"/>
      <c r="BL100" s="378"/>
      <c r="BM100" s="381">
        <v>15.75</v>
      </c>
    </row>
    <row r="101" spans="1:65" ht="15.75" customHeight="1">
      <c r="A101" s="378"/>
      <c r="B101" s="393"/>
      <c r="C101" s="382"/>
      <c r="D101" s="382"/>
      <c r="E101" s="382"/>
      <c r="F101" s="382"/>
      <c r="G101" s="3560">
        <f>IF(G102=0,0,INT(G102/N88))</f>
        <v>10</v>
      </c>
      <c r="H101" s="3560"/>
      <c r="I101" s="399" t="s">
        <v>140</v>
      </c>
      <c r="J101" s="398">
        <f>D91-G102</f>
        <v>97</v>
      </c>
      <c r="K101" s="397" t="str">
        <f>O88</f>
        <v>Morceaux</v>
      </c>
      <c r="L101" s="3554" t="s">
        <v>141</v>
      </c>
      <c r="M101" s="3554"/>
      <c r="N101" s="3555">
        <f>COUNTIF(I94:I99,"&gt;0")</f>
        <v>6</v>
      </c>
      <c r="O101" s="3549" t="s">
        <v>142</v>
      </c>
      <c r="P101" s="356"/>
      <c r="Q101" s="356"/>
      <c r="R101" s="356"/>
      <c r="S101" s="356"/>
      <c r="T101" s="356"/>
      <c r="U101" s="356"/>
      <c r="V101" s="356"/>
      <c r="W101" s="356"/>
      <c r="X101" s="356"/>
      <c r="Y101" s="356"/>
      <c r="Z101" s="356"/>
      <c r="AA101" s="247" t="str">
        <f>IF(ISBLANK(AB101),"",LARGE(AA72:AA100,1)+1)</f>
        <v/>
      </c>
      <c r="AB101" s="395"/>
      <c r="AC101" s="395"/>
      <c r="AD101" s="395"/>
      <c r="AE101" s="395"/>
      <c r="AF101" s="395"/>
      <c r="AG101" s="395"/>
      <c r="AH101" s="396" t="str">
        <f>IF(ISBLANK(AI101),"",LARGE(AH72:AH100,1)+1)</f>
        <v/>
      </c>
      <c r="AI101" s="395"/>
      <c r="AJ101" s="395"/>
      <c r="AK101" s="395"/>
      <c r="AL101" s="395"/>
      <c r="AM101" s="395"/>
      <c r="AN101" s="395"/>
      <c r="AO101" s="394"/>
      <c r="AP101" s="378"/>
      <c r="AQ101" s="378"/>
      <c r="AR101" s="378"/>
      <c r="AS101" s="378"/>
      <c r="AT101" s="378"/>
      <c r="AU101" s="378"/>
      <c r="AV101" s="378"/>
      <c r="AW101" s="378"/>
      <c r="AX101" s="378"/>
      <c r="AY101" s="378"/>
      <c r="AZ101" s="378"/>
      <c r="BA101" s="378"/>
      <c r="BB101" s="378"/>
      <c r="BC101" s="378"/>
      <c r="BD101" s="378"/>
      <c r="BE101" s="378"/>
      <c r="BF101" s="378"/>
      <c r="BG101" s="378"/>
      <c r="BH101" s="378"/>
      <c r="BI101" s="378"/>
      <c r="BJ101" s="378"/>
      <c r="BK101" s="378"/>
      <c r="BL101" s="378"/>
      <c r="BM101" s="381">
        <v>15.75</v>
      </c>
    </row>
    <row r="102" spans="1:65" ht="15.75" customHeight="1" thickBot="1">
      <c r="A102" s="378"/>
      <c r="B102" s="393"/>
      <c r="C102" s="382"/>
      <c r="D102" s="382"/>
      <c r="E102" s="382"/>
      <c r="F102" s="382"/>
      <c r="G102" s="3924">
        <f>SUM(G94:H99)*N88</f>
        <v>500</v>
      </c>
      <c r="H102" s="3924"/>
      <c r="I102" s="391" t="str">
        <f>O88</f>
        <v>Morceaux</v>
      </c>
      <c r="J102" s="390">
        <f>G102+J101</f>
        <v>597</v>
      </c>
      <c r="K102" s="382"/>
      <c r="L102" s="3554"/>
      <c r="M102" s="3554"/>
      <c r="N102" s="3555"/>
      <c r="O102" s="3549"/>
      <c r="P102" s="356"/>
      <c r="Q102" s="356"/>
      <c r="R102" s="356"/>
      <c r="S102" s="356"/>
      <c r="T102" s="356"/>
      <c r="U102" s="356"/>
      <c r="V102" s="356"/>
      <c r="W102" s="356"/>
      <c r="X102" s="356"/>
      <c r="Y102" s="356"/>
      <c r="Z102" s="356"/>
      <c r="AA102" s="248">
        <v>11</v>
      </c>
      <c r="AB102" s="389">
        <v>11</v>
      </c>
      <c r="AC102" s="389">
        <v>11</v>
      </c>
      <c r="AD102" s="389">
        <v>11</v>
      </c>
      <c r="AE102" s="389">
        <v>11</v>
      </c>
      <c r="AF102" s="389">
        <v>15</v>
      </c>
      <c r="AG102" s="389">
        <v>15</v>
      </c>
      <c r="AH102" s="389">
        <v>11</v>
      </c>
      <c r="AI102" s="389">
        <v>11</v>
      </c>
      <c r="AJ102" s="389">
        <v>11</v>
      </c>
      <c r="AK102" s="389">
        <v>11</v>
      </c>
      <c r="AL102" s="389">
        <v>11</v>
      </c>
      <c r="AM102" s="389">
        <v>11</v>
      </c>
      <c r="AN102" s="389">
        <v>11</v>
      </c>
      <c r="AO102" s="388">
        <v>7</v>
      </c>
      <c r="AP102" s="378"/>
      <c r="AQ102" s="378"/>
      <c r="AR102" s="378"/>
      <c r="AS102" s="378"/>
      <c r="AT102" s="378"/>
      <c r="AU102" s="378"/>
      <c r="AV102" s="378"/>
      <c r="AW102" s="378"/>
      <c r="AX102" s="378"/>
      <c r="AY102" s="378"/>
      <c r="AZ102" s="378"/>
      <c r="BA102" s="378"/>
      <c r="BB102" s="378"/>
      <c r="BC102" s="378"/>
      <c r="BD102" s="378"/>
      <c r="BE102" s="378"/>
      <c r="BF102" s="378"/>
      <c r="BG102" s="378"/>
      <c r="BH102" s="378"/>
      <c r="BI102" s="378"/>
      <c r="BJ102" s="378"/>
      <c r="BK102" s="378"/>
      <c r="BL102" s="378"/>
      <c r="BM102" s="381">
        <v>15.75</v>
      </c>
    </row>
    <row r="103" spans="1:65" ht="15.75" customHeight="1" thickBot="1">
      <c r="A103" s="384"/>
      <c r="B103" s="387"/>
      <c r="C103" s="386"/>
      <c r="D103" s="386"/>
      <c r="E103" s="386"/>
      <c r="F103" s="386"/>
      <c r="G103" s="386"/>
      <c r="H103" s="386"/>
      <c r="I103" s="386"/>
      <c r="J103" s="386"/>
      <c r="K103" s="386"/>
      <c r="L103" s="386"/>
      <c r="M103" s="386"/>
      <c r="N103" s="386"/>
      <c r="O103" s="385"/>
      <c r="P103" s="356"/>
      <c r="Q103" s="356"/>
      <c r="R103" s="356"/>
      <c r="S103" s="356"/>
      <c r="T103" s="356"/>
      <c r="U103" s="356"/>
      <c r="V103" s="356"/>
      <c r="W103" s="356"/>
      <c r="X103" s="356"/>
      <c r="Y103" s="356"/>
      <c r="Z103" s="356"/>
      <c r="AA103" s="3345">
        <v>11</v>
      </c>
      <c r="AB103" s="3345">
        <v>11</v>
      </c>
      <c r="AC103" s="3345">
        <v>11</v>
      </c>
      <c r="AD103" s="3345">
        <v>11</v>
      </c>
      <c r="AE103" s="3345">
        <v>11</v>
      </c>
      <c r="AF103" s="3345">
        <v>15</v>
      </c>
      <c r="AG103" s="3345">
        <v>15</v>
      </c>
      <c r="AH103" s="3345">
        <v>11</v>
      </c>
      <c r="AI103" s="3345">
        <v>11</v>
      </c>
      <c r="AJ103" s="3345">
        <v>11</v>
      </c>
      <c r="AK103" s="3345">
        <v>11</v>
      </c>
      <c r="AL103" s="3345">
        <v>11</v>
      </c>
      <c r="AM103" s="3345">
        <v>11</v>
      </c>
      <c r="AN103" s="3345">
        <v>11</v>
      </c>
      <c r="AO103" s="3345">
        <v>7</v>
      </c>
      <c r="AP103" s="356"/>
      <c r="AQ103" s="356"/>
      <c r="AR103" s="356"/>
      <c r="AS103" s="356"/>
      <c r="AT103" s="378"/>
      <c r="AU103" s="378"/>
      <c r="AV103" s="378"/>
      <c r="AW103" s="378"/>
      <c r="AX103" s="378"/>
      <c r="AY103" s="378"/>
      <c r="AZ103" s="378"/>
      <c r="BA103" s="378"/>
      <c r="BB103" s="378"/>
      <c r="BC103" s="378"/>
      <c r="BD103" s="378"/>
      <c r="BE103" s="378"/>
      <c r="BF103" s="378"/>
      <c r="BG103" s="378"/>
      <c r="BH103" s="378"/>
      <c r="BI103" s="378"/>
      <c r="BJ103" s="378"/>
      <c r="BK103" s="378"/>
      <c r="BL103" s="378"/>
      <c r="BM103" s="381">
        <v>15.75</v>
      </c>
    </row>
    <row r="104" spans="1:65" ht="24.95" customHeight="1">
      <c r="A104" s="384"/>
      <c r="B104" s="8"/>
      <c r="C104" s="8"/>
      <c r="D104" s="8" t="s">
        <v>148</v>
      </c>
      <c r="E104" s="8"/>
      <c r="F104" s="8"/>
      <c r="G104" s="8"/>
      <c r="H104" s="8"/>
      <c r="I104" s="8"/>
      <c r="J104" s="8"/>
      <c r="K104" s="8"/>
      <c r="L104" s="8"/>
      <c r="M104" s="8"/>
      <c r="N104" s="8"/>
      <c r="O104" s="8"/>
      <c r="P104" s="356"/>
      <c r="Q104" s="356"/>
      <c r="R104" s="356"/>
      <c r="S104" s="356"/>
      <c r="T104" s="356"/>
      <c r="U104" s="356"/>
      <c r="V104" s="356"/>
      <c r="W104" s="356"/>
      <c r="X104" s="356"/>
      <c r="Y104" s="356"/>
      <c r="Z104" s="356"/>
      <c r="AA104" s="356"/>
      <c r="AB104" s="356"/>
      <c r="AC104" s="356"/>
      <c r="AD104" s="356"/>
      <c r="AE104" s="356"/>
      <c r="AF104" s="356"/>
      <c r="AG104" s="356"/>
      <c r="AH104" s="356"/>
      <c r="AI104" s="356"/>
      <c r="AJ104" s="356"/>
      <c r="AK104" s="356"/>
      <c r="AL104" s="356"/>
      <c r="AM104" s="356"/>
      <c r="AN104" s="356"/>
      <c r="AO104" s="356"/>
      <c r="AP104" s="356"/>
      <c r="AQ104" s="356"/>
      <c r="AR104" s="356"/>
      <c r="AS104" s="356"/>
      <c r="AT104" s="378"/>
      <c r="AU104" s="378"/>
      <c r="AV104" s="378"/>
      <c r="AW104" s="378"/>
      <c r="AX104" s="378"/>
      <c r="AY104" s="378"/>
      <c r="AZ104" s="378"/>
      <c r="BA104" s="378"/>
      <c r="BB104" s="378"/>
      <c r="BC104" s="378"/>
      <c r="BD104" s="378"/>
      <c r="BE104" s="378"/>
      <c r="BF104" s="378"/>
      <c r="BG104" s="378"/>
      <c r="BH104" s="378"/>
      <c r="BI104" s="378"/>
      <c r="BJ104" s="378"/>
      <c r="BK104" s="378"/>
      <c r="BL104" s="378"/>
      <c r="BM104" s="381">
        <v>25</v>
      </c>
    </row>
    <row r="105" spans="1:65" ht="24.95" customHeight="1">
      <c r="A105" s="384"/>
      <c r="B105" s="356"/>
      <c r="C105" s="357"/>
      <c r="D105" s="358" t="s">
        <v>149</v>
      </c>
      <c r="E105" s="356">
        <v>16</v>
      </c>
      <c r="F105" s="356" t="s">
        <v>150</v>
      </c>
      <c r="G105" s="382"/>
      <c r="H105" s="382"/>
      <c r="I105" s="382"/>
      <c r="J105" s="358" t="s">
        <v>151</v>
      </c>
      <c r="K105" s="356">
        <v>60</v>
      </c>
      <c r="L105" s="356" t="s">
        <v>152</v>
      </c>
      <c r="M105" s="382"/>
      <c r="N105" s="382"/>
      <c r="O105" s="382"/>
      <c r="P105" s="356"/>
      <c r="Q105" s="356"/>
      <c r="R105" s="356"/>
      <c r="S105" s="356"/>
      <c r="T105" s="356"/>
      <c r="U105" s="356"/>
      <c r="V105" s="356"/>
      <c r="W105" s="356"/>
      <c r="X105" s="356"/>
      <c r="Y105" s="356"/>
      <c r="Z105" s="356"/>
      <c r="AA105" s="356"/>
      <c r="AB105" s="356"/>
      <c r="AC105" s="356"/>
      <c r="AD105" s="356"/>
      <c r="AE105" s="356"/>
      <c r="AF105" s="356"/>
      <c r="AG105" s="356"/>
      <c r="AH105" s="356"/>
      <c r="AI105" s="356"/>
      <c r="AJ105" s="356"/>
      <c r="AK105" s="356"/>
      <c r="AL105" s="356"/>
      <c r="AM105" s="356"/>
      <c r="AN105" s="356"/>
      <c r="AO105" s="356"/>
      <c r="AP105" s="356"/>
      <c r="AQ105" s="356"/>
      <c r="AR105" s="356"/>
      <c r="AS105" s="356"/>
      <c r="AT105" s="378"/>
      <c r="AU105" s="378"/>
      <c r="AV105" s="378"/>
      <c r="AW105" s="378"/>
      <c r="AX105" s="378"/>
      <c r="AY105" s="378"/>
      <c r="AZ105" s="378"/>
      <c r="BA105" s="378"/>
      <c r="BB105" s="378"/>
      <c r="BC105" s="378"/>
      <c r="BD105" s="378"/>
      <c r="BE105" s="378"/>
      <c r="BF105" s="378"/>
      <c r="BG105" s="378"/>
      <c r="BH105" s="378"/>
      <c r="BI105" s="378"/>
      <c r="BJ105" s="378"/>
      <c r="BK105" s="378"/>
      <c r="BL105" s="378"/>
      <c r="BM105" s="381">
        <v>25</v>
      </c>
    </row>
    <row r="106" spans="1:65" ht="24.95" customHeight="1">
      <c r="A106" s="255"/>
      <c r="B106" s="356"/>
      <c r="C106" s="359"/>
      <c r="D106" s="358" t="s">
        <v>153</v>
      </c>
      <c r="E106" s="356">
        <v>24</v>
      </c>
      <c r="F106" s="356" t="s">
        <v>150</v>
      </c>
      <c r="G106" s="382"/>
      <c r="H106" s="382"/>
      <c r="I106" s="382"/>
      <c r="J106" s="358" t="s">
        <v>154</v>
      </c>
      <c r="K106" s="356">
        <v>20</v>
      </c>
      <c r="L106" s="356" t="s">
        <v>155</v>
      </c>
      <c r="M106" s="382"/>
      <c r="N106" s="382"/>
      <c r="O106" s="382"/>
      <c r="P106" s="356"/>
      <c r="Q106" s="356"/>
      <c r="R106" s="356"/>
      <c r="S106" s="356"/>
      <c r="T106" s="356"/>
      <c r="U106" s="356"/>
      <c r="V106" s="356"/>
      <c r="W106" s="356"/>
      <c r="X106" s="356"/>
      <c r="Y106" s="356"/>
      <c r="Z106" s="356"/>
      <c r="AA106" s="356"/>
      <c r="AB106" s="356"/>
      <c r="AC106" s="356"/>
      <c r="AD106" s="356"/>
      <c r="AE106" s="356"/>
      <c r="AF106" s="356"/>
      <c r="AG106" s="356"/>
      <c r="AH106" s="356"/>
      <c r="AI106" s="356"/>
      <c r="AJ106" s="356"/>
      <c r="AK106" s="356"/>
      <c r="AL106" s="356"/>
      <c r="AM106" s="356"/>
      <c r="AN106" s="356"/>
      <c r="AO106" s="356"/>
      <c r="AP106" s="356"/>
      <c r="AQ106" s="356"/>
      <c r="AR106" s="356"/>
      <c r="AS106" s="356"/>
      <c r="AT106" s="378"/>
      <c r="AU106" s="378"/>
      <c r="AV106" s="378"/>
      <c r="AW106" s="378"/>
      <c r="AX106" s="378"/>
      <c r="AY106" s="378"/>
      <c r="AZ106" s="378"/>
      <c r="BA106" s="378"/>
      <c r="BB106" s="378"/>
      <c r="BC106" s="378"/>
      <c r="BD106" s="378"/>
      <c r="BE106" s="378"/>
      <c r="BF106" s="378"/>
      <c r="BG106" s="378"/>
      <c r="BH106" s="378"/>
      <c r="BI106" s="378"/>
      <c r="BJ106" s="378"/>
      <c r="BK106" s="378"/>
      <c r="BL106" s="378"/>
      <c r="BM106" s="381">
        <v>25</v>
      </c>
    </row>
    <row r="107" spans="1:65" ht="24.95" customHeight="1">
      <c r="A107" s="255"/>
      <c r="B107" s="356"/>
      <c r="C107" s="382"/>
      <c r="D107" s="358" t="s">
        <v>156</v>
      </c>
      <c r="E107" s="356">
        <v>20</v>
      </c>
      <c r="F107" s="356" t="s">
        <v>150</v>
      </c>
      <c r="G107" s="382"/>
      <c r="H107" s="382"/>
      <c r="I107" s="382"/>
      <c r="J107" s="358" t="s">
        <v>157</v>
      </c>
      <c r="K107" s="356">
        <v>3</v>
      </c>
      <c r="L107" s="356" t="s">
        <v>22</v>
      </c>
      <c r="M107" s="382"/>
      <c r="N107" s="382"/>
      <c r="O107" s="382"/>
      <c r="P107" s="356"/>
      <c r="Q107" s="356"/>
      <c r="R107" s="356"/>
      <c r="S107" s="356"/>
      <c r="T107" s="356"/>
      <c r="U107" s="356"/>
      <c r="V107" s="356"/>
      <c r="W107" s="356"/>
      <c r="X107" s="356"/>
      <c r="Y107" s="356"/>
      <c r="Z107" s="356"/>
      <c r="AA107" s="356"/>
      <c r="AB107" s="356"/>
      <c r="AC107" s="356"/>
      <c r="AD107" s="356"/>
      <c r="AE107" s="356"/>
      <c r="AF107" s="356"/>
      <c r="AG107" s="356"/>
      <c r="AH107" s="356"/>
      <c r="AI107" s="356"/>
      <c r="AJ107" s="356"/>
      <c r="AK107" s="356"/>
      <c r="AL107" s="356"/>
      <c r="AM107" s="356"/>
      <c r="AN107" s="356"/>
      <c r="AO107" s="356"/>
      <c r="AP107" s="356"/>
      <c r="AQ107" s="356"/>
      <c r="AR107" s="356"/>
      <c r="AS107" s="356"/>
      <c r="AT107" s="378"/>
      <c r="AU107" s="378"/>
      <c r="AV107" s="378"/>
      <c r="AW107" s="378"/>
      <c r="AX107" s="378"/>
      <c r="AY107" s="378"/>
      <c r="AZ107" s="378"/>
      <c r="BA107" s="378"/>
      <c r="BB107" s="378"/>
      <c r="BC107" s="378"/>
      <c r="BD107" s="378"/>
      <c r="BE107" s="378"/>
      <c r="BF107" s="378"/>
      <c r="BG107" s="378"/>
      <c r="BH107" s="378"/>
      <c r="BI107" s="378"/>
      <c r="BJ107" s="378"/>
      <c r="BK107" s="378"/>
      <c r="BL107" s="378"/>
      <c r="BM107" s="381">
        <v>25</v>
      </c>
    </row>
    <row r="108" spans="1:65" ht="24.95" customHeight="1">
      <c r="A108" s="380"/>
      <c r="B108" s="356"/>
      <c r="C108" s="382"/>
      <c r="D108" s="358" t="s">
        <v>158</v>
      </c>
      <c r="E108" s="356">
        <v>25</v>
      </c>
      <c r="F108" s="356" t="s">
        <v>159</v>
      </c>
      <c r="G108" s="382"/>
      <c r="H108" s="382"/>
      <c r="I108" s="382"/>
      <c r="J108" s="358" t="s">
        <v>160</v>
      </c>
      <c r="K108" s="356">
        <v>7.2</v>
      </c>
      <c r="L108" s="383" t="s">
        <v>22</v>
      </c>
      <c r="M108" s="382"/>
      <c r="N108" s="382"/>
      <c r="O108" s="382"/>
      <c r="P108" s="356"/>
      <c r="Q108" s="356"/>
      <c r="R108" s="356"/>
      <c r="S108" s="356"/>
      <c r="T108" s="356"/>
      <c r="U108" s="356"/>
      <c r="V108" s="356"/>
      <c r="W108" s="356"/>
      <c r="X108" s="356"/>
      <c r="Y108" s="356"/>
      <c r="Z108" s="356"/>
      <c r="AA108" s="356"/>
      <c r="AB108" s="356"/>
      <c r="AC108" s="356"/>
      <c r="AD108" s="356"/>
      <c r="AE108" s="356"/>
      <c r="AF108" s="356"/>
      <c r="AG108" s="356"/>
      <c r="AH108" s="356"/>
      <c r="AI108" s="356"/>
      <c r="AJ108" s="356"/>
      <c r="AK108" s="356"/>
      <c r="AL108" s="356"/>
      <c r="AM108" s="356"/>
      <c r="AN108" s="356"/>
      <c r="AO108" s="356"/>
      <c r="AP108" s="356"/>
      <c r="AQ108" s="356"/>
      <c r="AR108" s="356"/>
      <c r="AS108" s="356"/>
      <c r="AT108" s="378"/>
      <c r="AU108" s="378"/>
      <c r="AV108" s="378"/>
      <c r="AW108" s="378"/>
      <c r="AX108" s="378"/>
      <c r="AY108" s="378"/>
      <c r="AZ108" s="378"/>
      <c r="BA108" s="378"/>
      <c r="BB108" s="378"/>
      <c r="BC108" s="378"/>
      <c r="BD108" s="378"/>
      <c r="BE108" s="378"/>
      <c r="BF108" s="378"/>
      <c r="BG108" s="378"/>
      <c r="BH108" s="378"/>
      <c r="BI108" s="378"/>
      <c r="BJ108" s="378"/>
      <c r="BK108" s="378"/>
      <c r="BL108" s="378"/>
      <c r="BM108" s="381">
        <v>25</v>
      </c>
    </row>
    <row r="109" spans="1:65" ht="15" customHeight="1">
      <c r="A109" s="380"/>
      <c r="B109" s="382"/>
      <c r="C109" s="382"/>
      <c r="D109" s="358" t="s">
        <v>161</v>
      </c>
      <c r="E109" s="356">
        <v>25</v>
      </c>
      <c r="F109" s="356" t="s">
        <v>162</v>
      </c>
      <c r="G109" s="382"/>
      <c r="H109" s="382"/>
      <c r="I109" s="382"/>
      <c r="J109" s="358" t="s">
        <v>163</v>
      </c>
      <c r="K109" s="356">
        <v>4</v>
      </c>
      <c r="L109" s="383" t="s">
        <v>22</v>
      </c>
      <c r="M109" s="382"/>
      <c r="N109" s="382"/>
      <c r="O109" s="382"/>
      <c r="P109" s="356"/>
      <c r="Q109" s="356"/>
      <c r="R109" s="356"/>
      <c r="S109" s="356"/>
      <c r="T109" s="356"/>
      <c r="U109" s="356"/>
      <c r="V109" s="356"/>
      <c r="W109" s="356"/>
      <c r="X109" s="356"/>
      <c r="Y109" s="356"/>
      <c r="Z109" s="356"/>
      <c r="AA109" s="356"/>
      <c r="AB109" s="356"/>
      <c r="AC109" s="356"/>
      <c r="AD109" s="356"/>
      <c r="AE109" s="356"/>
      <c r="AF109" s="356"/>
      <c r="AG109" s="356"/>
      <c r="AH109" s="356"/>
      <c r="AI109" s="356"/>
      <c r="AJ109" s="356"/>
      <c r="AK109" s="356"/>
      <c r="AL109" s="356"/>
      <c r="AM109" s="356"/>
      <c r="AN109" s="356"/>
      <c r="AO109" s="356"/>
      <c r="AP109" s="356"/>
      <c r="AQ109" s="356"/>
      <c r="AR109" s="356"/>
      <c r="AS109" s="356"/>
      <c r="AT109" s="378"/>
      <c r="AU109" s="378"/>
      <c r="AV109" s="378"/>
      <c r="AW109" s="378"/>
      <c r="AX109" s="378"/>
      <c r="AY109" s="378"/>
      <c r="AZ109" s="378"/>
      <c r="BA109" s="378"/>
      <c r="BB109" s="378"/>
      <c r="BC109" s="378"/>
      <c r="BD109" s="378"/>
      <c r="BE109" s="378"/>
      <c r="BF109" s="378"/>
      <c r="BG109" s="378"/>
      <c r="BH109" s="378"/>
      <c r="BI109" s="378"/>
      <c r="BJ109" s="378"/>
      <c r="BK109" s="378"/>
      <c r="BL109" s="378"/>
      <c r="BM109" s="381">
        <v>15</v>
      </c>
    </row>
    <row r="110" spans="1:65" ht="15" customHeight="1">
      <c r="A110" s="380"/>
      <c r="B110" s="382"/>
      <c r="C110" s="382"/>
      <c r="D110" s="358" t="s">
        <v>164</v>
      </c>
      <c r="E110" s="356">
        <v>12</v>
      </c>
      <c r="F110" s="356" t="s">
        <v>150</v>
      </c>
      <c r="G110" s="382"/>
      <c r="H110" s="382"/>
      <c r="I110" s="382"/>
      <c r="J110" s="382"/>
      <c r="K110" s="382"/>
      <c r="L110" s="382"/>
      <c r="M110" s="382"/>
      <c r="N110" s="382"/>
      <c r="O110" s="382"/>
      <c r="P110" s="356"/>
      <c r="Q110" s="356"/>
      <c r="R110" s="356"/>
      <c r="S110" s="356"/>
      <c r="T110" s="356"/>
      <c r="U110" s="356"/>
      <c r="V110" s="356"/>
      <c r="W110" s="356"/>
      <c r="X110" s="356"/>
      <c r="Y110" s="356"/>
      <c r="Z110" s="356"/>
      <c r="AA110" s="356"/>
      <c r="AB110" s="356"/>
      <c r="AC110" s="356"/>
      <c r="AD110" s="356"/>
      <c r="AE110" s="356"/>
      <c r="AF110" s="356"/>
      <c r="AG110" s="356"/>
      <c r="AH110" s="356"/>
      <c r="AI110" s="356"/>
      <c r="AJ110" s="356"/>
      <c r="AK110" s="356"/>
      <c r="AL110" s="356"/>
      <c r="AM110" s="356"/>
      <c r="AN110" s="356"/>
      <c r="AO110" s="356"/>
      <c r="AP110" s="356"/>
      <c r="AQ110" s="356"/>
      <c r="AR110" s="356"/>
      <c r="AS110" s="356"/>
      <c r="AT110" s="378"/>
      <c r="AU110" s="378"/>
      <c r="AV110" s="378"/>
      <c r="AW110" s="378"/>
      <c r="AX110" s="378"/>
      <c r="AY110" s="378"/>
      <c r="AZ110" s="378"/>
      <c r="BA110" s="378"/>
      <c r="BB110" s="378"/>
      <c r="BC110" s="378"/>
      <c r="BD110" s="378"/>
      <c r="BE110" s="378"/>
      <c r="BF110" s="378"/>
      <c r="BG110" s="378"/>
      <c r="BH110" s="378"/>
      <c r="BI110" s="378"/>
      <c r="BJ110" s="378"/>
      <c r="BK110" s="378"/>
      <c r="BL110" s="378"/>
      <c r="BM110" s="381">
        <v>15</v>
      </c>
    </row>
    <row r="111" spans="1:65" ht="15" customHeight="1">
      <c r="A111" s="380"/>
      <c r="B111" s="382"/>
      <c r="C111" s="382"/>
      <c r="D111" s="382"/>
      <c r="E111" s="382"/>
      <c r="F111" s="382"/>
      <c r="G111" s="382"/>
      <c r="H111" s="382"/>
      <c r="I111" s="382"/>
      <c r="J111" s="382"/>
      <c r="K111" s="382"/>
      <c r="L111" s="382"/>
      <c r="M111" s="382"/>
      <c r="N111" s="382"/>
      <c r="O111" s="382"/>
      <c r="P111" s="356"/>
      <c r="Q111" s="356"/>
      <c r="R111" s="356"/>
      <c r="S111" s="356"/>
      <c r="T111" s="356"/>
      <c r="U111" s="356"/>
      <c r="V111" s="356"/>
      <c r="W111" s="356"/>
      <c r="X111" s="356"/>
      <c r="Y111" s="356"/>
      <c r="Z111" s="356"/>
      <c r="AA111" s="356"/>
      <c r="AB111" s="356"/>
      <c r="AC111" s="356"/>
      <c r="AD111" s="356"/>
      <c r="AE111" s="356"/>
      <c r="AF111" s="356"/>
      <c r="AG111" s="356"/>
      <c r="AH111" s="356"/>
      <c r="AI111" s="356"/>
      <c r="AJ111" s="356"/>
      <c r="AK111" s="356"/>
      <c r="AL111" s="356"/>
      <c r="AM111" s="356"/>
      <c r="AN111" s="356"/>
      <c r="AO111" s="356"/>
      <c r="AP111" s="356"/>
      <c r="AQ111" s="356"/>
      <c r="AR111" s="356"/>
      <c r="AS111" s="356"/>
      <c r="AT111" s="378"/>
      <c r="AU111" s="378"/>
      <c r="AV111" s="378"/>
      <c r="AW111" s="378"/>
      <c r="AX111" s="378"/>
      <c r="AY111" s="378"/>
      <c r="AZ111" s="378"/>
      <c r="BA111" s="378"/>
      <c r="BB111" s="378"/>
      <c r="BC111" s="378"/>
      <c r="BD111" s="378"/>
      <c r="BE111" s="378"/>
      <c r="BF111" s="378"/>
      <c r="BG111" s="378"/>
      <c r="BH111" s="378"/>
      <c r="BI111" s="378"/>
      <c r="BJ111" s="378"/>
      <c r="BK111" s="378"/>
      <c r="BL111" s="378"/>
      <c r="BM111" s="381">
        <v>15</v>
      </c>
    </row>
    <row r="112" spans="1:65" ht="15" customHeight="1">
      <c r="A112" s="380"/>
      <c r="B112" s="361" t="s">
        <v>165</v>
      </c>
      <c r="C112" s="357"/>
      <c r="D112" s="382"/>
      <c r="E112" s="382"/>
      <c r="F112" s="382"/>
      <c r="G112" s="382"/>
      <c r="H112" s="382"/>
      <c r="I112" s="382"/>
      <c r="J112" s="382"/>
      <c r="K112" s="382"/>
      <c r="L112" s="382"/>
      <c r="M112" s="382"/>
      <c r="N112" s="382"/>
      <c r="O112" s="382"/>
      <c r="P112" s="356"/>
      <c r="Q112" s="356"/>
      <c r="R112" s="356"/>
      <c r="S112" s="356"/>
      <c r="T112" s="356"/>
      <c r="U112" s="356"/>
      <c r="V112" s="356"/>
      <c r="W112" s="356"/>
      <c r="X112" s="356"/>
      <c r="Y112" s="356"/>
      <c r="Z112" s="356"/>
      <c r="AA112" s="356"/>
      <c r="AB112" s="356"/>
      <c r="AC112" s="356"/>
      <c r="AD112" s="356"/>
      <c r="AE112" s="356"/>
      <c r="AF112" s="356"/>
      <c r="AG112" s="356"/>
      <c r="AH112" s="356"/>
      <c r="AI112" s="356"/>
      <c r="AJ112" s="356"/>
      <c r="AK112" s="356"/>
      <c r="AL112" s="356"/>
      <c r="AM112" s="356"/>
      <c r="AN112" s="356"/>
      <c r="AO112" s="356"/>
      <c r="AP112" s="356"/>
      <c r="AQ112" s="356"/>
      <c r="AR112" s="356"/>
      <c r="AS112" s="356"/>
      <c r="AT112" s="378"/>
      <c r="AU112" s="378"/>
      <c r="AV112" s="378"/>
      <c r="AW112" s="378"/>
      <c r="AX112" s="378"/>
      <c r="AY112" s="378"/>
      <c r="AZ112" s="378"/>
      <c r="BA112" s="378"/>
      <c r="BB112" s="378"/>
      <c r="BC112" s="378"/>
      <c r="BD112" s="378"/>
      <c r="BE112" s="378"/>
      <c r="BF112" s="378"/>
      <c r="BG112" s="378"/>
      <c r="BH112" s="378"/>
      <c r="BI112" s="378"/>
      <c r="BJ112" s="378"/>
      <c r="BK112" s="378"/>
      <c r="BL112" s="378"/>
      <c r="BM112" s="381">
        <v>15</v>
      </c>
    </row>
    <row r="113" spans="1:65" ht="15" customHeight="1">
      <c r="A113" s="380"/>
      <c r="B113" s="361" t="s">
        <v>166</v>
      </c>
      <c r="C113" s="359"/>
      <c r="D113" s="382"/>
      <c r="E113" s="382"/>
      <c r="F113" s="382"/>
      <c r="G113" s="382"/>
      <c r="H113" s="382"/>
      <c r="I113" s="382"/>
      <c r="J113" s="382"/>
      <c r="K113" s="382"/>
      <c r="L113" s="382"/>
      <c r="M113" s="382"/>
      <c r="N113" s="382"/>
      <c r="O113" s="382"/>
      <c r="P113" s="356"/>
      <c r="Q113" s="356"/>
      <c r="R113" s="356"/>
      <c r="S113" s="356"/>
      <c r="T113" s="356"/>
      <c r="U113" s="356"/>
      <c r="V113" s="356"/>
      <c r="W113" s="356"/>
      <c r="X113" s="356"/>
      <c r="Y113" s="356"/>
      <c r="Z113" s="356"/>
      <c r="AA113" s="356"/>
      <c r="AB113" s="356"/>
      <c r="AC113" s="356"/>
      <c r="AD113" s="356"/>
      <c r="AE113" s="356"/>
      <c r="AF113" s="356"/>
      <c r="AG113" s="356"/>
      <c r="AH113" s="356"/>
      <c r="AI113" s="356"/>
      <c r="AJ113" s="356"/>
      <c r="AK113" s="356"/>
      <c r="AL113" s="356"/>
      <c r="AM113" s="356"/>
      <c r="AN113" s="356"/>
      <c r="AO113" s="356"/>
      <c r="AP113" s="356"/>
      <c r="AQ113" s="356"/>
      <c r="AR113" s="356"/>
      <c r="AS113" s="356"/>
      <c r="AT113" s="378"/>
      <c r="AU113" s="378"/>
      <c r="AV113" s="378"/>
      <c r="AW113" s="378"/>
      <c r="AX113" s="378"/>
      <c r="AY113" s="378"/>
      <c r="AZ113" s="378"/>
      <c r="BA113" s="378"/>
      <c r="BB113" s="378"/>
      <c r="BC113" s="378"/>
      <c r="BD113" s="378"/>
      <c r="BE113" s="378"/>
      <c r="BF113" s="378"/>
      <c r="BG113" s="378"/>
      <c r="BH113" s="378"/>
      <c r="BI113" s="378"/>
      <c r="BJ113" s="378"/>
      <c r="BK113" s="378"/>
      <c r="BL113" s="378"/>
      <c r="BM113" s="381">
        <v>15</v>
      </c>
    </row>
    <row r="114" spans="1:65" ht="15" customHeight="1">
      <c r="A114" s="380"/>
      <c r="B114" s="361" t="s">
        <v>167</v>
      </c>
      <c r="C114" s="382"/>
      <c r="D114" s="382"/>
      <c r="E114" s="382"/>
      <c r="F114" s="382"/>
      <c r="G114" s="382"/>
      <c r="H114" s="382"/>
      <c r="I114" s="382"/>
      <c r="J114" s="382"/>
      <c r="K114" s="382"/>
      <c r="L114" s="382"/>
      <c r="M114" s="382"/>
      <c r="N114" s="382"/>
      <c r="O114" s="382"/>
      <c r="P114" s="356"/>
      <c r="Q114" s="356"/>
      <c r="R114" s="356"/>
      <c r="S114" s="356"/>
      <c r="T114" s="356"/>
      <c r="U114" s="356"/>
      <c r="V114" s="356"/>
      <c r="W114" s="356"/>
      <c r="X114" s="356"/>
      <c r="Y114" s="356"/>
      <c r="Z114" s="356"/>
      <c r="AA114" s="356"/>
      <c r="AB114" s="356"/>
      <c r="AC114" s="356"/>
      <c r="AD114" s="356"/>
      <c r="AE114" s="356"/>
      <c r="AF114" s="356"/>
      <c r="AG114" s="356"/>
      <c r="AH114" s="356"/>
      <c r="AI114" s="356"/>
      <c r="AJ114" s="356"/>
      <c r="AK114" s="356"/>
      <c r="AL114" s="356"/>
      <c r="AM114" s="356"/>
      <c r="AN114" s="356"/>
      <c r="AO114" s="356"/>
      <c r="AP114" s="356"/>
      <c r="AQ114" s="356"/>
      <c r="AR114" s="356"/>
      <c r="AS114" s="356"/>
      <c r="AT114" s="378"/>
      <c r="AU114" s="378"/>
      <c r="AV114" s="378"/>
      <c r="AW114" s="378"/>
      <c r="AX114" s="378"/>
      <c r="AY114" s="378"/>
      <c r="AZ114" s="378"/>
      <c r="BA114" s="378"/>
      <c r="BB114" s="378"/>
      <c r="BC114" s="378"/>
      <c r="BD114" s="378"/>
      <c r="BE114" s="378"/>
      <c r="BF114" s="378"/>
      <c r="BG114" s="378"/>
      <c r="BH114" s="378"/>
      <c r="BI114" s="378"/>
      <c r="BJ114" s="378"/>
      <c r="BK114" s="378"/>
      <c r="BL114" s="378"/>
      <c r="BM114" s="381">
        <v>15</v>
      </c>
    </row>
    <row r="115" spans="1:65" ht="15.75">
      <c r="A115" s="380"/>
      <c r="B115" s="380"/>
      <c r="C115" s="380"/>
      <c r="D115" s="380"/>
      <c r="E115" s="380"/>
      <c r="F115" s="380"/>
      <c r="G115" s="380"/>
      <c r="H115" s="380"/>
      <c r="I115" s="380"/>
      <c r="J115" s="380"/>
      <c r="K115" s="380"/>
      <c r="L115" s="380"/>
      <c r="M115" s="380"/>
      <c r="N115" s="380"/>
      <c r="O115" s="380"/>
      <c r="P115" s="356"/>
      <c r="Q115" s="356"/>
      <c r="R115" s="356"/>
      <c r="S115" s="356"/>
      <c r="T115" s="356"/>
      <c r="U115" s="356"/>
      <c r="V115" s="356"/>
      <c r="W115" s="356"/>
      <c r="X115" s="356"/>
      <c r="Y115" s="356"/>
      <c r="Z115" s="356"/>
      <c r="AA115" s="356"/>
      <c r="AB115" s="356"/>
      <c r="AC115" s="356"/>
      <c r="AD115" s="356"/>
      <c r="AE115" s="356"/>
      <c r="AF115" s="356"/>
      <c r="AG115" s="356"/>
      <c r="AH115" s="356"/>
      <c r="AI115" s="356"/>
      <c r="AJ115" s="356"/>
      <c r="AK115" s="356"/>
      <c r="AL115" s="356"/>
      <c r="AM115" s="356"/>
      <c r="AN115" s="356"/>
      <c r="AO115" s="356"/>
      <c r="AP115" s="356"/>
      <c r="AQ115" s="356"/>
      <c r="AR115" s="356"/>
      <c r="AS115" s="356"/>
      <c r="AT115" s="379"/>
      <c r="AU115" s="379"/>
      <c r="AV115" s="379"/>
      <c r="AW115" s="379"/>
      <c r="AX115" s="379"/>
      <c r="AY115" s="379"/>
      <c r="AZ115" s="379"/>
      <c r="BA115" s="379"/>
      <c r="BB115" s="379"/>
      <c r="BC115" s="379"/>
      <c r="BD115" s="379"/>
      <c r="BE115" s="379"/>
      <c r="BF115" s="379"/>
      <c r="BG115" s="379"/>
      <c r="BH115" s="379"/>
      <c r="BI115" s="379"/>
      <c r="BJ115" s="379"/>
      <c r="BK115" s="379"/>
      <c r="BL115" s="378"/>
      <c r="BM115" s="377" t="s">
        <v>168</v>
      </c>
    </row>
  </sheetData>
  <mergeCells count="147">
    <mergeCell ref="G97:H97"/>
    <mergeCell ref="Q97:S99"/>
    <mergeCell ref="G98:H98"/>
    <mergeCell ref="G99:H99"/>
    <mergeCell ref="B88:K89"/>
    <mergeCell ref="L88:M89"/>
    <mergeCell ref="N88:N89"/>
    <mergeCell ref="O88:O89"/>
    <mergeCell ref="G101:H101"/>
    <mergeCell ref="L101:M102"/>
    <mergeCell ref="N101:N102"/>
    <mergeCell ref="O101:O102"/>
    <mergeCell ref="G102:H102"/>
    <mergeCell ref="Q93:S96"/>
    <mergeCell ref="G94:H94"/>
    <mergeCell ref="G95:H95"/>
    <mergeCell ref="G96:H96"/>
    <mergeCell ref="BE88:BG89"/>
    <mergeCell ref="B91:B92"/>
    <mergeCell ref="C91:C92"/>
    <mergeCell ref="D91:D92"/>
    <mergeCell ref="E91:F92"/>
    <mergeCell ref="G91:G92"/>
    <mergeCell ref="H91:I92"/>
    <mergeCell ref="L91:M92"/>
    <mergeCell ref="N91:N92"/>
    <mergeCell ref="O91:O92"/>
    <mergeCell ref="Q86:S91"/>
    <mergeCell ref="Q83:S84"/>
    <mergeCell ref="G84:H84"/>
    <mergeCell ref="L84:M85"/>
    <mergeCell ref="N84:N85"/>
    <mergeCell ref="O84:O85"/>
    <mergeCell ref="G85:H85"/>
    <mergeCell ref="Q85:S85"/>
    <mergeCell ref="Q75:S77"/>
    <mergeCell ref="BE75:BG77"/>
    <mergeCell ref="G77:H77"/>
    <mergeCell ref="G78:H78"/>
    <mergeCell ref="Q78:S82"/>
    <mergeCell ref="G79:H79"/>
    <mergeCell ref="G80:H80"/>
    <mergeCell ref="G81:H81"/>
    <mergeCell ref="BE81:BG83"/>
    <mergeCell ref="G82:H82"/>
    <mergeCell ref="AA70:AC71"/>
    <mergeCell ref="AD70:AD71"/>
    <mergeCell ref="AG70:AH71"/>
    <mergeCell ref="AI70:AI71"/>
    <mergeCell ref="BG70:BG71"/>
    <mergeCell ref="B71:K72"/>
    <mergeCell ref="L71:M72"/>
    <mergeCell ref="N71:N72"/>
    <mergeCell ref="O71:O72"/>
    <mergeCell ref="Q71:S74"/>
    <mergeCell ref="BE72:BG74"/>
    <mergeCell ref="B74:B75"/>
    <mergeCell ref="C74:C75"/>
    <mergeCell ref="D74:D75"/>
    <mergeCell ref="E74:F75"/>
    <mergeCell ref="G74:G75"/>
    <mergeCell ref="H74:I75"/>
    <mergeCell ref="L74:M75"/>
    <mergeCell ref="N74:N75"/>
    <mergeCell ref="O74:O75"/>
    <mergeCell ref="BE54:BG56"/>
    <mergeCell ref="BE57:BG58"/>
    <mergeCell ref="Y63:Y68"/>
    <mergeCell ref="AO63:AO67"/>
    <mergeCell ref="B64:C65"/>
    <mergeCell ref="BE64:BG67"/>
    <mergeCell ref="BE49:BG49"/>
    <mergeCell ref="BE50:BG53"/>
    <mergeCell ref="BI50:BK50"/>
    <mergeCell ref="AS51:AY51"/>
    <mergeCell ref="AS52:AY52"/>
    <mergeCell ref="AS53:AY53"/>
    <mergeCell ref="BI51:BI52"/>
    <mergeCell ref="BJ51:BJ52"/>
    <mergeCell ref="BK51:BK52"/>
    <mergeCell ref="BI55:BI58"/>
    <mergeCell ref="BE35:BG36"/>
    <mergeCell ref="BE38:BG39"/>
    <mergeCell ref="BI38:BK40"/>
    <mergeCell ref="BI42:BK44"/>
    <mergeCell ref="BE45:BG46"/>
    <mergeCell ref="BI45:BK47"/>
    <mergeCell ref="BE47:BG48"/>
    <mergeCell ref="BE27:BG29"/>
    <mergeCell ref="BI27:BK34"/>
    <mergeCell ref="AS30:AS31"/>
    <mergeCell ref="AT30:AT31"/>
    <mergeCell ref="BE31:BF31"/>
    <mergeCell ref="BE33:BG34"/>
    <mergeCell ref="AR34:AZ34"/>
    <mergeCell ref="AT21:AT22"/>
    <mergeCell ref="AU21:AU22"/>
    <mergeCell ref="AV21:AV22"/>
    <mergeCell ref="AW21:AW22"/>
    <mergeCell ref="AX21:AX22"/>
    <mergeCell ref="BG7:BG8"/>
    <mergeCell ref="BI10:BK11"/>
    <mergeCell ref="BI21:BK23"/>
    <mergeCell ref="AY23:AZ24"/>
    <mergeCell ref="BI24:BK26"/>
    <mergeCell ref="BE25:BG26"/>
    <mergeCell ref="AE11:AG11"/>
    <mergeCell ref="AS11:AS12"/>
    <mergeCell ref="BI12:BK14"/>
    <mergeCell ref="BE13:BE14"/>
    <mergeCell ref="BF13:BF14"/>
    <mergeCell ref="BG13:BG14"/>
    <mergeCell ref="BI15:BK17"/>
    <mergeCell ref="AX16:AY16"/>
    <mergeCell ref="BI18:BK20"/>
    <mergeCell ref="AS21:AS22"/>
    <mergeCell ref="BE2:BG3"/>
    <mergeCell ref="BI2:BK3"/>
    <mergeCell ref="V3:W3"/>
    <mergeCell ref="AL3:AM3"/>
    <mergeCell ref="BI6:BK7"/>
    <mergeCell ref="BE4:BG4"/>
    <mergeCell ref="BI4:BK5"/>
    <mergeCell ref="BE5:BG5"/>
    <mergeCell ref="BB6:BC6"/>
    <mergeCell ref="BF6:BG6"/>
    <mergeCell ref="AK5:AN6"/>
    <mergeCell ref="AR5:AS5"/>
    <mergeCell ref="BB5:BC5"/>
    <mergeCell ref="V8:X8"/>
    <mergeCell ref="AM8:AN8"/>
    <mergeCell ref="BI8:BK9"/>
    <mergeCell ref="AK7:AN7"/>
    <mergeCell ref="AR7:AR12"/>
    <mergeCell ref="AS7:AS9"/>
    <mergeCell ref="BE7:BF8"/>
    <mergeCell ref="B9:C10"/>
    <mergeCell ref="D9:F9"/>
    <mergeCell ref="G9:I9"/>
    <mergeCell ref="J9:L9"/>
    <mergeCell ref="M9:O9"/>
    <mergeCell ref="P9:R9"/>
    <mergeCell ref="A4:A67"/>
    <mergeCell ref="Y4:Y62"/>
    <mergeCell ref="AO4:AO62"/>
    <mergeCell ref="AH5:AJ5"/>
    <mergeCell ref="S9:U9"/>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F80771-9E39-4056-9821-2D20855C411B}">
  <dimension ref="A1:AH154"/>
  <sheetViews>
    <sheetView showZeros="0" workbookViewId="0">
      <selection activeCell="T39" sqref="T39:Z43"/>
    </sheetView>
  </sheetViews>
  <sheetFormatPr baseColWidth="10" defaultRowHeight="15"/>
  <cols>
    <col min="1" max="1" width="3.5703125" style="831" customWidth="1"/>
    <col min="2" max="2" width="3.28515625" style="831" customWidth="1"/>
    <col min="3" max="7" width="11.7109375" style="831" customWidth="1"/>
    <col min="8" max="9" width="15.7109375" style="831" customWidth="1"/>
    <col min="10" max="17" width="11.7109375" style="831" customWidth="1"/>
    <col min="18" max="18" width="3.5703125" style="831" customWidth="1"/>
    <col min="19" max="19" width="3.85546875" style="831" customWidth="1"/>
    <col min="20" max="29" width="11.42578125" style="831" customWidth="1"/>
    <col min="30" max="32" width="13.7109375" style="831" customWidth="1"/>
    <col min="33" max="16384" width="11.42578125" style="831"/>
  </cols>
  <sheetData>
    <row r="1" spans="1:34" ht="19.5" thickBot="1">
      <c r="A1" s="1" t="s">
        <v>0</v>
      </c>
      <c r="B1" s="827">
        <f ca="1">CELL("largeur",B1)</f>
        <v>3</v>
      </c>
      <c r="C1" s="3" t="s">
        <v>1</v>
      </c>
      <c r="D1" s="4"/>
      <c r="E1" s="4"/>
      <c r="F1" s="4"/>
      <c r="G1" s="4"/>
      <c r="H1" s="4"/>
      <c r="I1" s="4"/>
      <c r="J1" s="4"/>
      <c r="K1" s="4"/>
      <c r="L1" s="5"/>
      <c r="M1" s="5"/>
      <c r="N1" s="5"/>
      <c r="O1" s="5"/>
      <c r="P1" s="5"/>
      <c r="Q1" s="827">
        <f ca="1">CELL("largeur",Q1)</f>
        <v>11</v>
      </c>
      <c r="R1" s="826"/>
      <c r="S1" s="949"/>
      <c r="T1" s="949"/>
      <c r="U1" s="949"/>
      <c r="V1" s="949"/>
      <c r="W1" s="949"/>
      <c r="X1" s="949"/>
      <c r="Y1" s="949"/>
      <c r="Z1" s="949"/>
      <c r="AA1" s="949"/>
      <c r="AB1" s="949"/>
      <c r="AC1" s="949"/>
      <c r="AD1" s="949"/>
      <c r="AE1" s="949"/>
      <c r="AF1" s="949"/>
      <c r="AG1" s="949"/>
      <c r="AH1" s="5"/>
    </row>
    <row r="2" spans="1:34" ht="24" thickBot="1">
      <c r="A2" s="834"/>
      <c r="B2" s="834"/>
      <c r="C2" s="834"/>
      <c r="D2" s="834"/>
      <c r="E2" s="834"/>
      <c r="F2" s="834"/>
      <c r="G2" s="834"/>
      <c r="H2" s="834"/>
      <c r="I2" s="834"/>
      <c r="J2" s="834"/>
      <c r="K2" s="834"/>
      <c r="L2" s="834"/>
      <c r="M2" s="834"/>
      <c r="N2" s="834"/>
      <c r="O2" s="834"/>
      <c r="P2" s="834"/>
      <c r="Q2" s="986" t="s">
        <v>330</v>
      </c>
      <c r="R2" s="820"/>
      <c r="S2" s="949"/>
      <c r="T2" s="3633" t="s">
        <v>259</v>
      </c>
      <c r="U2" s="3634"/>
      <c r="V2" s="3634"/>
      <c r="W2" s="3634"/>
      <c r="X2" s="3634"/>
      <c r="Y2" s="3634"/>
      <c r="Z2" s="3634"/>
      <c r="AA2" s="3634"/>
      <c r="AB2" s="3635"/>
      <c r="AC2" s="949"/>
      <c r="AD2" s="3636" t="s">
        <v>6</v>
      </c>
      <c r="AE2" s="3637"/>
      <c r="AF2" s="3638"/>
      <c r="AG2" s="949"/>
      <c r="AH2" s="381">
        <v>33</v>
      </c>
    </row>
    <row r="3" spans="1:34" ht="28.5" customHeight="1">
      <c r="A3" s="985" t="s">
        <v>307</v>
      </c>
      <c r="B3" s="672"/>
      <c r="C3" s="812" t="s">
        <v>6694</v>
      </c>
      <c r="D3" s="811"/>
      <c r="E3" s="811"/>
      <c r="F3" s="811"/>
      <c r="G3" s="811"/>
      <c r="H3" s="811"/>
      <c r="I3" s="811"/>
      <c r="J3" s="811"/>
      <c r="K3" s="811"/>
      <c r="L3" s="811"/>
      <c r="M3" s="811"/>
      <c r="N3" s="3629" t="s">
        <v>87</v>
      </c>
      <c r="O3" s="3629"/>
      <c r="P3" s="810" t="s">
        <v>88</v>
      </c>
      <c r="Q3" s="809"/>
      <c r="R3" s="672"/>
      <c r="S3" s="949"/>
      <c r="T3" s="648"/>
      <c r="U3" s="356"/>
      <c r="V3" s="356"/>
      <c r="W3" s="900"/>
      <c r="X3" s="900"/>
      <c r="Y3" s="647" t="s">
        <v>256</v>
      </c>
      <c r="Z3" s="3642" t="s">
        <v>255</v>
      </c>
      <c r="AA3" s="3642"/>
      <c r="AB3" s="646"/>
      <c r="AC3" s="949"/>
      <c r="AD3" s="3639"/>
      <c r="AE3" s="3640"/>
      <c r="AF3" s="3641"/>
      <c r="AG3" s="949"/>
      <c r="AH3" s="381">
        <v>28.5</v>
      </c>
    </row>
    <row r="4" spans="1:34" ht="28.5" customHeight="1">
      <c r="A4" s="3683" t="str">
        <f>C3</f>
        <v>HARICOT DE MOUTON OU CASSOULET TOULOUSAIN</v>
      </c>
      <c r="B4" s="672"/>
      <c r="C4" s="984" t="s">
        <v>14</v>
      </c>
      <c r="D4" s="3287" t="s">
        <v>6693</v>
      </c>
      <c r="E4" s="3286"/>
      <c r="F4" s="3286"/>
      <c r="G4" s="3286"/>
      <c r="H4" s="3286"/>
      <c r="I4" s="3286"/>
      <c r="J4" s="3285"/>
      <c r="K4" s="3285"/>
      <c r="L4" s="3285"/>
      <c r="M4" s="3284"/>
      <c r="N4" s="3284"/>
      <c r="O4" s="3284"/>
      <c r="P4" s="3283"/>
      <c r="Q4" s="3925" t="s">
        <v>302</v>
      </c>
      <c r="R4" s="672"/>
      <c r="S4" s="949"/>
      <c r="T4" s="639" t="s">
        <v>250</v>
      </c>
      <c r="U4" s="378"/>
      <c r="V4" s="378"/>
      <c r="W4" s="638" t="s">
        <v>249</v>
      </c>
      <c r="X4" s="378"/>
      <c r="Y4" s="638" t="s">
        <v>242</v>
      </c>
      <c r="Z4" s="641"/>
      <c r="AA4" s="641"/>
      <c r="AB4" s="640"/>
      <c r="AC4" s="949"/>
      <c r="AD4" s="3720" t="s">
        <v>11</v>
      </c>
      <c r="AE4" s="3721"/>
      <c r="AF4" s="3722"/>
      <c r="AG4" s="949"/>
      <c r="AH4" s="381">
        <v>28.5</v>
      </c>
    </row>
    <row r="5" spans="1:34" ht="28.5" customHeight="1">
      <c r="A5" s="3683"/>
      <c r="B5" s="672"/>
      <c r="C5" s="780"/>
      <c r="D5" s="3282"/>
      <c r="E5" s="3282"/>
      <c r="F5" s="3282"/>
      <c r="G5" s="3282"/>
      <c r="H5" s="3282"/>
      <c r="I5" s="3282"/>
      <c r="J5" s="3927" t="s">
        <v>21</v>
      </c>
      <c r="K5" s="3928"/>
      <c r="L5" s="3929"/>
      <c r="M5" s="3930" t="s">
        <v>299</v>
      </c>
      <c r="N5" s="3931"/>
      <c r="O5" s="3931"/>
      <c r="P5" s="3932"/>
      <c r="Q5" s="3926"/>
      <c r="R5" s="672"/>
      <c r="S5" s="949"/>
      <c r="T5" s="977"/>
      <c r="U5" s="378"/>
      <c r="V5" s="378"/>
      <c r="W5" s="638"/>
      <c r="X5" s="378"/>
      <c r="Y5" s="637" t="s">
        <v>247</v>
      </c>
      <c r="Z5" s="637"/>
      <c r="AA5" s="637"/>
      <c r="AB5" s="636"/>
      <c r="AC5" s="949"/>
      <c r="AD5" s="3732" t="s">
        <v>13</v>
      </c>
      <c r="AE5" s="3733"/>
      <c r="AF5" s="3734"/>
      <c r="AG5" s="949"/>
      <c r="AH5" s="381">
        <v>28.5</v>
      </c>
    </row>
    <row r="6" spans="1:34" ht="28.5" customHeight="1">
      <c r="A6" s="3683"/>
      <c r="B6" s="672"/>
      <c r="C6" s="780" t="s">
        <v>295</v>
      </c>
      <c r="D6" s="779"/>
      <c r="E6" s="778" t="s">
        <v>294</v>
      </c>
      <c r="F6" s="758"/>
      <c r="G6" s="758"/>
      <c r="H6" s="758"/>
      <c r="I6" s="758"/>
      <c r="J6" s="777" t="s">
        <v>293</v>
      </c>
      <c r="K6" s="776" t="s">
        <v>193</v>
      </c>
      <c r="L6" s="775" t="s">
        <v>197</v>
      </c>
      <c r="M6" s="3729"/>
      <c r="N6" s="3730"/>
      <c r="O6" s="3730"/>
      <c r="P6" s="3731"/>
      <c r="Q6" s="3926"/>
      <c r="R6" s="672"/>
      <c r="S6" s="949"/>
      <c r="T6" s="609"/>
      <c r="U6" s="3737" t="s">
        <v>246</v>
      </c>
      <c r="V6" s="3738" t="s">
        <v>245</v>
      </c>
      <c r="W6" s="3697" t="s">
        <v>46</v>
      </c>
      <c r="X6" s="3698" t="s">
        <v>244</v>
      </c>
      <c r="Y6" s="3735" t="s">
        <v>243</v>
      </c>
      <c r="Z6" s="3736" t="s">
        <v>225</v>
      </c>
      <c r="AA6" s="976"/>
      <c r="AB6" s="608"/>
      <c r="AC6" s="949"/>
      <c r="AD6" s="975" t="s">
        <v>14</v>
      </c>
      <c r="AE6" s="3643" t="s">
        <v>15</v>
      </c>
      <c r="AF6" s="3644"/>
      <c r="AG6" s="949"/>
      <c r="AH6" s="381">
        <v>28.5</v>
      </c>
    </row>
    <row r="7" spans="1:34" ht="28.5" customHeight="1">
      <c r="A7" s="3683"/>
      <c r="B7" s="672"/>
      <c r="C7" s="745"/>
      <c r="D7" s="744"/>
      <c r="E7" s="758"/>
      <c r="F7" s="744"/>
      <c r="G7" s="744"/>
      <c r="H7" s="744"/>
      <c r="I7" s="744"/>
      <c r="J7" s="974">
        <v>600</v>
      </c>
      <c r="K7" s="669">
        <v>120</v>
      </c>
      <c r="L7" s="756">
        <f>(K7*J7)/1000</f>
        <v>72</v>
      </c>
      <c r="M7" s="3645" t="s">
        <v>289</v>
      </c>
      <c r="N7" s="3646"/>
      <c r="O7" s="3646"/>
      <c r="P7" s="3647"/>
      <c r="Q7" s="3926"/>
      <c r="R7" s="672"/>
      <c r="S7" s="949"/>
      <c r="T7" s="609"/>
      <c r="U7" s="3737"/>
      <c r="V7" s="3738"/>
      <c r="W7" s="3697"/>
      <c r="X7" s="3698"/>
      <c r="Y7" s="3735"/>
      <c r="Z7" s="3736"/>
      <c r="AA7" s="632" t="str">
        <f>ADDRESS(ROW(Z8),COLUMN(Z8),4)</f>
        <v>Z8</v>
      </c>
      <c r="AB7" s="608"/>
      <c r="AC7" s="949"/>
      <c r="AD7" s="3648" t="s">
        <v>17</v>
      </c>
      <c r="AE7" s="3649"/>
      <c r="AF7" s="3739" t="str">
        <f>LEFT(ADDRESS(1,COLUMN(H12),4),LEN(ADDRESS(1,COLUMN(H12),4))-1)</f>
        <v>H</v>
      </c>
      <c r="AG7" s="949"/>
      <c r="AH7" s="381">
        <v>28.5</v>
      </c>
    </row>
    <row r="8" spans="1:34" ht="28.5" customHeight="1">
      <c r="A8" s="3683"/>
      <c r="B8" s="672"/>
      <c r="C8" s="745"/>
      <c r="D8" s="744"/>
      <c r="E8" s="744"/>
      <c r="F8" s="744"/>
      <c r="G8" s="744"/>
      <c r="H8" s="744"/>
      <c r="I8" s="973" t="s">
        <v>297</v>
      </c>
      <c r="J8" s="743" t="s">
        <v>231</v>
      </c>
      <c r="K8" s="742" t="s">
        <v>230</v>
      </c>
      <c r="L8" s="741" t="s">
        <v>286</v>
      </c>
      <c r="M8" s="3281"/>
      <c r="N8" s="3281" t="s">
        <v>285</v>
      </c>
      <c r="O8" s="3933">
        <f ca="1">TODAY()</f>
        <v>44608</v>
      </c>
      <c r="P8" s="3933"/>
      <c r="Q8" s="3926"/>
      <c r="R8" s="672"/>
      <c r="S8" s="949"/>
      <c r="T8" s="609"/>
      <c r="U8" s="971">
        <f>D10</f>
        <v>100</v>
      </c>
      <c r="V8" s="630">
        <v>14</v>
      </c>
      <c r="W8" s="308">
        <v>35</v>
      </c>
      <c r="X8" s="485">
        <f>IF(V8=0,0,((V8-(V8*W8%))))</f>
        <v>9.1000000000000014</v>
      </c>
      <c r="Y8" s="286">
        <f>IF(ISBLANK(U8),0,(V8/U8)*1000)</f>
        <v>140</v>
      </c>
      <c r="Z8" s="286">
        <f>IF(ISBLANK(U8),0,(X8/U8)*1000)</f>
        <v>91.000000000000014</v>
      </c>
      <c r="AA8" s="3695" t="s">
        <v>242</v>
      </c>
      <c r="AB8" s="3696"/>
      <c r="AC8" s="949"/>
      <c r="AD8" s="3648"/>
      <c r="AE8" s="3649"/>
      <c r="AF8" s="3739"/>
      <c r="AG8" s="949"/>
      <c r="AH8" s="381">
        <v>28.5</v>
      </c>
    </row>
    <row r="9" spans="1:34" ht="28.5" customHeight="1">
      <c r="A9" s="3683"/>
      <c r="B9" s="672"/>
      <c r="C9" s="3280" t="s">
        <v>279</v>
      </c>
      <c r="D9" s="3279" t="s">
        <v>246</v>
      </c>
      <c r="E9" s="3278" t="s">
        <v>193</v>
      </c>
      <c r="F9" s="3278" t="s">
        <v>135</v>
      </c>
      <c r="G9" s="3277" t="s">
        <v>46</v>
      </c>
      <c r="H9" s="3276" t="s">
        <v>278</v>
      </c>
      <c r="I9" s="3275" t="s">
        <v>193</v>
      </c>
      <c r="J9" s="732"/>
      <c r="K9" s="731"/>
      <c r="L9" s="730"/>
      <c r="M9" s="729" t="s">
        <v>277</v>
      </c>
      <c r="N9" s="729"/>
      <c r="O9" s="356"/>
      <c r="P9" s="356"/>
      <c r="Q9" s="3926"/>
      <c r="R9" s="672"/>
      <c r="S9" s="949"/>
      <c r="T9" s="609"/>
      <c r="U9" s="629"/>
      <c r="V9" s="376"/>
      <c r="W9" s="628"/>
      <c r="X9" s="628"/>
      <c r="Y9" s="376"/>
      <c r="Z9" s="378"/>
      <c r="AA9" s="3695"/>
      <c r="AB9" s="3696"/>
      <c r="AC9" s="949"/>
      <c r="AD9" s="964"/>
      <c r="AE9" s="963" t="s">
        <v>26</v>
      </c>
      <c r="AF9" s="915" t="str">
        <f>LEFT(ADDRESS(1,COLUMN(C12),4),LEN(ADDRESS(1,COLUMN(C12),4))-1)</f>
        <v>C</v>
      </c>
      <c r="AG9" s="949"/>
      <c r="AH9" s="381">
        <v>28.5</v>
      </c>
    </row>
    <row r="10" spans="1:34" ht="23.25" customHeight="1">
      <c r="A10" s="3683"/>
      <c r="B10" s="672"/>
      <c r="C10" s="3274">
        <f>IF(ISBLANK(C13),E13,C13*E13)+IF(ISBLANK(C14),E14,C14*E14)+IF(ISBLANK(C15),E15,C15*E15)+IF(ISBLANK(C16),E16,C16*E16)+IF(ISBLANK(C17),E17,C17*E17)+IF(ISBLANK(C18),E18,C18*E18)+IF(ISBLANK(C19),E19,C19*E19)+IF(ISBLANK(C20),E20,C20*E20)+IF(ISBLANK(C21),E21,C21*E21)+IF(ISBLANK(C22),E22,C22*E22)+IF(ISBLANK(C23),E23,C23*E23)+IF(ISBLANK(C24),E24,C24*E24)+IF(ISBLANK(C25),E25,C25*E25)+IF(ISBLANK(C26),E26,C26*E26)+IF(ISBLANK(C27),E27,C27*E27)+IF(ISBLANK(C28),E28,C28*E28)+IF(ISBLANK(C29),E29,C29*E29)+IF(ISBLANK(C30),E30,C30*E30)+IF(ISBLANK(C31),E31,C31*E31)+IF(ISBLANK(C32),E32,C32*E32)+IF(ISBLANK(C33),E33,C33*E33)+IF(ISBLANK(C34),E34,C34*E34)+IF(ISBLANK(C35),E35,C35*E35)+IF(ISBLANK(C36),E36,C36*E36)+IF(ISBLANK(C37),E37,C37*E37)+IF(ISBLANK(C38),E38,C38*E38)+IF(ISBLANK(C39),E39,C39*E39)+ IF(ISBLANK(C40),E40,C40*E40)+ IF(ISBLANK(C41),E41,C41*E41)+ IF(ISBLANK(C42),E42,C42*E42)+ IF(ISBLANK(C43),E43,C43*E43)+ IF(ISBLANK(C44),E44,C44*E44)+ IF(ISBLANK(C45),E45,C45*E45)+ IF(ISBLANK(C46),E46,C46*E46)+ IF(ISBLANK(C47),E47,C47*E47)+ IF(ISBLANK(C48),E48,C48*E48)+IF(ISBLANK(C49),E49,C49*E49)+IF(ISBLANK(C50),E50,C50*E50)+ IF(ISBLANK(C51),E51,C51*E51) +IF(ISBLANK(C52),E52,C52*E52) +IF(ISBLANK(C53),E53,C53*E53) +IF(ISBLANK(C54),E54,C54*E54) +IF(ISBLANK(C55),E55,C55*E55) +IF(ISBLANK(C56),E56,C56*E56) +IF(ISBLANK(C57),E57,C57*E57) +IF(ISBLANK(C58),E58,C58*E58) +IF(ISBLANK(C59),E59,C59*E59) +IF(ISBLANK(C60),E60,C60*E60) +IF(ISBLANK(C61),E61,C61*E61) +IF(ISBLANK(C62),E62,C62*E62)</f>
        <v>59.365000000000002</v>
      </c>
      <c r="D10" s="962">
        <v>100</v>
      </c>
      <c r="E10" s="722">
        <f>(F10/D10)*1000</f>
        <v>593.65</v>
      </c>
      <c r="F10" s="728">
        <f>SUM(F13:F62)</f>
        <v>59.365000000000002</v>
      </c>
      <c r="G10" s="720">
        <v>10</v>
      </c>
      <c r="H10" s="719">
        <f>IF(ISBLANK(G10),"",IF(F10=0,0,((F10-(F10*G10%)))))</f>
        <v>53.4285</v>
      </c>
      <c r="I10" s="961">
        <f>IF(ISBLANK(G10),"",(H10/D10)*1000)</f>
        <v>534.28499999999997</v>
      </c>
      <c r="J10" s="717" t="s">
        <v>190</v>
      </c>
      <c r="K10" s="711"/>
      <c r="L10" s="716" t="s">
        <v>37</v>
      </c>
      <c r="M10" s="960">
        <f>IF(ISBLANK(K9),J7,"")</f>
        <v>600</v>
      </c>
      <c r="N10" s="959" t="str">
        <f>IF(ISBLANK(K9),"Portions","")</f>
        <v>Portions</v>
      </c>
      <c r="O10" s="713">
        <f>IF(ISBLANK(K9),L7,K9)</f>
        <v>72</v>
      </c>
      <c r="P10" s="958" t="str">
        <f>IF(ISBLANK(K9),"Kg",L9)</f>
        <v>Kg</v>
      </c>
      <c r="Q10" s="3926"/>
      <c r="R10" s="672"/>
      <c r="S10" s="949"/>
      <c r="T10" s="609"/>
      <c r="U10" s="624" t="s">
        <v>240</v>
      </c>
      <c r="V10" s="623">
        <f>(V8/Z8)*Z10</f>
        <v>18.46153846153846</v>
      </c>
      <c r="W10" s="622"/>
      <c r="X10" s="376"/>
      <c r="Y10" s="286">
        <f>(Y8/Z8)*Z10</f>
        <v>184.61538461538458</v>
      </c>
      <c r="Z10" s="621">
        <v>120</v>
      </c>
      <c r="AA10" s="957" t="s">
        <v>223</v>
      </c>
      <c r="AB10" s="619"/>
      <c r="AC10" s="949"/>
      <c r="AD10" s="954"/>
      <c r="AE10" s="953" t="s">
        <v>38</v>
      </c>
      <c r="AF10" s="915" t="str">
        <f>LEFT(ADDRESS(1,COLUMN(D12),4),LEN(ADDRESS(1,COLUMN(D12),4))-1)</f>
        <v>D</v>
      </c>
      <c r="AG10" s="949"/>
      <c r="AH10" s="381">
        <v>23.25</v>
      </c>
    </row>
    <row r="11" spans="1:34" ht="23.25" customHeight="1">
      <c r="A11" s="3683"/>
      <c r="B11" s="672"/>
      <c r="C11" s="956" t="s">
        <v>59</v>
      </c>
      <c r="D11" s="702" t="s">
        <v>60</v>
      </c>
      <c r="E11" s="701" t="s">
        <v>61</v>
      </c>
      <c r="F11" s="700"/>
      <c r="G11" s="3934" t="s">
        <v>44</v>
      </c>
      <c r="H11" s="3934"/>
      <c r="I11" s="3934"/>
      <c r="J11" s="699">
        <f>D10</f>
        <v>100</v>
      </c>
      <c r="K11" s="833"/>
      <c r="L11" s="698">
        <f>L64</f>
        <v>72</v>
      </c>
      <c r="M11" s="697">
        <f>N65</f>
        <v>5.9428956455824107</v>
      </c>
      <c r="N11" s="696">
        <f>N64</f>
        <v>66.057104354417589</v>
      </c>
      <c r="O11" s="695"/>
      <c r="P11" s="955" t="s">
        <v>37</v>
      </c>
      <c r="Q11" s="3926"/>
      <c r="R11" s="672"/>
      <c r="S11" s="949"/>
      <c r="T11" s="618" t="s">
        <v>238</v>
      </c>
      <c r="U11" s="617"/>
      <c r="V11" s="617"/>
      <c r="W11" s="617"/>
      <c r="X11" s="617"/>
      <c r="Y11" s="617"/>
      <c r="Z11" s="617"/>
      <c r="AA11" s="617"/>
      <c r="AB11" s="616"/>
      <c r="AC11" s="949"/>
      <c r="AD11" s="954"/>
      <c r="AE11" s="953" t="s">
        <v>51</v>
      </c>
      <c r="AF11" s="915" t="str">
        <f>LEFT(ADDRESS(1,COLUMN(E12),4),LEN(ADDRESS(1,COLUMN(E12),4))-1)</f>
        <v>E</v>
      </c>
      <c r="AG11" s="949"/>
      <c r="AH11" s="381">
        <v>23.25</v>
      </c>
    </row>
    <row r="12" spans="1:34" ht="23.25" customHeight="1">
      <c r="A12" s="3683"/>
      <c r="B12" s="672"/>
      <c r="C12" s="3273" t="s">
        <v>270</v>
      </c>
      <c r="D12" s="3272" t="s">
        <v>41</v>
      </c>
      <c r="E12" s="3271" t="s">
        <v>65</v>
      </c>
      <c r="F12" s="3270" t="s">
        <v>269</v>
      </c>
      <c r="G12" s="680" t="s">
        <v>268</v>
      </c>
      <c r="H12" s="679" t="s">
        <v>267</v>
      </c>
      <c r="I12" s="3269"/>
      <c r="J12" s="1645" t="s">
        <v>40</v>
      </c>
      <c r="K12" s="676" t="s">
        <v>41</v>
      </c>
      <c r="L12" s="676" t="s">
        <v>20</v>
      </c>
      <c r="M12" s="430" t="s">
        <v>46</v>
      </c>
      <c r="N12" s="675" t="s">
        <v>47</v>
      </c>
      <c r="O12" s="674" t="s">
        <v>266</v>
      </c>
      <c r="P12" s="673">
        <f>SUM(P13:P62)</f>
        <v>31.533731996967905</v>
      </c>
      <c r="Q12" s="3926"/>
      <c r="R12" s="672"/>
      <c r="S12" s="949"/>
      <c r="T12" s="615">
        <v>14</v>
      </c>
      <c r="U12" s="378" t="s">
        <v>237</v>
      </c>
      <c r="V12" s="378"/>
      <c r="W12" s="378"/>
      <c r="X12" s="378"/>
      <c r="Y12" s="378"/>
      <c r="Z12" s="378"/>
      <c r="AA12" s="378"/>
      <c r="AB12" s="608"/>
      <c r="AC12" s="949"/>
      <c r="AD12" s="74" t="s">
        <v>59</v>
      </c>
      <c r="AE12" s="75" t="s">
        <v>60</v>
      </c>
      <c r="AF12" s="663" t="s">
        <v>61</v>
      </c>
      <c r="AG12" s="949"/>
      <c r="AH12" s="381">
        <v>23.25</v>
      </c>
    </row>
    <row r="13" spans="1:34" ht="15" customHeight="1">
      <c r="A13" s="3683"/>
      <c r="B13" s="515"/>
      <c r="C13" s="545"/>
      <c r="D13" s="544"/>
      <c r="E13" s="543">
        <v>14</v>
      </c>
      <c r="F13" s="3268">
        <f t="shared" ref="F13:F44" si="0">IF(ISBLANK(C13),E13,C13*E13)</f>
        <v>14</v>
      </c>
      <c r="G13" s="541">
        <v>263551</v>
      </c>
      <c r="H13" s="3267" t="s">
        <v>6692</v>
      </c>
      <c r="I13" s="3266"/>
      <c r="J13" s="540">
        <f>IF(ISBLANK(J9),(C13/F10)*L7,(C13/J9)*K9)</f>
        <v>0</v>
      </c>
      <c r="K13" s="539">
        <f t="shared" ref="K13:K44" si="1">D13</f>
        <v>0</v>
      </c>
      <c r="L13" s="538">
        <f>IF(ISBLANK(J9),(F13/F10)*L7,(F13/J9)*K9)</f>
        <v>16.97970184452118</v>
      </c>
      <c r="M13" s="518">
        <v>35</v>
      </c>
      <c r="N13" s="927">
        <f t="shared" ref="N13:N44" si="2">IF(F13=0,0,((L13-(L13*M13%))))</f>
        <v>11.036806198938768</v>
      </c>
      <c r="O13" s="516">
        <v>1.5</v>
      </c>
      <c r="P13" s="925">
        <f t="shared" ref="P13:P44" si="3">IF(ISBLANK(E13),J13*O13,L13*O13)</f>
        <v>25.469552766781771</v>
      </c>
      <c r="Q13" s="3926"/>
      <c r="R13" s="515"/>
      <c r="S13" s="900"/>
      <c r="T13" s="609"/>
      <c r="U13" s="378" t="s">
        <v>234</v>
      </c>
      <c r="V13" s="378"/>
      <c r="W13" s="378"/>
      <c r="X13" s="378"/>
      <c r="Y13" s="378"/>
      <c r="Z13" s="378"/>
      <c r="AA13" s="378"/>
      <c r="AB13" s="608"/>
      <c r="AC13" s="949"/>
      <c r="AD13" s="3718" t="s">
        <v>64</v>
      </c>
      <c r="AE13" s="3650" t="s">
        <v>41</v>
      </c>
      <c r="AF13" s="3652" t="s">
        <v>65</v>
      </c>
      <c r="AG13" s="949"/>
      <c r="AH13" s="381">
        <v>15</v>
      </c>
    </row>
    <row r="14" spans="1:34" ht="15" customHeight="1">
      <c r="A14" s="3683"/>
      <c r="B14" s="515"/>
      <c r="C14" s="528"/>
      <c r="D14" s="527"/>
      <c r="E14" s="526">
        <v>0</v>
      </c>
      <c r="F14" s="525">
        <f t="shared" si="0"/>
        <v>0</v>
      </c>
      <c r="G14" s="524"/>
      <c r="H14" s="3253" t="s">
        <v>6691</v>
      </c>
      <c r="I14" s="522"/>
      <c r="J14" s="950">
        <f>IF(ISBLANK(J9),(C14/F10)*L7,(C14/J9)*K9)</f>
        <v>0</v>
      </c>
      <c r="K14" s="520">
        <f t="shared" si="1"/>
        <v>0</v>
      </c>
      <c r="L14" s="519">
        <f>IF(ISBLANK(J9),(F14/F10)*L7,(F14/J9)*K9)</f>
        <v>0</v>
      </c>
      <c r="M14" s="518"/>
      <c r="N14" s="926">
        <f t="shared" si="2"/>
        <v>0</v>
      </c>
      <c r="O14" s="516">
        <v>1</v>
      </c>
      <c r="P14" s="925">
        <f t="shared" si="3"/>
        <v>0</v>
      </c>
      <c r="Q14" s="3926"/>
      <c r="R14" s="515"/>
      <c r="S14" s="900"/>
      <c r="T14" s="609"/>
      <c r="U14" s="378" t="s">
        <v>233</v>
      </c>
      <c r="V14" s="378"/>
      <c r="W14" s="378"/>
      <c r="X14" s="378"/>
      <c r="Y14" s="378"/>
      <c r="Z14" s="378"/>
      <c r="AA14" s="378"/>
      <c r="AB14" s="608"/>
      <c r="AC14" s="949"/>
      <c r="AD14" s="3935"/>
      <c r="AE14" s="3936"/>
      <c r="AF14" s="3937"/>
      <c r="AG14" s="949"/>
      <c r="AH14" s="381">
        <v>15</v>
      </c>
    </row>
    <row r="15" spans="1:34" ht="15" customHeight="1">
      <c r="A15" s="3683"/>
      <c r="B15" s="515"/>
      <c r="C15" s="545"/>
      <c r="D15" s="544"/>
      <c r="E15" s="543">
        <v>4</v>
      </c>
      <c r="F15" s="542">
        <f t="shared" si="0"/>
        <v>4</v>
      </c>
      <c r="G15" s="541">
        <v>2124568</v>
      </c>
      <c r="H15" s="3247" t="s">
        <v>6677</v>
      </c>
      <c r="I15" s="522"/>
      <c r="J15" s="540">
        <f>IF(ISBLANK(J9),(C15/F10)*L7,(C15/J9)*K9)</f>
        <v>0</v>
      </c>
      <c r="K15" s="539">
        <f t="shared" si="1"/>
        <v>0</v>
      </c>
      <c r="L15" s="538">
        <f>IF(ISBLANK(J9),(F15/F10)*L7,(F15/J9)*K9)</f>
        <v>4.8513433841489082</v>
      </c>
      <c r="M15" s="518"/>
      <c r="N15" s="927">
        <f t="shared" si="2"/>
        <v>4.8513433841489082</v>
      </c>
      <c r="O15" s="516">
        <v>1</v>
      </c>
      <c r="P15" s="925">
        <f t="shared" si="3"/>
        <v>4.8513433841489082</v>
      </c>
      <c r="Q15" s="3926"/>
      <c r="R15" s="515"/>
      <c r="S15" s="900"/>
      <c r="T15" s="614" t="s">
        <v>232</v>
      </c>
      <c r="U15" s="3938" t="s">
        <v>231</v>
      </c>
      <c r="V15" s="3939" t="s">
        <v>230</v>
      </c>
      <c r="W15" s="3265"/>
      <c r="X15" s="3265"/>
      <c r="Y15" s="3265"/>
      <c r="Z15" s="3265"/>
      <c r="AA15" s="3265"/>
      <c r="AB15" s="3264"/>
      <c r="AC15" s="949"/>
      <c r="AD15" s="126">
        <v>2</v>
      </c>
      <c r="AE15" s="127" t="s">
        <v>71</v>
      </c>
      <c r="AF15" s="633">
        <v>0.05</v>
      </c>
      <c r="AG15" s="949"/>
      <c r="AH15" s="381">
        <v>15</v>
      </c>
    </row>
    <row r="16" spans="1:34" ht="15" customHeight="1">
      <c r="A16" s="3683"/>
      <c r="B16" s="515"/>
      <c r="C16" s="528"/>
      <c r="D16" s="527"/>
      <c r="E16" s="526">
        <v>1</v>
      </c>
      <c r="F16" s="525">
        <f t="shared" si="0"/>
        <v>1</v>
      </c>
      <c r="G16" s="524"/>
      <c r="H16" s="3247" t="s">
        <v>6690</v>
      </c>
      <c r="I16" s="522"/>
      <c r="J16" s="950">
        <f>IF(ISBLANK(J9),(C16/F10)*L7,(C16/J9)*K9)</f>
        <v>0</v>
      </c>
      <c r="K16" s="520">
        <f t="shared" si="1"/>
        <v>0</v>
      </c>
      <c r="L16" s="519">
        <f>IF(ISBLANK(J9),(F16/F10)*L7,(F16/J9)*K9)</f>
        <v>1.212835846037227</v>
      </c>
      <c r="M16" s="518"/>
      <c r="N16" s="926">
        <f t="shared" si="2"/>
        <v>1.212835846037227</v>
      </c>
      <c r="O16" s="516">
        <v>1</v>
      </c>
      <c r="P16" s="925">
        <f t="shared" si="3"/>
        <v>1.212835846037227</v>
      </c>
      <c r="Q16" s="3926"/>
      <c r="R16" s="515"/>
      <c r="S16" s="900"/>
      <c r="T16" s="609"/>
      <c r="U16" s="3688"/>
      <c r="V16" s="3690"/>
      <c r="W16" s="378"/>
      <c r="X16" s="378"/>
      <c r="Y16" s="378"/>
      <c r="Z16" s="378"/>
      <c r="AA16" s="378"/>
      <c r="AB16" s="608"/>
      <c r="AC16" s="949"/>
      <c r="AD16" s="948"/>
      <c r="AE16" s="947" t="s">
        <v>73</v>
      </c>
      <c r="AF16" s="946"/>
      <c r="AG16" s="949"/>
      <c r="AH16" s="381">
        <v>15</v>
      </c>
    </row>
    <row r="17" spans="1:34" ht="15" customHeight="1" thickBot="1">
      <c r="A17" s="3683"/>
      <c r="B17" s="515"/>
      <c r="C17" s="545"/>
      <c r="D17" s="544"/>
      <c r="E17" s="543">
        <v>0.2</v>
      </c>
      <c r="F17" s="542">
        <f t="shared" si="0"/>
        <v>0.2</v>
      </c>
      <c r="G17" s="541"/>
      <c r="H17" s="3247" t="s">
        <v>6689</v>
      </c>
      <c r="I17" s="522"/>
      <c r="J17" s="540">
        <f>IF(ISBLANK(J9),(C17/F10)*L7,(C17/J9)*K9)</f>
        <v>0</v>
      </c>
      <c r="K17" s="539">
        <f t="shared" si="1"/>
        <v>0</v>
      </c>
      <c r="L17" s="538">
        <f>IF(ISBLANK(J9),(F17/F10)*L7,(F17/J9)*K9)</f>
        <v>0.24256716920744548</v>
      </c>
      <c r="M17" s="518"/>
      <c r="N17" s="927">
        <f t="shared" si="2"/>
        <v>0.24256716920744548</v>
      </c>
      <c r="O17" s="516"/>
      <c r="P17" s="925">
        <f t="shared" si="3"/>
        <v>0</v>
      </c>
      <c r="Q17" s="3926"/>
      <c r="R17" s="515"/>
      <c r="S17" s="900"/>
      <c r="T17" s="3256"/>
      <c r="U17" s="3263">
        <v>14</v>
      </c>
      <c r="V17" s="3262">
        <v>18.46</v>
      </c>
      <c r="W17" s="3261" t="s">
        <v>228</v>
      </c>
      <c r="X17" s="3255"/>
      <c r="Y17" s="3255"/>
      <c r="Z17" s="3255"/>
      <c r="AA17" s="3255"/>
      <c r="AB17" s="3260"/>
      <c r="AC17" s="900"/>
      <c r="AD17" s="126"/>
      <c r="AE17" s="127"/>
      <c r="AF17" s="633">
        <v>0.15</v>
      </c>
      <c r="AG17" s="900"/>
      <c r="AH17" s="381">
        <v>15</v>
      </c>
    </row>
    <row r="18" spans="1:34" ht="15" customHeight="1" thickBot="1">
      <c r="A18" s="3683"/>
      <c r="B18" s="515"/>
      <c r="C18" s="528"/>
      <c r="D18" s="527"/>
      <c r="E18" s="526">
        <v>0.5</v>
      </c>
      <c r="F18" s="525">
        <f t="shared" si="0"/>
        <v>0.5</v>
      </c>
      <c r="G18" s="524"/>
      <c r="H18" s="3247" t="s">
        <v>6688</v>
      </c>
      <c r="I18" s="522"/>
      <c r="J18" s="521">
        <f>IF(ISBLANK(J9),(C18/F10)*L7,(C18/J9)*K9)</f>
        <v>0</v>
      </c>
      <c r="K18" s="520">
        <f t="shared" si="1"/>
        <v>0</v>
      </c>
      <c r="L18" s="519">
        <f>IF(ISBLANK(J9),(F18/F10)*L7,(F18/J9)*K9)</f>
        <v>0.60641792301861352</v>
      </c>
      <c r="M18" s="518"/>
      <c r="N18" s="926">
        <f t="shared" si="2"/>
        <v>0.60641792301861352</v>
      </c>
      <c r="O18" s="516"/>
      <c r="P18" s="925">
        <f t="shared" si="3"/>
        <v>0</v>
      </c>
      <c r="Q18" s="3926"/>
      <c r="R18" s="515"/>
      <c r="S18" s="900"/>
      <c r="T18" s="376"/>
      <c r="U18" s="376"/>
      <c r="V18" s="376"/>
      <c r="W18" s="376"/>
      <c r="X18" s="376"/>
      <c r="Y18" s="376"/>
      <c r="Z18" s="376"/>
      <c r="AA18" s="376"/>
      <c r="AB18" s="376"/>
      <c r="AC18" s="900"/>
      <c r="AD18" s="948"/>
      <c r="AE18" s="947" t="s">
        <v>77</v>
      </c>
      <c r="AF18" s="946"/>
      <c r="AG18" s="900"/>
      <c r="AH18" s="381">
        <v>15</v>
      </c>
    </row>
    <row r="19" spans="1:34" ht="15" customHeight="1">
      <c r="A19" s="3683"/>
      <c r="B19" s="515"/>
      <c r="C19" s="545"/>
      <c r="D19" s="544" t="s">
        <v>327</v>
      </c>
      <c r="E19" s="543"/>
      <c r="F19" s="542">
        <f t="shared" si="0"/>
        <v>0</v>
      </c>
      <c r="G19" s="541"/>
      <c r="H19" s="3247" t="s">
        <v>6687</v>
      </c>
      <c r="I19" s="522"/>
      <c r="J19" s="540">
        <f>IF(ISBLANK(J9),(C19/F10)*L7,(C19/J9)*K9)</f>
        <v>0</v>
      </c>
      <c r="K19" s="539" t="str">
        <f t="shared" si="1"/>
        <v>PM</v>
      </c>
      <c r="L19" s="538">
        <f>IF(ISBLANK(J9),(F19/F10)*L7,(F19/J9)*K9)</f>
        <v>0</v>
      </c>
      <c r="M19" s="518"/>
      <c r="N19" s="927">
        <f t="shared" si="2"/>
        <v>0</v>
      </c>
      <c r="O19" s="516"/>
      <c r="P19" s="925">
        <f t="shared" si="3"/>
        <v>0</v>
      </c>
      <c r="Q19" s="3926"/>
      <c r="R19" s="515"/>
      <c r="S19" s="900"/>
      <c r="T19" s="3691" t="s">
        <v>227</v>
      </c>
      <c r="U19" s="3692"/>
      <c r="V19" s="3692"/>
      <c r="W19" s="3692"/>
      <c r="X19" s="3692"/>
      <c r="Y19" s="3692"/>
      <c r="Z19" s="3692"/>
      <c r="AA19" s="3692"/>
      <c r="AB19" s="3693"/>
      <c r="AC19" s="900"/>
      <c r="AD19" s="126">
        <v>3</v>
      </c>
      <c r="AE19" s="127" t="s">
        <v>79</v>
      </c>
      <c r="AF19" s="633">
        <v>0.02</v>
      </c>
      <c r="AG19" s="900"/>
      <c r="AH19" s="381">
        <v>15</v>
      </c>
    </row>
    <row r="20" spans="1:34" ht="15" customHeight="1">
      <c r="A20" s="3683"/>
      <c r="B20" s="515"/>
      <c r="C20" s="528"/>
      <c r="D20" s="527"/>
      <c r="E20" s="526">
        <v>12</v>
      </c>
      <c r="F20" s="525">
        <f t="shared" si="0"/>
        <v>12</v>
      </c>
      <c r="G20" s="524"/>
      <c r="H20" s="3247" t="s">
        <v>6686</v>
      </c>
      <c r="I20" s="522"/>
      <c r="J20" s="521">
        <f>IF(ISBLANK(J9),(C20/F10)*L7,(C20/J9)*K9)</f>
        <v>0</v>
      </c>
      <c r="K20" s="520">
        <f t="shared" si="1"/>
        <v>0</v>
      </c>
      <c r="L20" s="519">
        <f>IF(ISBLANK(J9),(F20/F10)*L7,(F20/J9)*K9)</f>
        <v>14.554030152446728</v>
      </c>
      <c r="M20" s="518"/>
      <c r="N20" s="926">
        <f t="shared" si="2"/>
        <v>14.554030152446728</v>
      </c>
      <c r="O20" s="516"/>
      <c r="P20" s="925">
        <f t="shared" si="3"/>
        <v>0</v>
      </c>
      <c r="Q20" s="3926"/>
      <c r="R20" s="515"/>
      <c r="S20" s="900"/>
      <c r="T20" s="600"/>
      <c r="U20" s="579"/>
      <c r="V20" s="579"/>
      <c r="W20" s="579"/>
      <c r="X20" s="579"/>
      <c r="Y20" s="579"/>
      <c r="Z20" s="579"/>
      <c r="AA20" s="579"/>
      <c r="AB20" s="584"/>
      <c r="AC20" s="900"/>
      <c r="AD20" s="948"/>
      <c r="AE20" s="947" t="s">
        <v>81</v>
      </c>
      <c r="AF20" s="946"/>
      <c r="AG20" s="900"/>
      <c r="AH20" s="381">
        <v>15</v>
      </c>
    </row>
    <row r="21" spans="1:34" ht="15" customHeight="1">
      <c r="A21" s="3683"/>
      <c r="B21" s="515"/>
      <c r="C21" s="545"/>
      <c r="D21" s="544"/>
      <c r="E21" s="543">
        <v>1</v>
      </c>
      <c r="F21" s="542">
        <f t="shared" si="0"/>
        <v>1</v>
      </c>
      <c r="G21" s="541"/>
      <c r="H21" s="3247" t="s">
        <v>6685</v>
      </c>
      <c r="I21" s="522"/>
      <c r="J21" s="540">
        <f>IF(ISBLANK(J9),(C21/F10)*L7,(C21/J9)*K9)</f>
        <v>0</v>
      </c>
      <c r="K21" s="539">
        <f t="shared" si="1"/>
        <v>0</v>
      </c>
      <c r="L21" s="538">
        <f>IF(ISBLANK(J9),(F21/F10)*L7,(F21/J9)*K9)</f>
        <v>1.212835846037227</v>
      </c>
      <c r="M21" s="518"/>
      <c r="N21" s="927">
        <f t="shared" si="2"/>
        <v>1.212835846037227</v>
      </c>
      <c r="O21" s="516"/>
      <c r="P21" s="925">
        <f t="shared" si="3"/>
        <v>0</v>
      </c>
      <c r="Q21" s="3926"/>
      <c r="R21" s="515"/>
      <c r="S21" s="900"/>
      <c r="T21" s="599"/>
      <c r="U21" s="579"/>
      <c r="V21" s="579"/>
      <c r="W21" s="579"/>
      <c r="X21" s="598" t="s">
        <v>226</v>
      </c>
      <c r="Y21" s="940" t="str">
        <f>ADDRESS(ROW(Z8),COLUMN(Z8),4)</f>
        <v>Z8</v>
      </c>
      <c r="Z21" s="597">
        <f>Z8</f>
        <v>91.000000000000014</v>
      </c>
      <c r="AA21" s="579" t="s">
        <v>225</v>
      </c>
      <c r="AB21" s="584"/>
      <c r="AC21" s="900"/>
      <c r="AD21" s="126">
        <v>5</v>
      </c>
      <c r="AE21" s="127" t="s">
        <v>83</v>
      </c>
      <c r="AF21" s="633">
        <v>0.05</v>
      </c>
      <c r="AG21" s="900"/>
      <c r="AH21" s="381">
        <v>15</v>
      </c>
    </row>
    <row r="22" spans="1:34" ht="15" customHeight="1">
      <c r="A22" s="3683"/>
      <c r="B22" s="515"/>
      <c r="C22" s="528"/>
      <c r="D22" s="527"/>
      <c r="E22" s="526"/>
      <c r="F22" s="525">
        <f t="shared" si="0"/>
        <v>0</v>
      </c>
      <c r="G22" s="524"/>
      <c r="H22" s="3247"/>
      <c r="I22" s="522"/>
      <c r="J22" s="521">
        <f>IF(ISBLANK(J9),(C22/F10)*L7,(C22/J9)*K9)</f>
        <v>0</v>
      </c>
      <c r="K22" s="520">
        <f t="shared" si="1"/>
        <v>0</v>
      </c>
      <c r="L22" s="519">
        <f>IF(ISBLANK(J9),(F22/F10)*L7,(F22/J9)*K9)</f>
        <v>0</v>
      </c>
      <c r="M22" s="518"/>
      <c r="N22" s="926">
        <f t="shared" si="2"/>
        <v>0</v>
      </c>
      <c r="O22" s="516"/>
      <c r="P22" s="925">
        <f t="shared" si="3"/>
        <v>0</v>
      </c>
      <c r="Q22" s="3926"/>
      <c r="R22" s="515"/>
      <c r="S22" s="900"/>
      <c r="T22" s="580"/>
      <c r="U22" s="579"/>
      <c r="V22" s="579"/>
      <c r="W22" s="579"/>
      <c r="X22" s="596" t="s">
        <v>224</v>
      </c>
      <c r="Y22" s="945" t="str">
        <f>ADDRESS(ROW(Z10),COLUMN(Z10),4)</f>
        <v>Z10</v>
      </c>
      <c r="Z22" s="594">
        <f>Z10</f>
        <v>120</v>
      </c>
      <c r="AA22" s="593" t="s">
        <v>223</v>
      </c>
      <c r="AB22" s="584"/>
      <c r="AC22" s="900"/>
      <c r="AD22" s="944"/>
      <c r="AE22" s="943"/>
      <c r="AF22" s="914"/>
      <c r="AG22" s="900"/>
      <c r="AH22" s="381">
        <v>15</v>
      </c>
    </row>
    <row r="23" spans="1:34" ht="15" customHeight="1">
      <c r="A23" s="3683"/>
      <c r="B23" s="515"/>
      <c r="C23" s="545"/>
      <c r="D23" s="544"/>
      <c r="E23" s="543"/>
      <c r="F23" s="542">
        <f t="shared" si="0"/>
        <v>0</v>
      </c>
      <c r="G23" s="541"/>
      <c r="H23" s="3253" t="s">
        <v>6684</v>
      </c>
      <c r="I23" s="522"/>
      <c r="J23" s="540">
        <f>IF(ISBLANK(J9),(C23/F10)*L7,(C23/J9)*K9)</f>
        <v>0</v>
      </c>
      <c r="K23" s="539">
        <f t="shared" si="1"/>
        <v>0</v>
      </c>
      <c r="L23" s="538">
        <f>IF(ISBLANK(J9),(F23/F10)*L7,(F23/J9)*K9)</f>
        <v>0</v>
      </c>
      <c r="M23" s="518"/>
      <c r="N23" s="927">
        <f t="shared" si="2"/>
        <v>0</v>
      </c>
      <c r="O23" s="516"/>
      <c r="P23" s="925">
        <f t="shared" si="3"/>
        <v>0</v>
      </c>
      <c r="Q23" s="3926"/>
      <c r="R23" s="515"/>
      <c r="S23" s="900"/>
      <c r="T23" s="592" t="s">
        <v>222</v>
      </c>
      <c r="U23" s="579"/>
      <c r="V23" s="579"/>
      <c r="W23" s="579"/>
      <c r="X23" s="585"/>
      <c r="Y23" s="579"/>
      <c r="Z23" s="579"/>
      <c r="AA23" s="579"/>
      <c r="AB23" s="584"/>
      <c r="AC23" s="900"/>
      <c r="AD23" s="942"/>
      <c r="AE23" s="941" t="s">
        <v>241</v>
      </c>
      <c r="AF23" s="929" t="str">
        <f>ADDRESS(ROW(D10),COLUMN(D10),4)</f>
        <v>D10</v>
      </c>
      <c r="AG23" s="900"/>
      <c r="AH23" s="381">
        <v>15</v>
      </c>
    </row>
    <row r="24" spans="1:34" ht="15" customHeight="1">
      <c r="A24" s="3683"/>
      <c r="B24" s="515"/>
      <c r="C24" s="528"/>
      <c r="D24" s="527"/>
      <c r="E24" s="526">
        <v>5</v>
      </c>
      <c r="F24" s="525">
        <f t="shared" si="0"/>
        <v>5</v>
      </c>
      <c r="G24" s="524"/>
      <c r="H24" s="3247" t="s">
        <v>6683</v>
      </c>
      <c r="I24" s="522"/>
      <c r="J24" s="521">
        <f>IF(ISBLANK(J9),(C24/F10)*L7,(C24/J9)*K9)</f>
        <v>0</v>
      </c>
      <c r="K24" s="520">
        <f t="shared" si="1"/>
        <v>0</v>
      </c>
      <c r="L24" s="519">
        <f>IF(ISBLANK(J9),(F24/F10)*L7,(F24/J9)*K9)</f>
        <v>6.064179230186137</v>
      </c>
      <c r="M24" s="518"/>
      <c r="N24" s="926">
        <f t="shared" si="2"/>
        <v>6.064179230186137</v>
      </c>
      <c r="O24" s="516"/>
      <c r="P24" s="925">
        <f t="shared" si="3"/>
        <v>0</v>
      </c>
      <c r="Q24" s="3926"/>
      <c r="R24" s="515"/>
      <c r="S24" s="900"/>
      <c r="T24" s="591"/>
      <c r="U24" s="590"/>
      <c r="V24" s="589"/>
      <c r="W24" s="589"/>
      <c r="X24" s="588" t="s">
        <v>220</v>
      </c>
      <c r="Y24" s="940" t="str">
        <f>LEFT(ADDRESS(1,COLUMN(F12),4),LEN(ADDRESS(1,COLUMN(F12),4))-1)</f>
        <v>F</v>
      </c>
      <c r="Z24" s="378"/>
      <c r="AA24" s="378"/>
      <c r="AB24" s="584"/>
      <c r="AC24" s="900"/>
      <c r="AD24" s="3259"/>
      <c r="AE24" s="3258"/>
      <c r="AF24" s="3257"/>
      <c r="AG24" s="900"/>
      <c r="AH24" s="381">
        <v>15</v>
      </c>
    </row>
    <row r="25" spans="1:34" ht="15" customHeight="1">
      <c r="A25" s="3683"/>
      <c r="B25" s="515"/>
      <c r="C25" s="545"/>
      <c r="D25" s="544"/>
      <c r="E25" s="543">
        <v>1</v>
      </c>
      <c r="F25" s="542">
        <f t="shared" si="0"/>
        <v>1</v>
      </c>
      <c r="G25" s="541"/>
      <c r="H25" s="3247" t="s">
        <v>6682</v>
      </c>
      <c r="I25" s="522"/>
      <c r="J25" s="540">
        <f>IF(ISBLANK(J9),(C25/F10)*L7,(C25/J9)*K9)</f>
        <v>0</v>
      </c>
      <c r="K25" s="539">
        <f t="shared" si="1"/>
        <v>0</v>
      </c>
      <c r="L25" s="538">
        <f>IF(ISBLANK(J9),(F25/F10)*L7,(F25/J9)*K9)</f>
        <v>1.212835846037227</v>
      </c>
      <c r="M25" s="518"/>
      <c r="N25" s="927">
        <f t="shared" si="2"/>
        <v>1.212835846037227</v>
      </c>
      <c r="O25" s="516"/>
      <c r="P25" s="925">
        <f t="shared" si="3"/>
        <v>0</v>
      </c>
      <c r="Q25" s="3926"/>
      <c r="R25" s="515"/>
      <c r="S25" s="900"/>
      <c r="T25" s="586" t="s">
        <v>219</v>
      </c>
      <c r="U25" s="579"/>
      <c r="V25" s="579"/>
      <c r="W25" s="579"/>
      <c r="X25" s="585"/>
      <c r="Y25" s="579"/>
      <c r="Z25" s="579"/>
      <c r="AA25" s="579"/>
      <c r="AB25" s="584"/>
      <c r="AC25" s="900"/>
      <c r="AD25" s="3619" t="s">
        <v>239</v>
      </c>
      <c r="AE25" s="3940"/>
      <c r="AF25" s="3941"/>
      <c r="AG25" s="900"/>
      <c r="AH25" s="381">
        <v>15</v>
      </c>
    </row>
    <row r="26" spans="1:34" ht="15" customHeight="1">
      <c r="A26" s="3683"/>
      <c r="B26" s="515"/>
      <c r="C26" s="528"/>
      <c r="D26" s="527"/>
      <c r="E26" s="526">
        <v>1</v>
      </c>
      <c r="F26" s="525">
        <f t="shared" si="0"/>
        <v>1</v>
      </c>
      <c r="G26" s="524"/>
      <c r="H26" s="3247" t="s">
        <v>757</v>
      </c>
      <c r="I26" s="522"/>
      <c r="J26" s="521">
        <f>IF(ISBLANK(J9),(C26/F10)*L7,(C26/J9)*K9)</f>
        <v>0</v>
      </c>
      <c r="K26" s="520">
        <f t="shared" si="1"/>
        <v>0</v>
      </c>
      <c r="L26" s="519">
        <f>IF(ISBLANK(J9),(F26/F10)*L7,(F26/J9)*K9)</f>
        <v>1.212835846037227</v>
      </c>
      <c r="M26" s="518"/>
      <c r="N26" s="926">
        <f t="shared" si="2"/>
        <v>1.212835846037227</v>
      </c>
      <c r="O26" s="516"/>
      <c r="P26" s="925">
        <f t="shared" si="3"/>
        <v>0</v>
      </c>
      <c r="Q26" s="3926"/>
      <c r="R26" s="515"/>
      <c r="S26" s="900"/>
      <c r="T26" s="580"/>
      <c r="U26" s="579"/>
      <c r="V26" s="579"/>
      <c r="W26" s="578" t="s">
        <v>217</v>
      </c>
      <c r="X26" s="936" t="s">
        <v>323</v>
      </c>
      <c r="Y26" s="935" t="str">
        <f>ADDRESS(ROW(K9),COLUMN(K9),4)</f>
        <v>K9</v>
      </c>
      <c r="Z26" s="378"/>
      <c r="AA26" s="378"/>
      <c r="AB26" s="608"/>
      <c r="AC26" s="900"/>
      <c r="AD26" s="3622"/>
      <c r="AE26" s="3623"/>
      <c r="AF26" s="3624"/>
      <c r="AG26" s="900"/>
      <c r="AH26" s="381">
        <v>15</v>
      </c>
    </row>
    <row r="27" spans="1:34" ht="15" customHeight="1" thickBot="1">
      <c r="A27" s="3683"/>
      <c r="B27" s="515"/>
      <c r="C27" s="545"/>
      <c r="D27" s="544" t="s">
        <v>327</v>
      </c>
      <c r="E27" s="543"/>
      <c r="F27" s="542">
        <f t="shared" si="0"/>
        <v>0</v>
      </c>
      <c r="G27" s="541"/>
      <c r="H27" s="3247" t="s">
        <v>326</v>
      </c>
      <c r="I27" s="522"/>
      <c r="J27" s="540">
        <f>IF(ISBLANK(J9),(C27/F10)*L7,(C27/J9)*K9)</f>
        <v>0</v>
      </c>
      <c r="K27" s="539" t="str">
        <f t="shared" si="1"/>
        <v>PM</v>
      </c>
      <c r="L27" s="538">
        <f>IF(ISBLANK(J9),(F27/F10)*L7,(F27/J9)*K9)</f>
        <v>0</v>
      </c>
      <c r="M27" s="518"/>
      <c r="N27" s="927">
        <f t="shared" si="2"/>
        <v>0</v>
      </c>
      <c r="O27" s="516"/>
      <c r="P27" s="925">
        <f t="shared" si="3"/>
        <v>0</v>
      </c>
      <c r="Q27" s="3926"/>
      <c r="R27" s="515"/>
      <c r="S27" s="900"/>
      <c r="T27" s="3256"/>
      <c r="U27" s="3255"/>
      <c r="V27" s="3255"/>
      <c r="W27" s="3255"/>
      <c r="X27" s="3255"/>
      <c r="Y27" s="3255"/>
      <c r="Z27" s="3255"/>
      <c r="AA27" s="3255"/>
      <c r="AB27" s="3254"/>
      <c r="AC27" s="900"/>
      <c r="AD27" s="3625" t="s">
        <v>236</v>
      </c>
      <c r="AE27" s="3626"/>
      <c r="AF27" s="3627"/>
      <c r="AG27" s="900"/>
      <c r="AH27" s="381">
        <v>15</v>
      </c>
    </row>
    <row r="28" spans="1:34" ht="15" customHeight="1">
      <c r="A28" s="3683"/>
      <c r="B28" s="515"/>
      <c r="C28" s="528">
        <v>12</v>
      </c>
      <c r="D28" s="527" t="s">
        <v>252</v>
      </c>
      <c r="E28" s="526"/>
      <c r="F28" s="525">
        <f t="shared" si="0"/>
        <v>0</v>
      </c>
      <c r="G28" s="524"/>
      <c r="H28" s="3247" t="s">
        <v>251</v>
      </c>
      <c r="I28" s="522"/>
      <c r="J28" s="521">
        <f>IF(ISBLANK(J9),(C28/F10)*L7,(C28/J9)*K9)</f>
        <v>14.554030152446728</v>
      </c>
      <c r="K28" s="520" t="str">
        <f t="shared" si="1"/>
        <v>clous</v>
      </c>
      <c r="L28" s="519">
        <f>IF(ISBLANK(J9),(F28/F10)*L7,(F28/J9)*K9)</f>
        <v>0</v>
      </c>
      <c r="M28" s="518"/>
      <c r="N28" s="926">
        <f t="shared" si="2"/>
        <v>0</v>
      </c>
      <c r="O28" s="516"/>
      <c r="P28" s="925">
        <f t="shared" si="3"/>
        <v>0</v>
      </c>
      <c r="Q28" s="3926"/>
      <c r="R28" s="515"/>
      <c r="S28" s="900"/>
      <c r="T28" s="376"/>
      <c r="U28" s="376"/>
      <c r="V28" s="376"/>
      <c r="W28" s="376"/>
      <c r="X28" s="376"/>
      <c r="Y28" s="376"/>
      <c r="Z28" s="376"/>
      <c r="AA28" s="376"/>
      <c r="AB28" s="900"/>
      <c r="AC28" s="900"/>
      <c r="AD28" s="3625"/>
      <c r="AE28" s="3626"/>
      <c r="AF28" s="3627"/>
      <c r="AG28" s="900"/>
      <c r="AH28" s="381">
        <v>15</v>
      </c>
    </row>
    <row r="29" spans="1:34" ht="15" customHeight="1">
      <c r="A29" s="3683"/>
      <c r="B29" s="515"/>
      <c r="C29" s="545"/>
      <c r="D29" s="544"/>
      <c r="E29" s="543"/>
      <c r="F29" s="542">
        <f t="shared" si="0"/>
        <v>0</v>
      </c>
      <c r="G29" s="541"/>
      <c r="H29" s="3247"/>
      <c r="I29" s="522"/>
      <c r="J29" s="540">
        <f>IF(ISBLANK(J9),(C29/F10)*L7,(C29/J9)*K9)</f>
        <v>0</v>
      </c>
      <c r="K29" s="539">
        <f t="shared" si="1"/>
        <v>0</v>
      </c>
      <c r="L29" s="538">
        <f>IF(ISBLANK(J9),(F29/F10)*L7,(F29/J9)*K9)</f>
        <v>0</v>
      </c>
      <c r="M29" s="518"/>
      <c r="N29" s="927">
        <f t="shared" si="2"/>
        <v>0</v>
      </c>
      <c r="O29" s="516"/>
      <c r="P29" s="925">
        <f t="shared" si="3"/>
        <v>0</v>
      </c>
      <c r="Q29" s="3926"/>
      <c r="R29" s="515"/>
      <c r="S29" s="900"/>
      <c r="T29" s="395" t="s">
        <v>100</v>
      </c>
      <c r="U29" s="395"/>
      <c r="V29" s="395"/>
      <c r="W29" s="395"/>
      <c r="X29" s="395"/>
      <c r="Y29" s="395"/>
      <c r="Z29" s="395"/>
      <c r="AA29" s="395"/>
      <c r="AB29" s="900"/>
      <c r="AC29" s="933"/>
      <c r="AD29" s="3625"/>
      <c r="AE29" s="3626"/>
      <c r="AF29" s="3627"/>
      <c r="AG29" s="900"/>
      <c r="AH29" s="381">
        <v>15</v>
      </c>
    </row>
    <row r="30" spans="1:34" ht="15" customHeight="1" thickBot="1">
      <c r="A30" s="3683"/>
      <c r="B30" s="515"/>
      <c r="C30" s="528"/>
      <c r="D30" s="527"/>
      <c r="E30" s="526"/>
      <c r="F30" s="525">
        <f t="shared" si="0"/>
        <v>0</v>
      </c>
      <c r="G30" s="524"/>
      <c r="H30" s="3253" t="s">
        <v>6681</v>
      </c>
      <c r="I30" s="522"/>
      <c r="J30" s="521">
        <f>IF(ISBLANK(J9),(C30/F10)*L7,(C30/J9)*K9)</f>
        <v>0</v>
      </c>
      <c r="K30" s="520">
        <f t="shared" si="1"/>
        <v>0</v>
      </c>
      <c r="L30" s="519">
        <f>IF(ISBLANK(J9),(F30/F10)*L7,(F30/J9)*K9)</f>
        <v>0</v>
      </c>
      <c r="M30" s="518"/>
      <c r="N30" s="926">
        <f t="shared" si="2"/>
        <v>0</v>
      </c>
      <c r="O30" s="516"/>
      <c r="P30" s="925">
        <f t="shared" si="3"/>
        <v>0</v>
      </c>
      <c r="Q30" s="3926"/>
      <c r="R30" s="515"/>
      <c r="S30" s="900"/>
      <c r="T30" s="395" t="s">
        <v>101</v>
      </c>
      <c r="U30" s="395"/>
      <c r="V30" s="395"/>
      <c r="W30" s="395"/>
      <c r="X30" s="395"/>
      <c r="Y30" s="395"/>
      <c r="Z30" s="395"/>
      <c r="AA30" s="395"/>
      <c r="AB30" s="900"/>
      <c r="AC30" s="933"/>
      <c r="AD30" s="583" t="s">
        <v>229</v>
      </c>
      <c r="AE30" s="611"/>
      <c r="AF30" s="610"/>
      <c r="AG30" s="900"/>
      <c r="AH30" s="381">
        <v>15</v>
      </c>
    </row>
    <row r="31" spans="1:34" ht="15" customHeight="1">
      <c r="A31" s="3683"/>
      <c r="B31" s="515"/>
      <c r="C31" s="545"/>
      <c r="D31" s="544"/>
      <c r="E31" s="543">
        <v>4</v>
      </c>
      <c r="F31" s="542">
        <f t="shared" si="0"/>
        <v>4</v>
      </c>
      <c r="G31" s="541"/>
      <c r="H31" s="3247" t="s">
        <v>6680</v>
      </c>
      <c r="I31" s="522"/>
      <c r="J31" s="540">
        <f>IF(ISBLANK(J9),(C31/F10)*L7,(C31/J9)*K9)</f>
        <v>0</v>
      </c>
      <c r="K31" s="539">
        <f t="shared" si="1"/>
        <v>0</v>
      </c>
      <c r="L31" s="538">
        <f>IF(ISBLANK(J9),(F31/F10)*L7,(F31/J9)*K9)</f>
        <v>4.8513433841489082</v>
      </c>
      <c r="M31" s="518"/>
      <c r="N31" s="927">
        <f t="shared" si="2"/>
        <v>4.8513433841489082</v>
      </c>
      <c r="O31" s="516"/>
      <c r="P31" s="925">
        <f t="shared" si="3"/>
        <v>0</v>
      </c>
      <c r="Q31" s="3926"/>
      <c r="R31" s="515"/>
      <c r="S31" s="900"/>
      <c r="T31" s="395" t="s">
        <v>209</v>
      </c>
      <c r="U31" s="395"/>
      <c r="V31" s="395"/>
      <c r="W31" s="395"/>
      <c r="X31" s="395"/>
      <c r="Y31" s="395"/>
      <c r="Z31" s="395"/>
      <c r="AA31" s="395"/>
      <c r="AB31" s="900"/>
      <c r="AC31" s="933"/>
      <c r="AD31" s="3628" t="s">
        <v>87</v>
      </c>
      <c r="AE31" s="3629"/>
      <c r="AF31" s="178" t="s">
        <v>88</v>
      </c>
      <c r="AG31" s="900"/>
      <c r="AH31" s="381">
        <v>15</v>
      </c>
    </row>
    <row r="32" spans="1:34" ht="15" customHeight="1">
      <c r="A32" s="3683"/>
      <c r="B32" s="515"/>
      <c r="C32" s="528"/>
      <c r="D32" s="527"/>
      <c r="E32" s="526">
        <v>1</v>
      </c>
      <c r="F32" s="525">
        <f t="shared" si="0"/>
        <v>1</v>
      </c>
      <c r="G32" s="524"/>
      <c r="H32" s="3247" t="s">
        <v>6679</v>
      </c>
      <c r="I32" s="522"/>
      <c r="J32" s="521">
        <f>IF(ISBLANK(J9),(C32/F10)*L7,(C32/J9)*K9)</f>
        <v>0</v>
      </c>
      <c r="K32" s="520">
        <f t="shared" si="1"/>
        <v>0</v>
      </c>
      <c r="L32" s="519">
        <f>IF(ISBLANK(J9),(F32/F10)*L7,(F32/J9)*K9)</f>
        <v>1.212835846037227</v>
      </c>
      <c r="M32" s="518"/>
      <c r="N32" s="926">
        <f t="shared" si="2"/>
        <v>1.212835846037227</v>
      </c>
      <c r="O32" s="516"/>
      <c r="P32" s="925">
        <f t="shared" si="3"/>
        <v>0</v>
      </c>
      <c r="Q32" s="3926"/>
      <c r="R32" s="515"/>
      <c r="S32" s="900"/>
      <c r="T32" s="395"/>
      <c r="U32" s="395"/>
      <c r="V32" s="395"/>
      <c r="W32" s="395"/>
      <c r="X32" s="395"/>
      <c r="Y32" s="395"/>
      <c r="Z32" s="395"/>
      <c r="AA32" s="395"/>
      <c r="AB32" s="900"/>
      <c r="AC32" s="933"/>
      <c r="AD32" s="3252"/>
      <c r="AE32" s="3251"/>
      <c r="AF32" s="3250" t="s">
        <v>89</v>
      </c>
      <c r="AG32" s="900"/>
      <c r="AH32" s="381">
        <v>15</v>
      </c>
    </row>
    <row r="33" spans="1:34" ht="15" customHeight="1">
      <c r="A33" s="3683"/>
      <c r="B33" s="515"/>
      <c r="C33" s="545"/>
      <c r="D33" s="544"/>
      <c r="E33" s="543">
        <v>4</v>
      </c>
      <c r="F33" s="542">
        <f t="shared" si="0"/>
        <v>4</v>
      </c>
      <c r="G33" s="541"/>
      <c r="H33" s="3247" t="s">
        <v>6678</v>
      </c>
      <c r="I33" s="522"/>
      <c r="J33" s="540">
        <f>IF(ISBLANK(J9),(C33/F10)*L7,(C33/J9)*K9)</f>
        <v>0</v>
      </c>
      <c r="K33" s="539">
        <f t="shared" si="1"/>
        <v>0</v>
      </c>
      <c r="L33" s="538">
        <f>IF(ISBLANK(J9),(F33/F10)*L7,(F33/J9)*K9)</f>
        <v>4.8513433841489082</v>
      </c>
      <c r="M33" s="518"/>
      <c r="N33" s="927">
        <f t="shared" si="2"/>
        <v>4.8513433841489082</v>
      </c>
      <c r="O33" s="516"/>
      <c r="P33" s="925">
        <f t="shared" si="3"/>
        <v>0</v>
      </c>
      <c r="Q33" s="3926"/>
      <c r="R33" s="515"/>
      <c r="S33" s="900"/>
      <c r="T33" s="559" t="s">
        <v>106</v>
      </c>
      <c r="U33" s="558"/>
      <c r="V33" s="558"/>
      <c r="W33" s="558"/>
      <c r="X33" s="558"/>
      <c r="Y33" s="558"/>
      <c r="Z33" s="558"/>
      <c r="AA33" s="558"/>
      <c r="AB33" s="900"/>
      <c r="AC33" s="933"/>
      <c r="AD33" s="3622" t="s">
        <v>90</v>
      </c>
      <c r="AE33" s="3623"/>
      <c r="AF33" s="3624"/>
      <c r="AG33" s="900"/>
      <c r="AH33" s="381">
        <v>15</v>
      </c>
    </row>
    <row r="34" spans="1:34" ht="15" customHeight="1">
      <c r="A34" s="3683"/>
      <c r="B34" s="515"/>
      <c r="C34" s="528"/>
      <c r="D34" s="527"/>
      <c r="E34" s="526">
        <v>4</v>
      </c>
      <c r="F34" s="525">
        <f t="shared" si="0"/>
        <v>4</v>
      </c>
      <c r="G34" s="524"/>
      <c r="H34" s="3247" t="s">
        <v>6677</v>
      </c>
      <c r="I34" s="522"/>
      <c r="J34" s="521">
        <f>IF(ISBLANK(J9),(C34/F10)*L7,(C34/J9)*K9)</f>
        <v>0</v>
      </c>
      <c r="K34" s="520">
        <f t="shared" si="1"/>
        <v>0</v>
      </c>
      <c r="L34" s="519">
        <f>IF(ISBLANK(J9),(F34/F10)*L7,(F34/J9)*K9)</f>
        <v>4.8513433841489082</v>
      </c>
      <c r="M34" s="518"/>
      <c r="N34" s="926">
        <f t="shared" si="2"/>
        <v>4.8513433841489082</v>
      </c>
      <c r="O34" s="516"/>
      <c r="P34" s="925">
        <f t="shared" si="3"/>
        <v>0</v>
      </c>
      <c r="Q34" s="3926"/>
      <c r="R34" s="515"/>
      <c r="S34" s="900"/>
      <c r="T34" s="559" t="s">
        <v>206</v>
      </c>
      <c r="U34" s="558"/>
      <c r="V34" s="558"/>
      <c r="W34" s="558"/>
      <c r="X34" s="558"/>
      <c r="Y34" s="558"/>
      <c r="Z34" s="558"/>
      <c r="AA34" s="557"/>
      <c r="AB34" s="900"/>
      <c r="AC34" s="933"/>
      <c r="AD34" s="3622"/>
      <c r="AE34" s="3623"/>
      <c r="AF34" s="3624"/>
      <c r="AG34" s="900"/>
      <c r="AH34" s="381">
        <v>15</v>
      </c>
    </row>
    <row r="35" spans="1:34" ht="15" customHeight="1">
      <c r="A35" s="3683"/>
      <c r="B35" s="515"/>
      <c r="C35" s="545"/>
      <c r="D35" s="544"/>
      <c r="E35" s="543">
        <v>5</v>
      </c>
      <c r="F35" s="542">
        <f t="shared" si="0"/>
        <v>5</v>
      </c>
      <c r="G35" s="541"/>
      <c r="H35" s="3247" t="s">
        <v>6676</v>
      </c>
      <c r="I35" s="522"/>
      <c r="J35" s="540">
        <f>IF(ISBLANK(J9),(C35/F10)*L7,(C35/J9)*K9)</f>
        <v>0</v>
      </c>
      <c r="K35" s="539">
        <f t="shared" si="1"/>
        <v>0</v>
      </c>
      <c r="L35" s="538">
        <f>IF(ISBLANK(J9),(F35/F10)*L7,(F35/J9)*K9)</f>
        <v>6.064179230186137</v>
      </c>
      <c r="M35" s="518"/>
      <c r="N35" s="927">
        <f t="shared" si="2"/>
        <v>6.064179230186137</v>
      </c>
      <c r="O35" s="516"/>
      <c r="P35" s="925">
        <f t="shared" si="3"/>
        <v>0</v>
      </c>
      <c r="Q35" s="3926"/>
      <c r="R35" s="515"/>
      <c r="S35" s="900"/>
      <c r="T35" s="212" t="s">
        <v>108</v>
      </c>
      <c r="U35" s="3663" t="s">
        <v>109</v>
      </c>
      <c r="V35" s="3663"/>
      <c r="W35" s="3663"/>
      <c r="X35" s="3663"/>
      <c r="Y35" s="3663"/>
      <c r="Z35" s="3663"/>
      <c r="AA35" s="3663"/>
      <c r="AB35" s="900"/>
      <c r="AC35" s="933"/>
      <c r="AD35" s="3664" t="s">
        <v>91</v>
      </c>
      <c r="AE35" s="3665"/>
      <c r="AF35" s="3666"/>
      <c r="AG35" s="900"/>
      <c r="AH35" s="381">
        <v>15</v>
      </c>
    </row>
    <row r="36" spans="1:34" ht="15" customHeight="1">
      <c r="A36" s="3683"/>
      <c r="B36" s="515"/>
      <c r="C36" s="528"/>
      <c r="D36" s="527"/>
      <c r="E36" s="526">
        <v>0.4</v>
      </c>
      <c r="F36" s="525">
        <f t="shared" si="0"/>
        <v>0.4</v>
      </c>
      <c r="G36" s="524"/>
      <c r="H36" s="3247" t="s">
        <v>6675</v>
      </c>
      <c r="I36" s="522"/>
      <c r="J36" s="521">
        <f>IF(ISBLANK(J9),(C36/F10)*L7,(C36/J9)*K9)</f>
        <v>0</v>
      </c>
      <c r="K36" s="520">
        <f t="shared" si="1"/>
        <v>0</v>
      </c>
      <c r="L36" s="519">
        <f>IF(ISBLANK(J9),(F36/F10)*L7,(F36/J9)*K9)</f>
        <v>0.48513433841489095</v>
      </c>
      <c r="M36" s="518"/>
      <c r="N36" s="926">
        <f t="shared" si="2"/>
        <v>0.48513433841489095</v>
      </c>
      <c r="O36" s="516"/>
      <c r="P36" s="925">
        <f t="shared" si="3"/>
        <v>0</v>
      </c>
      <c r="Q36" s="3926"/>
      <c r="R36" s="515"/>
      <c r="S36" s="900"/>
      <c r="T36" s="212" t="s">
        <v>108</v>
      </c>
      <c r="U36" s="3667" t="s">
        <v>111</v>
      </c>
      <c r="V36" s="3667"/>
      <c r="W36" s="3667"/>
      <c r="X36" s="3667"/>
      <c r="Y36" s="3667"/>
      <c r="Z36" s="3667"/>
      <c r="AA36" s="3667"/>
      <c r="AB36" s="900"/>
      <c r="AC36" s="933"/>
      <c r="AD36" s="3664"/>
      <c r="AE36" s="3665"/>
      <c r="AF36" s="3666"/>
      <c r="AG36" s="900"/>
      <c r="AH36" s="381">
        <v>15</v>
      </c>
    </row>
    <row r="37" spans="1:34" ht="15" customHeight="1">
      <c r="A37" s="3683"/>
      <c r="B37" s="515"/>
      <c r="C37" s="545"/>
      <c r="D37" s="544"/>
      <c r="E37" s="543">
        <v>0.25</v>
      </c>
      <c r="F37" s="542">
        <f t="shared" si="0"/>
        <v>0.25</v>
      </c>
      <c r="G37" s="541"/>
      <c r="H37" s="3247" t="s">
        <v>6674</v>
      </c>
      <c r="I37" s="522"/>
      <c r="J37" s="540">
        <f>IF(ISBLANK(J9),(C37/F10)*L7,(C37/J9)*K9)</f>
        <v>0</v>
      </c>
      <c r="K37" s="539">
        <f t="shared" si="1"/>
        <v>0</v>
      </c>
      <c r="L37" s="538">
        <f>IF(ISBLANK(J9),(F37/F10)*L7,(F37/J9)*K9)</f>
        <v>0.30320896150930676</v>
      </c>
      <c r="M37" s="518"/>
      <c r="N37" s="927">
        <f t="shared" si="2"/>
        <v>0.30320896150930676</v>
      </c>
      <c r="O37" s="516"/>
      <c r="P37" s="925">
        <f t="shared" si="3"/>
        <v>0</v>
      </c>
      <c r="Q37" s="3926"/>
      <c r="R37" s="515"/>
      <c r="S37" s="900"/>
      <c r="T37" s="212" t="s">
        <v>108</v>
      </c>
      <c r="U37" s="3667" t="s">
        <v>113</v>
      </c>
      <c r="V37" s="3667"/>
      <c r="W37" s="3667"/>
      <c r="X37" s="3667"/>
      <c r="Y37" s="3667"/>
      <c r="Z37" s="3667"/>
      <c r="AA37" s="3667"/>
      <c r="AB37" s="900"/>
      <c r="AC37" s="933"/>
      <c r="AD37" s="413"/>
      <c r="AE37" s="412"/>
      <c r="AF37" s="411"/>
      <c r="AG37" s="900"/>
      <c r="AH37" s="381">
        <v>15</v>
      </c>
    </row>
    <row r="38" spans="1:34" ht="15" customHeight="1">
      <c r="A38" s="3683"/>
      <c r="B38" s="515"/>
      <c r="C38" s="528"/>
      <c r="D38" s="527"/>
      <c r="E38" s="526">
        <v>1.4999999999999999E-2</v>
      </c>
      <c r="F38" s="525">
        <f t="shared" si="0"/>
        <v>1.4999999999999999E-2</v>
      </c>
      <c r="G38" s="524"/>
      <c r="H38" s="3247" t="s">
        <v>6673</v>
      </c>
      <c r="I38" s="522"/>
      <c r="J38" s="521">
        <f>IF(ISBLANK(J9),(C38/F10)*L7,(C38/J9)*K9)</f>
        <v>0</v>
      </c>
      <c r="K38" s="520">
        <f t="shared" si="1"/>
        <v>0</v>
      </c>
      <c r="L38" s="519">
        <f>IF(ISBLANK(J9),(F38/F10)*L7,(F38/J9)*K9)</f>
        <v>1.8192537690558411E-2</v>
      </c>
      <c r="M38" s="518"/>
      <c r="N38" s="926">
        <f t="shared" si="2"/>
        <v>1.8192537690558411E-2</v>
      </c>
      <c r="O38" s="516"/>
      <c r="P38" s="925">
        <f t="shared" si="3"/>
        <v>0</v>
      </c>
      <c r="Q38" s="3926"/>
      <c r="R38" s="515"/>
      <c r="S38" s="900"/>
      <c r="T38" s="900"/>
      <c r="U38" s="900"/>
      <c r="V38" s="900"/>
      <c r="W38" s="900"/>
      <c r="X38" s="900"/>
      <c r="Y38" s="900"/>
      <c r="Z38" s="900"/>
      <c r="AA38" s="900"/>
      <c r="AB38" s="900"/>
      <c r="AC38" s="900"/>
      <c r="AD38" s="3668" t="s">
        <v>221</v>
      </c>
      <c r="AE38" s="3669"/>
      <c r="AF38" s="3670"/>
      <c r="AG38" s="900"/>
      <c r="AH38" s="381">
        <v>15</v>
      </c>
    </row>
    <row r="39" spans="1:34" ht="15" customHeight="1">
      <c r="A39" s="3683"/>
      <c r="B39" s="515"/>
      <c r="C39" s="545"/>
      <c r="D39" s="544" t="s">
        <v>325</v>
      </c>
      <c r="E39" s="543">
        <v>0</v>
      </c>
      <c r="F39" s="542">
        <f t="shared" si="0"/>
        <v>0</v>
      </c>
      <c r="G39" s="541"/>
      <c r="H39" s="3247" t="s">
        <v>6672</v>
      </c>
      <c r="I39" s="522"/>
      <c r="J39" s="540">
        <f>IF(ISBLANK(J9),(C39/F10)*L7,(C39/J9)*K9)</f>
        <v>0</v>
      </c>
      <c r="K39" s="539" t="str">
        <f t="shared" si="1"/>
        <v>QS</v>
      </c>
      <c r="L39" s="538">
        <f>IF(ISBLANK(J9),(F39/F10)*L7,(F39/J9)*K9)</f>
        <v>0</v>
      </c>
      <c r="M39" s="518"/>
      <c r="N39" s="927">
        <f t="shared" si="2"/>
        <v>0</v>
      </c>
      <c r="O39" s="516"/>
      <c r="P39" s="925">
        <f t="shared" si="3"/>
        <v>0</v>
      </c>
      <c r="Q39" s="3926"/>
      <c r="R39" s="515"/>
      <c r="S39" s="900"/>
      <c r="T39" s="3942" t="s">
        <v>130</v>
      </c>
      <c r="U39" s="3943"/>
      <c r="V39" s="3944"/>
      <c r="W39" s="900"/>
      <c r="X39" s="3945" t="s">
        <v>131</v>
      </c>
      <c r="Y39" s="3249" t="s">
        <v>37</v>
      </c>
      <c r="Z39" s="3248" t="s">
        <v>47</v>
      </c>
      <c r="AA39" s="900"/>
      <c r="AB39" s="900"/>
      <c r="AC39" s="900"/>
      <c r="AD39" s="3668"/>
      <c r="AE39" s="3669"/>
      <c r="AF39" s="3670"/>
      <c r="AG39" s="900"/>
      <c r="AH39" s="381">
        <v>15</v>
      </c>
    </row>
    <row r="40" spans="1:34" ht="15" customHeight="1">
      <c r="A40" s="3683"/>
      <c r="B40" s="515"/>
      <c r="C40" s="528"/>
      <c r="D40" s="527" t="s">
        <v>325</v>
      </c>
      <c r="E40" s="526">
        <v>0</v>
      </c>
      <c r="F40" s="525">
        <f t="shared" si="0"/>
        <v>0</v>
      </c>
      <c r="G40" s="524"/>
      <c r="H40" s="3247" t="s">
        <v>6671</v>
      </c>
      <c r="I40" s="522"/>
      <c r="J40" s="521">
        <f>IF(ISBLANK(J9),(C40/F10)*L7,(C40/J9)*K9)</f>
        <v>0</v>
      </c>
      <c r="K40" s="520" t="str">
        <f t="shared" si="1"/>
        <v>QS</v>
      </c>
      <c r="L40" s="519">
        <f>IF(ISBLANK(J9),(F40/F10)*L7,(F40/J9)*K9)</f>
        <v>0</v>
      </c>
      <c r="M40" s="518"/>
      <c r="N40" s="926">
        <f t="shared" si="2"/>
        <v>0</v>
      </c>
      <c r="O40" s="516"/>
      <c r="P40" s="925">
        <f t="shared" si="3"/>
        <v>0</v>
      </c>
      <c r="Q40" s="3926"/>
      <c r="R40" s="515"/>
      <c r="S40" s="900"/>
      <c r="T40" s="3711" t="s">
        <v>133</v>
      </c>
      <c r="U40" s="3712" t="s">
        <v>134</v>
      </c>
      <c r="V40" s="3713" t="s">
        <v>135</v>
      </c>
      <c r="W40" s="900"/>
      <c r="X40" s="3709"/>
      <c r="Y40" s="550">
        <v>200</v>
      </c>
      <c r="Z40" s="549">
        <v>140</v>
      </c>
      <c r="AA40" s="900"/>
      <c r="AB40" s="900"/>
      <c r="AC40" s="900"/>
      <c r="AD40" s="583" t="s">
        <v>218</v>
      </c>
      <c r="AE40" s="930" t="str">
        <f>LEFT(ADDRESS(1,COLUMN(J6),4),LEN(ADDRESS(1,COLUMN(J6),4))-1)</f>
        <v>J</v>
      </c>
      <c r="AF40" s="929" t="str">
        <f>LEFT(ADDRESS(1,COLUMN(L6),4),LEN(ADDRESS(1,COLUMN(L6),4))-1)</f>
        <v>L</v>
      </c>
      <c r="AG40" s="900"/>
      <c r="AH40" s="381">
        <v>15</v>
      </c>
    </row>
    <row r="41" spans="1:34" ht="15" customHeight="1">
      <c r="A41" s="3683"/>
      <c r="B41" s="515"/>
      <c r="C41" s="545"/>
      <c r="D41" s="544"/>
      <c r="E41" s="543">
        <v>1</v>
      </c>
      <c r="F41" s="542">
        <f t="shared" si="0"/>
        <v>1</v>
      </c>
      <c r="G41" s="541"/>
      <c r="H41" s="3247" t="s">
        <v>6670</v>
      </c>
      <c r="I41" s="522"/>
      <c r="J41" s="540">
        <f>IF(ISBLANK(J9),(C41/F10)*L7,(C41/J9)*K9)</f>
        <v>0</v>
      </c>
      <c r="K41" s="539">
        <f t="shared" si="1"/>
        <v>0</v>
      </c>
      <c r="L41" s="538">
        <f>IF(ISBLANK(J9),(F41/F10)*L7,(F41/J9)*K9)</f>
        <v>1.212835846037227</v>
      </c>
      <c r="M41" s="518"/>
      <c r="N41" s="927">
        <f t="shared" si="2"/>
        <v>1.212835846037227</v>
      </c>
      <c r="O41" s="516"/>
      <c r="P41" s="925">
        <f t="shared" si="3"/>
        <v>0</v>
      </c>
      <c r="Q41" s="3926"/>
      <c r="R41" s="515"/>
      <c r="S41" s="900"/>
      <c r="T41" s="3711"/>
      <c r="U41" s="3712"/>
      <c r="V41" s="3713"/>
      <c r="W41" s="900"/>
      <c r="X41" s="3709"/>
      <c r="Y41" s="308">
        <v>30</v>
      </c>
      <c r="Z41" s="309">
        <v>30</v>
      </c>
      <c r="AA41" s="900"/>
      <c r="AB41" s="900"/>
      <c r="AC41" s="900"/>
      <c r="AD41" s="413"/>
      <c r="AE41" s="573" t="s">
        <v>94</v>
      </c>
      <c r="AF41" s="928" t="str">
        <f>ADDRESS(ROW(J7),COLUMN(J7),4)</f>
        <v>J7</v>
      </c>
      <c r="AG41" s="900"/>
      <c r="AH41" s="381">
        <v>15</v>
      </c>
    </row>
    <row r="42" spans="1:34" ht="15" customHeight="1">
      <c r="A42" s="3683"/>
      <c r="B42" s="515"/>
      <c r="C42" s="528"/>
      <c r="D42" s="527"/>
      <c r="E42" s="526"/>
      <c r="F42" s="525">
        <f t="shared" si="0"/>
        <v>0</v>
      </c>
      <c r="G42" s="524"/>
      <c r="H42" s="523"/>
      <c r="I42" s="522"/>
      <c r="J42" s="521">
        <f>IF(ISBLANK(J9),(C42/F10)*L7,(C42/J9)*K9)</f>
        <v>0</v>
      </c>
      <c r="K42" s="520">
        <f t="shared" si="1"/>
        <v>0</v>
      </c>
      <c r="L42" s="519">
        <f>IF(ISBLANK(J9),(F42/F10)*L7,(F42/J9)*K9)</f>
        <v>0</v>
      </c>
      <c r="M42" s="518"/>
      <c r="N42" s="926">
        <f t="shared" si="2"/>
        <v>0</v>
      </c>
      <c r="O42" s="516"/>
      <c r="P42" s="925">
        <f t="shared" si="3"/>
        <v>0</v>
      </c>
      <c r="Q42" s="3926"/>
      <c r="R42" s="515"/>
      <c r="S42" s="900"/>
      <c r="T42" s="3246">
        <v>150</v>
      </c>
      <c r="U42" s="3245">
        <v>250</v>
      </c>
      <c r="V42" s="3244">
        <f>(U42*T42)/1000</f>
        <v>37.5</v>
      </c>
      <c r="W42" s="900"/>
      <c r="X42" s="3946"/>
      <c r="Y42" s="3243">
        <f>IF(Y40=0,0,((Y40-(Y40*Y41%))))/1000</f>
        <v>0.14000000000000001</v>
      </c>
      <c r="Z42" s="3242">
        <f>(Z40/(100-Z41)*100)/1000</f>
        <v>0.2</v>
      </c>
      <c r="AA42" s="900"/>
      <c r="AB42" s="900"/>
      <c r="AC42" s="900"/>
      <c r="AD42" s="413"/>
      <c r="AE42" s="567" t="s">
        <v>213</v>
      </c>
      <c r="AF42" s="924" t="str">
        <f>ADDRESS(ROW(K7),COLUMN(K7),4)</f>
        <v>K7</v>
      </c>
      <c r="AG42" s="900"/>
      <c r="AH42" s="381">
        <v>15</v>
      </c>
    </row>
    <row r="43" spans="1:34" ht="15" customHeight="1">
      <c r="A43" s="3683"/>
      <c r="B43" s="515"/>
      <c r="C43" s="545"/>
      <c r="D43" s="544"/>
      <c r="E43" s="543"/>
      <c r="F43" s="542">
        <f t="shared" si="0"/>
        <v>0</v>
      </c>
      <c r="G43" s="541"/>
      <c r="H43" s="523"/>
      <c r="I43" s="522"/>
      <c r="J43" s="540">
        <f>IF(ISBLANK(J9),(C43/F10)*L7,(C43/J9)*K9)</f>
        <v>0</v>
      </c>
      <c r="K43" s="539">
        <f t="shared" si="1"/>
        <v>0</v>
      </c>
      <c r="L43" s="538">
        <f>IF(ISBLANK(J9),(F43/F10)*L7,(F43/J9)*K9)</f>
        <v>0</v>
      </c>
      <c r="M43" s="518"/>
      <c r="N43" s="927">
        <f t="shared" si="2"/>
        <v>0</v>
      </c>
      <c r="O43" s="516"/>
      <c r="P43" s="925">
        <f t="shared" si="3"/>
        <v>0</v>
      </c>
      <c r="Q43" s="3926"/>
      <c r="R43" s="515"/>
      <c r="S43" s="900"/>
      <c r="T43" s="553" t="s">
        <v>203</v>
      </c>
      <c r="U43" s="552"/>
      <c r="V43" s="552"/>
      <c r="W43" s="900"/>
      <c r="X43" s="900"/>
      <c r="Y43" s="900"/>
      <c r="Z43" s="900"/>
      <c r="AA43" s="900"/>
      <c r="AB43" s="900"/>
      <c r="AC43" s="900"/>
      <c r="AD43" s="566"/>
      <c r="AE43" s="565" t="s">
        <v>212</v>
      </c>
      <c r="AF43" s="924" t="str">
        <f>ADDRESS(ROW(J9),COLUMN(J9),4)</f>
        <v>J9</v>
      </c>
      <c r="AG43" s="900"/>
      <c r="AH43" s="381">
        <v>15</v>
      </c>
    </row>
    <row r="44" spans="1:34" ht="15" customHeight="1">
      <c r="A44" s="3683"/>
      <c r="B44" s="515"/>
      <c r="C44" s="528"/>
      <c r="D44" s="527"/>
      <c r="E44" s="526"/>
      <c r="F44" s="525">
        <f t="shared" si="0"/>
        <v>0</v>
      </c>
      <c r="G44" s="524"/>
      <c r="H44" s="523"/>
      <c r="I44" s="522"/>
      <c r="J44" s="521">
        <f>IF(ISBLANK(J9),(C44/F10)*L7,(C44/J9)*K9)</f>
        <v>0</v>
      </c>
      <c r="K44" s="520">
        <f t="shared" si="1"/>
        <v>0</v>
      </c>
      <c r="L44" s="519">
        <f>IF(ISBLANK(J9),(F44/F10)*L7,(F44/J9)*K9)</f>
        <v>0</v>
      </c>
      <c r="M44" s="518"/>
      <c r="N44" s="926">
        <f t="shared" si="2"/>
        <v>0</v>
      </c>
      <c r="O44" s="516"/>
      <c r="P44" s="925">
        <f t="shared" si="3"/>
        <v>0</v>
      </c>
      <c r="Q44" s="3926"/>
      <c r="R44" s="515"/>
      <c r="S44" s="900"/>
      <c r="T44" s="900"/>
      <c r="U44" s="900"/>
      <c r="V44" s="900"/>
      <c r="W44" s="900"/>
      <c r="X44" s="900"/>
      <c r="Y44" s="900"/>
      <c r="Z44" s="900"/>
      <c r="AA44" s="900"/>
      <c r="AB44" s="900"/>
      <c r="AC44" s="900"/>
      <c r="AD44" s="564"/>
      <c r="AE44" s="563" t="s">
        <v>322</v>
      </c>
      <c r="AF44" s="924" t="str">
        <f>ADDRESS(ROW(K9),COLUMN(K9),4)</f>
        <v>K9</v>
      </c>
      <c r="AG44" s="900"/>
      <c r="AH44" s="381">
        <v>15</v>
      </c>
    </row>
    <row r="45" spans="1:34" ht="15" customHeight="1">
      <c r="A45" s="3683"/>
      <c r="B45" s="515"/>
      <c r="C45" s="545"/>
      <c r="D45" s="544"/>
      <c r="E45" s="543"/>
      <c r="F45" s="542">
        <f t="shared" ref="F45:F76" si="4">IF(ISBLANK(C45),E45,C45*E45)</f>
        <v>0</v>
      </c>
      <c r="G45" s="541"/>
      <c r="H45" s="523"/>
      <c r="I45" s="522"/>
      <c r="J45" s="540">
        <f>IF(ISBLANK(J9),(C45/F10)*L7,(C45/J9)*K9)</f>
        <v>0</v>
      </c>
      <c r="K45" s="539">
        <f t="shared" ref="K45:K62" si="5">D45</f>
        <v>0</v>
      </c>
      <c r="L45" s="538">
        <f>IF(ISBLANK(J9),(F45/F10)*L7,(F45/J9)*K9)</f>
        <v>0</v>
      </c>
      <c r="M45" s="518"/>
      <c r="N45" s="927">
        <f t="shared" ref="N45:N76" si="6">IF(F45=0,0,((L45-(L45*M45%))))</f>
        <v>0</v>
      </c>
      <c r="O45" s="516"/>
      <c r="P45" s="925">
        <f t="shared" ref="P45:P76" si="7">IF(ISBLANK(E45),J45*O45,L45*O45)</f>
        <v>0</v>
      </c>
      <c r="Q45" s="3926"/>
      <c r="R45" s="515"/>
      <c r="S45" s="900"/>
      <c r="T45" s="900"/>
      <c r="U45" s="900"/>
      <c r="V45" s="900"/>
      <c r="W45" s="900"/>
      <c r="X45" s="900"/>
      <c r="Y45" s="900"/>
      <c r="Z45" s="900"/>
      <c r="AA45" s="900"/>
      <c r="AB45" s="900"/>
      <c r="AC45" s="900"/>
      <c r="AD45" s="3654" t="s">
        <v>210</v>
      </c>
      <c r="AE45" s="3655"/>
      <c r="AF45" s="3656"/>
      <c r="AG45" s="900"/>
      <c r="AH45" s="381">
        <v>15</v>
      </c>
    </row>
    <row r="46" spans="1:34" ht="15" customHeight="1">
      <c r="A46" s="3683"/>
      <c r="B46" s="515"/>
      <c r="C46" s="528"/>
      <c r="D46" s="527"/>
      <c r="E46" s="526"/>
      <c r="F46" s="525">
        <f t="shared" si="4"/>
        <v>0</v>
      </c>
      <c r="G46" s="524"/>
      <c r="H46" s="523"/>
      <c r="I46" s="522"/>
      <c r="J46" s="521">
        <f>IF(ISBLANK(J9),(C46/F10)*L7,(C46/J9)*K9)</f>
        <v>0</v>
      </c>
      <c r="K46" s="520">
        <f t="shared" si="5"/>
        <v>0</v>
      </c>
      <c r="L46" s="519">
        <f>IF(ISBLANK(J9),(F46/F10)*L7,(F46/J9)*K9)</f>
        <v>0</v>
      </c>
      <c r="M46" s="518"/>
      <c r="N46" s="926">
        <f t="shared" si="6"/>
        <v>0</v>
      </c>
      <c r="O46" s="516"/>
      <c r="P46" s="925">
        <f t="shared" si="7"/>
        <v>0</v>
      </c>
      <c r="Q46" s="3926"/>
      <c r="R46" s="515"/>
      <c r="S46" s="900"/>
      <c r="T46" s="900"/>
      <c r="U46" s="900"/>
      <c r="V46" s="900"/>
      <c r="W46" s="900"/>
      <c r="X46" s="900"/>
      <c r="Y46" s="900"/>
      <c r="Z46" s="900"/>
      <c r="AA46" s="900"/>
      <c r="AB46" s="900"/>
      <c r="AC46" s="900"/>
      <c r="AD46" s="3654"/>
      <c r="AE46" s="3655"/>
      <c r="AF46" s="3656"/>
      <c r="AG46" s="900"/>
      <c r="AH46" s="381">
        <v>15</v>
      </c>
    </row>
    <row r="47" spans="1:34" ht="15" customHeight="1">
      <c r="A47" s="3683"/>
      <c r="B47" s="515"/>
      <c r="C47" s="545"/>
      <c r="D47" s="544"/>
      <c r="E47" s="543"/>
      <c r="F47" s="542">
        <f t="shared" si="4"/>
        <v>0</v>
      </c>
      <c r="G47" s="541"/>
      <c r="H47" s="523"/>
      <c r="I47" s="522"/>
      <c r="J47" s="540">
        <f>IF(ISBLANK(J9),(C47/F10)*L7,(C47/J9)*K9)</f>
        <v>0</v>
      </c>
      <c r="K47" s="539">
        <f t="shared" si="5"/>
        <v>0</v>
      </c>
      <c r="L47" s="538">
        <f>IF(ISBLANK(J9),(F47/F10)*L7,(F47/J9)*K9)</f>
        <v>0</v>
      </c>
      <c r="M47" s="518"/>
      <c r="N47" s="927">
        <f t="shared" si="6"/>
        <v>0</v>
      </c>
      <c r="O47" s="516"/>
      <c r="P47" s="925">
        <f t="shared" si="7"/>
        <v>0</v>
      </c>
      <c r="Q47" s="3926"/>
      <c r="R47" s="515"/>
      <c r="S47" s="900"/>
      <c r="T47" s="900"/>
      <c r="U47" s="900"/>
      <c r="V47" s="900"/>
      <c r="W47" s="900"/>
      <c r="X47" s="900"/>
      <c r="Y47" s="900"/>
      <c r="Z47" s="900"/>
      <c r="AA47" s="900"/>
      <c r="AB47" s="900"/>
      <c r="AC47" s="900"/>
      <c r="AD47" s="3657" t="s">
        <v>208</v>
      </c>
      <c r="AE47" s="3658"/>
      <c r="AF47" s="3659"/>
      <c r="AG47" s="900"/>
      <c r="AH47" s="381">
        <v>15</v>
      </c>
    </row>
    <row r="48" spans="1:34" ht="15" customHeight="1">
      <c r="A48" s="3683"/>
      <c r="B48" s="515"/>
      <c r="C48" s="528"/>
      <c r="D48" s="527"/>
      <c r="E48" s="526"/>
      <c r="F48" s="525">
        <f t="shared" si="4"/>
        <v>0</v>
      </c>
      <c r="G48" s="524"/>
      <c r="H48" s="523"/>
      <c r="I48" s="522"/>
      <c r="J48" s="521">
        <f>IF(ISBLANK(J9),(C48/F10)*L7,(C48/J9)*K9)</f>
        <v>0</v>
      </c>
      <c r="K48" s="520">
        <f t="shared" si="5"/>
        <v>0</v>
      </c>
      <c r="L48" s="519">
        <f>IF(ISBLANK(J9),(F48/F10)*L7,(F48/J9)*K9)</f>
        <v>0</v>
      </c>
      <c r="M48" s="518"/>
      <c r="N48" s="926">
        <f t="shared" si="6"/>
        <v>0</v>
      </c>
      <c r="O48" s="516"/>
      <c r="P48" s="925">
        <f t="shared" si="7"/>
        <v>0</v>
      </c>
      <c r="Q48" s="3926"/>
      <c r="R48" s="515"/>
      <c r="S48" s="900"/>
      <c r="T48" s="900"/>
      <c r="U48" s="900"/>
      <c r="V48" s="900"/>
      <c r="W48" s="900"/>
      <c r="X48" s="900"/>
      <c r="Y48" s="900"/>
      <c r="Z48" s="900"/>
      <c r="AA48" s="900"/>
      <c r="AB48" s="900"/>
      <c r="AC48" s="900"/>
      <c r="AD48" s="3657"/>
      <c r="AE48" s="3658"/>
      <c r="AF48" s="3659"/>
      <c r="AG48" s="900"/>
      <c r="AH48" s="381">
        <v>15</v>
      </c>
    </row>
    <row r="49" spans="1:34" ht="15" customHeight="1">
      <c r="A49" s="3683"/>
      <c r="B49" s="515"/>
      <c r="C49" s="545"/>
      <c r="D49" s="544"/>
      <c r="E49" s="543"/>
      <c r="F49" s="542">
        <f t="shared" si="4"/>
        <v>0</v>
      </c>
      <c r="G49" s="541"/>
      <c r="H49" s="523"/>
      <c r="I49" s="522"/>
      <c r="J49" s="540">
        <f>IF(ISBLANK(J9),(C49/F10)*L7,(C49/J9)*K9)</f>
        <v>0</v>
      </c>
      <c r="K49" s="539">
        <f t="shared" si="5"/>
        <v>0</v>
      </c>
      <c r="L49" s="538">
        <f>IF(ISBLANK(J9),(F49/F10)*L7,(F49/J9)*K9)</f>
        <v>0</v>
      </c>
      <c r="M49" s="518"/>
      <c r="N49" s="927">
        <f t="shared" si="6"/>
        <v>0</v>
      </c>
      <c r="O49" s="516"/>
      <c r="P49" s="925">
        <f t="shared" si="7"/>
        <v>0</v>
      </c>
      <c r="Q49" s="3926"/>
      <c r="R49" s="515"/>
      <c r="S49" s="900"/>
      <c r="T49" s="900"/>
      <c r="U49" s="900"/>
      <c r="V49" s="900"/>
      <c r="W49" s="900"/>
      <c r="X49" s="900"/>
      <c r="Y49" s="900"/>
      <c r="Z49" s="900"/>
      <c r="AA49" s="900"/>
      <c r="AB49" s="900"/>
      <c r="AC49" s="900"/>
      <c r="AD49" s="3660" t="s">
        <v>207</v>
      </c>
      <c r="AE49" s="3661"/>
      <c r="AF49" s="3662"/>
      <c r="AG49" s="900"/>
      <c r="AH49" s="381">
        <v>15</v>
      </c>
    </row>
    <row r="50" spans="1:34" ht="15" customHeight="1">
      <c r="A50" s="3683"/>
      <c r="B50" s="515"/>
      <c r="C50" s="528"/>
      <c r="D50" s="527"/>
      <c r="E50" s="526"/>
      <c r="F50" s="525">
        <f t="shared" si="4"/>
        <v>0</v>
      </c>
      <c r="G50" s="524"/>
      <c r="H50" s="523"/>
      <c r="I50" s="522"/>
      <c r="J50" s="521">
        <f>IF(ISBLANK(J9),(C50/F10)*L7,(C50/J9)*K9)</f>
        <v>0</v>
      </c>
      <c r="K50" s="520">
        <f t="shared" si="5"/>
        <v>0</v>
      </c>
      <c r="L50" s="519">
        <f>IF(ISBLANK(J9),(F50/F10)*L7,(F50/J9)*K9)</f>
        <v>0</v>
      </c>
      <c r="M50" s="518"/>
      <c r="N50" s="926">
        <f t="shared" si="6"/>
        <v>0</v>
      </c>
      <c r="O50" s="516"/>
      <c r="P50" s="925">
        <f t="shared" si="7"/>
        <v>0</v>
      </c>
      <c r="Q50" s="3926"/>
      <c r="R50" s="515"/>
      <c r="S50" s="900"/>
      <c r="T50" s="900"/>
      <c r="U50" s="900"/>
      <c r="V50" s="900"/>
      <c r="W50" s="900"/>
      <c r="X50" s="900"/>
      <c r="Y50" s="900"/>
      <c r="Z50" s="900"/>
      <c r="AA50" s="900"/>
      <c r="AB50" s="900"/>
      <c r="AC50" s="900"/>
      <c r="AD50" s="3630" t="s">
        <v>205</v>
      </c>
      <c r="AE50" s="3631"/>
      <c r="AF50" s="3632"/>
      <c r="AG50" s="900"/>
      <c r="AH50" s="381">
        <v>15</v>
      </c>
    </row>
    <row r="51" spans="1:34" ht="15" customHeight="1">
      <c r="A51" s="3683"/>
      <c r="B51" s="515"/>
      <c r="C51" s="545"/>
      <c r="D51" s="544"/>
      <c r="E51" s="543"/>
      <c r="F51" s="542">
        <f t="shared" si="4"/>
        <v>0</v>
      </c>
      <c r="G51" s="541"/>
      <c r="H51" s="523"/>
      <c r="I51" s="522"/>
      <c r="J51" s="540">
        <f>IF(ISBLANK(J9),(C51/F10)*L7,(C51/J9)*K9)</f>
        <v>0</v>
      </c>
      <c r="K51" s="539">
        <f t="shared" si="5"/>
        <v>0</v>
      </c>
      <c r="L51" s="538">
        <f>IF(ISBLANK(J9),(F51/F10)*L7,(F51/J9)*K9)</f>
        <v>0</v>
      </c>
      <c r="M51" s="518"/>
      <c r="N51" s="927">
        <f t="shared" si="6"/>
        <v>0</v>
      </c>
      <c r="O51" s="516"/>
      <c r="P51" s="925">
        <f t="shared" si="7"/>
        <v>0</v>
      </c>
      <c r="Q51" s="3926"/>
      <c r="R51" s="515"/>
      <c r="S51" s="900"/>
      <c r="T51" s="900"/>
      <c r="U51" s="900"/>
      <c r="V51" s="900"/>
      <c r="W51" s="900"/>
      <c r="X51" s="900"/>
      <c r="Y51" s="900"/>
      <c r="Z51" s="900"/>
      <c r="AA51" s="900"/>
      <c r="AB51" s="900"/>
      <c r="AC51" s="900"/>
      <c r="AD51" s="3630"/>
      <c r="AE51" s="3631"/>
      <c r="AF51" s="3632"/>
      <c r="AG51" s="900"/>
      <c r="AH51" s="381">
        <v>15</v>
      </c>
    </row>
    <row r="52" spans="1:34" ht="15" customHeight="1">
      <c r="A52" s="3683"/>
      <c r="B52" s="515"/>
      <c r="C52" s="528"/>
      <c r="D52" s="527"/>
      <c r="E52" s="526"/>
      <c r="F52" s="525">
        <f t="shared" si="4"/>
        <v>0</v>
      </c>
      <c r="G52" s="524"/>
      <c r="H52" s="523"/>
      <c r="I52" s="522"/>
      <c r="J52" s="521">
        <f>IF(ISBLANK(J9),(C52/F10)*L7,(C52/J9)*K9)</f>
        <v>0</v>
      </c>
      <c r="K52" s="520">
        <f t="shared" si="5"/>
        <v>0</v>
      </c>
      <c r="L52" s="519">
        <f>IF(ISBLANK(J9),(F52/F10)*L7,(F52/J9)*K9)</f>
        <v>0</v>
      </c>
      <c r="M52" s="518"/>
      <c r="N52" s="926">
        <f t="shared" si="6"/>
        <v>0</v>
      </c>
      <c r="O52" s="516"/>
      <c r="P52" s="925">
        <f t="shared" si="7"/>
        <v>0</v>
      </c>
      <c r="Q52" s="3926"/>
      <c r="R52" s="515"/>
      <c r="S52" s="900"/>
      <c r="T52" s="900"/>
      <c r="U52" s="900"/>
      <c r="V52" s="900"/>
      <c r="W52" s="900"/>
      <c r="X52" s="900"/>
      <c r="Y52" s="900"/>
      <c r="Z52" s="900"/>
      <c r="AA52" s="900"/>
      <c r="AB52" s="900"/>
      <c r="AC52" s="900"/>
      <c r="AD52" s="3630"/>
      <c r="AE52" s="3631"/>
      <c r="AF52" s="3632"/>
      <c r="AG52" s="900"/>
      <c r="AH52" s="381">
        <v>15</v>
      </c>
    </row>
    <row r="53" spans="1:34" ht="15" customHeight="1">
      <c r="A53" s="3683"/>
      <c r="B53" s="515"/>
      <c r="C53" s="545"/>
      <c r="D53" s="544"/>
      <c r="E53" s="543"/>
      <c r="F53" s="542">
        <f t="shared" si="4"/>
        <v>0</v>
      </c>
      <c r="G53" s="541"/>
      <c r="H53" s="523"/>
      <c r="I53" s="522"/>
      <c r="J53" s="540">
        <f>IF(ISBLANK(J9),(C53/F10)*L7,(C53/J9)*K9)</f>
        <v>0</v>
      </c>
      <c r="K53" s="539">
        <f t="shared" si="5"/>
        <v>0</v>
      </c>
      <c r="L53" s="538">
        <f>IF(ISBLANK(J9),(F53/F10)*L7,(F53/J9)*K9)</f>
        <v>0</v>
      </c>
      <c r="M53" s="518"/>
      <c r="N53" s="927">
        <f t="shared" si="6"/>
        <v>0</v>
      </c>
      <c r="O53" s="516"/>
      <c r="P53" s="925">
        <f t="shared" si="7"/>
        <v>0</v>
      </c>
      <c r="Q53" s="3926"/>
      <c r="R53" s="515"/>
      <c r="S53" s="900"/>
      <c r="T53" s="900"/>
      <c r="U53" s="900"/>
      <c r="V53" s="900"/>
      <c r="W53" s="900"/>
      <c r="X53" s="900"/>
      <c r="Y53" s="900"/>
      <c r="Z53" s="900"/>
      <c r="AA53" s="900"/>
      <c r="AB53" s="900"/>
      <c r="AC53" s="900"/>
      <c r="AD53" s="3630"/>
      <c r="AE53" s="3631"/>
      <c r="AF53" s="3632"/>
      <c r="AG53" s="900"/>
      <c r="AH53" s="381">
        <v>15</v>
      </c>
    </row>
    <row r="54" spans="1:34" ht="15" customHeight="1">
      <c r="A54" s="3683"/>
      <c r="B54" s="515"/>
      <c r="C54" s="528"/>
      <c r="D54" s="527"/>
      <c r="E54" s="526"/>
      <c r="F54" s="525">
        <f t="shared" si="4"/>
        <v>0</v>
      </c>
      <c r="G54" s="524"/>
      <c r="H54" s="523"/>
      <c r="I54" s="522"/>
      <c r="J54" s="521">
        <f>IF(ISBLANK(J9),(C54/F10)*L7,(C54/J9)*K9)</f>
        <v>0</v>
      </c>
      <c r="K54" s="520">
        <f t="shared" si="5"/>
        <v>0</v>
      </c>
      <c r="L54" s="519">
        <f>IF(ISBLANK(J9),(F54/F10)*L7,(F54/J9)*K9)</f>
        <v>0</v>
      </c>
      <c r="M54" s="518"/>
      <c r="N54" s="926">
        <f t="shared" si="6"/>
        <v>0</v>
      </c>
      <c r="O54" s="516"/>
      <c r="P54" s="925">
        <f t="shared" si="7"/>
        <v>0</v>
      </c>
      <c r="Q54" s="3926"/>
      <c r="R54" s="515"/>
      <c r="S54" s="900"/>
      <c r="T54" s="900"/>
      <c r="U54" s="900"/>
      <c r="V54" s="900"/>
      <c r="W54" s="900"/>
      <c r="X54" s="900"/>
      <c r="Y54" s="900"/>
      <c r="Z54" s="900"/>
      <c r="AA54" s="900"/>
      <c r="AB54" s="900"/>
      <c r="AC54" s="900"/>
      <c r="AD54" s="3630" t="s">
        <v>204</v>
      </c>
      <c r="AE54" s="3631"/>
      <c r="AF54" s="3632"/>
      <c r="AG54" s="900"/>
      <c r="AH54" s="381">
        <v>15</v>
      </c>
    </row>
    <row r="55" spans="1:34" ht="15" customHeight="1">
      <c r="A55" s="3683"/>
      <c r="B55" s="515"/>
      <c r="C55" s="545"/>
      <c r="D55" s="544"/>
      <c r="E55" s="543"/>
      <c r="F55" s="542">
        <f t="shared" si="4"/>
        <v>0</v>
      </c>
      <c r="G55" s="541"/>
      <c r="H55" s="523"/>
      <c r="I55" s="522"/>
      <c r="J55" s="540">
        <f>IF(ISBLANK(J9),(C55/F10)*L7,(C55/J9)*K9)</f>
        <v>0</v>
      </c>
      <c r="K55" s="539">
        <f t="shared" si="5"/>
        <v>0</v>
      </c>
      <c r="L55" s="538">
        <f>IF(ISBLANK(J9),(F55/F10)*L7,(F55/J9)*K9)</f>
        <v>0</v>
      </c>
      <c r="M55" s="518"/>
      <c r="N55" s="927">
        <f t="shared" si="6"/>
        <v>0</v>
      </c>
      <c r="O55" s="516"/>
      <c r="P55" s="925">
        <f t="shared" si="7"/>
        <v>0</v>
      </c>
      <c r="Q55" s="3926"/>
      <c r="R55" s="515"/>
      <c r="S55" s="900"/>
      <c r="T55" s="900"/>
      <c r="U55" s="900"/>
      <c r="V55" s="900"/>
      <c r="W55" s="900"/>
      <c r="X55" s="900"/>
      <c r="Y55" s="900"/>
      <c r="Z55" s="900"/>
      <c r="AA55" s="900"/>
      <c r="AB55" s="900"/>
      <c r="AC55" s="900"/>
      <c r="AD55" s="3630"/>
      <c r="AE55" s="3631"/>
      <c r="AF55" s="3632"/>
      <c r="AG55" s="900"/>
      <c r="AH55" s="381">
        <v>15</v>
      </c>
    </row>
    <row r="56" spans="1:34" ht="15" customHeight="1">
      <c r="A56" s="3683"/>
      <c r="B56" s="515"/>
      <c r="C56" s="528"/>
      <c r="D56" s="527"/>
      <c r="E56" s="526"/>
      <c r="F56" s="525">
        <f t="shared" si="4"/>
        <v>0</v>
      </c>
      <c r="G56" s="524"/>
      <c r="H56" s="523"/>
      <c r="I56" s="522"/>
      <c r="J56" s="521">
        <f>IF(ISBLANK(J9),(C56/F10)*L7,(C56/J9)*K9)</f>
        <v>0</v>
      </c>
      <c r="K56" s="520">
        <f t="shared" si="5"/>
        <v>0</v>
      </c>
      <c r="L56" s="519">
        <f>IF(ISBLANK(J9),(F56/F10)*L7,(F56/J9)*K9)</f>
        <v>0</v>
      </c>
      <c r="M56" s="518"/>
      <c r="N56" s="926">
        <f t="shared" si="6"/>
        <v>0</v>
      </c>
      <c r="O56" s="516"/>
      <c r="P56" s="925">
        <f t="shared" si="7"/>
        <v>0</v>
      </c>
      <c r="Q56" s="3926"/>
      <c r="R56" s="515"/>
      <c r="S56" s="900"/>
      <c r="T56" s="900"/>
      <c r="U56" s="900"/>
      <c r="V56" s="900"/>
      <c r="W56" s="900"/>
      <c r="X56" s="900"/>
      <c r="Y56" s="900"/>
      <c r="Z56" s="900"/>
      <c r="AA56" s="900"/>
      <c r="AB56" s="900"/>
      <c r="AC56" s="900"/>
      <c r="AD56" s="3630"/>
      <c r="AE56" s="3631"/>
      <c r="AF56" s="3632"/>
      <c r="AG56" s="900"/>
      <c r="AH56" s="381">
        <v>15</v>
      </c>
    </row>
    <row r="57" spans="1:34" ht="15" customHeight="1">
      <c r="A57" s="3683"/>
      <c r="B57" s="515"/>
      <c r="C57" s="545"/>
      <c r="D57" s="544"/>
      <c r="E57" s="543"/>
      <c r="F57" s="542">
        <f t="shared" si="4"/>
        <v>0</v>
      </c>
      <c r="G57" s="541"/>
      <c r="H57" s="523"/>
      <c r="I57" s="522"/>
      <c r="J57" s="540">
        <f>IF(ISBLANK(J9),(C57/F10)*L7,(C57/J9)*K9)</f>
        <v>0</v>
      </c>
      <c r="K57" s="539">
        <f t="shared" si="5"/>
        <v>0</v>
      </c>
      <c r="L57" s="538">
        <f>IF(ISBLANK(J9),(F57/F10)*L7,(F57/J9)*K9)</f>
        <v>0</v>
      </c>
      <c r="M57" s="518"/>
      <c r="N57" s="927">
        <f t="shared" si="6"/>
        <v>0</v>
      </c>
      <c r="O57" s="516"/>
      <c r="P57" s="925">
        <f t="shared" si="7"/>
        <v>0</v>
      </c>
      <c r="Q57" s="3926"/>
      <c r="R57" s="515"/>
      <c r="S57" s="900"/>
      <c r="T57" s="900"/>
      <c r="U57" s="900"/>
      <c r="V57" s="900"/>
      <c r="W57" s="900"/>
      <c r="X57" s="900"/>
      <c r="Y57" s="900"/>
      <c r="Z57" s="900"/>
      <c r="AA57" s="900"/>
      <c r="AB57" s="900"/>
      <c r="AC57" s="900"/>
      <c r="AD57" s="3630" t="s">
        <v>202</v>
      </c>
      <c r="AE57" s="3631"/>
      <c r="AF57" s="3632"/>
      <c r="AG57" s="900"/>
      <c r="AH57" s="381">
        <v>15</v>
      </c>
    </row>
    <row r="58" spans="1:34" ht="15" customHeight="1">
      <c r="A58" s="3683"/>
      <c r="B58" s="515"/>
      <c r="C58" s="528"/>
      <c r="D58" s="527"/>
      <c r="E58" s="526"/>
      <c r="F58" s="525">
        <f t="shared" si="4"/>
        <v>0</v>
      </c>
      <c r="G58" s="524"/>
      <c r="H58" s="523"/>
      <c r="I58" s="522"/>
      <c r="J58" s="521">
        <f>IF(ISBLANK(J9),(C58/F10)*L7,(C58/J9)*K9)</f>
        <v>0</v>
      </c>
      <c r="K58" s="520">
        <f t="shared" si="5"/>
        <v>0</v>
      </c>
      <c r="L58" s="519">
        <f>IF(ISBLANK(J9),(F58/F10)*L7,(F58/J9)*K9)</f>
        <v>0</v>
      </c>
      <c r="M58" s="518"/>
      <c r="N58" s="926">
        <f t="shared" si="6"/>
        <v>0</v>
      </c>
      <c r="O58" s="516"/>
      <c r="P58" s="925">
        <f t="shared" si="7"/>
        <v>0</v>
      </c>
      <c r="Q58" s="3926"/>
      <c r="R58" s="515"/>
      <c r="S58" s="900"/>
      <c r="T58" s="900"/>
      <c r="U58" s="900"/>
      <c r="V58" s="900"/>
      <c r="W58" s="900"/>
      <c r="X58" s="900"/>
      <c r="Y58" s="900"/>
      <c r="Z58" s="900"/>
      <c r="AA58" s="900"/>
      <c r="AB58" s="900"/>
      <c r="AC58" s="900"/>
      <c r="AD58" s="3630"/>
      <c r="AE58" s="3631"/>
      <c r="AF58" s="3632"/>
      <c r="AG58" s="900"/>
      <c r="AH58" s="381">
        <v>15</v>
      </c>
    </row>
    <row r="59" spans="1:34" ht="15" customHeight="1">
      <c r="A59" s="3683"/>
      <c r="B59" s="515"/>
      <c r="C59" s="545"/>
      <c r="D59" s="544"/>
      <c r="E59" s="543"/>
      <c r="F59" s="542">
        <f t="shared" si="4"/>
        <v>0</v>
      </c>
      <c r="G59" s="541"/>
      <c r="H59" s="523"/>
      <c r="I59" s="522"/>
      <c r="J59" s="540">
        <f>IF(ISBLANK(J9),(C59/F10)*L7,(C59/J9)*K9)</f>
        <v>0</v>
      </c>
      <c r="K59" s="539">
        <f t="shared" si="5"/>
        <v>0</v>
      </c>
      <c r="L59" s="538">
        <f>IF(ISBLANK(J9),(F59/F10)*L7,(F59/J9)*K9)</f>
        <v>0</v>
      </c>
      <c r="M59" s="518"/>
      <c r="N59" s="927">
        <f t="shared" si="6"/>
        <v>0</v>
      </c>
      <c r="O59" s="516"/>
      <c r="P59" s="925">
        <f t="shared" si="7"/>
        <v>0</v>
      </c>
      <c r="Q59" s="3926"/>
      <c r="R59" s="515"/>
      <c r="S59" s="900"/>
      <c r="T59" s="900"/>
      <c r="U59" s="900"/>
      <c r="V59" s="900"/>
      <c r="W59" s="900"/>
      <c r="X59" s="900"/>
      <c r="Y59" s="900"/>
      <c r="Z59" s="900"/>
      <c r="AA59" s="900"/>
      <c r="AB59" s="900"/>
      <c r="AC59" s="900"/>
      <c r="AD59" s="413"/>
      <c r="AE59" s="548" t="s">
        <v>201</v>
      </c>
      <c r="AF59" s="924" t="str">
        <f>LEFT(ADDRESS(1,COLUMN(C12),4),LEN(ADDRESS(1,COLUMN(C12),4))-1)</f>
        <v>C</v>
      </c>
      <c r="AG59" s="900"/>
      <c r="AH59" s="381">
        <v>15</v>
      </c>
    </row>
    <row r="60" spans="1:34" ht="15" customHeight="1">
      <c r="A60" s="3683"/>
      <c r="B60" s="515"/>
      <c r="C60" s="528"/>
      <c r="D60" s="527"/>
      <c r="E60" s="526"/>
      <c r="F60" s="525">
        <f t="shared" si="4"/>
        <v>0</v>
      </c>
      <c r="G60" s="524"/>
      <c r="H60" s="523"/>
      <c r="I60" s="522"/>
      <c r="J60" s="521">
        <f>IF(ISBLANK(J9),(C60/F10)*L7,(C60/J9)*K9)</f>
        <v>0</v>
      </c>
      <c r="K60" s="520">
        <f t="shared" si="5"/>
        <v>0</v>
      </c>
      <c r="L60" s="519">
        <f>IF(ISBLANK(J9),(F60/F10)*L7,(F60/J9)*K9)</f>
        <v>0</v>
      </c>
      <c r="M60" s="518"/>
      <c r="N60" s="926">
        <f t="shared" si="6"/>
        <v>0</v>
      </c>
      <c r="O60" s="516"/>
      <c r="P60" s="925">
        <f t="shared" si="7"/>
        <v>0</v>
      </c>
      <c r="Q60" s="3926"/>
      <c r="R60" s="515"/>
      <c r="S60" s="900"/>
      <c r="T60" s="900"/>
      <c r="U60" s="900"/>
      <c r="V60" s="900"/>
      <c r="W60" s="900"/>
      <c r="X60" s="900"/>
      <c r="Y60" s="900"/>
      <c r="Z60" s="900"/>
      <c r="AA60" s="900"/>
      <c r="AB60" s="900"/>
      <c r="AC60" s="900"/>
      <c r="AD60" s="413"/>
      <c r="AE60" s="548" t="s">
        <v>200</v>
      </c>
      <c r="AF60" s="924" t="str">
        <f>LEFT(ADDRESS(1,COLUMN(F12),4),LEN(ADDRESS(1,COLUMN(F12),4))-1)</f>
        <v>F</v>
      </c>
      <c r="AG60" s="900"/>
      <c r="AH60" s="381">
        <v>15</v>
      </c>
    </row>
    <row r="61" spans="1:34" ht="15" customHeight="1">
      <c r="A61" s="3683"/>
      <c r="B61" s="515"/>
      <c r="C61" s="545"/>
      <c r="D61" s="544"/>
      <c r="E61" s="543"/>
      <c r="F61" s="542">
        <f t="shared" si="4"/>
        <v>0</v>
      </c>
      <c r="G61" s="541"/>
      <c r="H61" s="523"/>
      <c r="I61" s="522"/>
      <c r="J61" s="540">
        <f>IF(ISBLANK(J9),(C61/F10)*L7,(C61/J9)*K9)</f>
        <v>0</v>
      </c>
      <c r="K61" s="539">
        <f t="shared" si="5"/>
        <v>0</v>
      </c>
      <c r="L61" s="538">
        <f>IF(ISBLANK(J9),(F61/F10)*L7,(F61/J9)*K9)</f>
        <v>0</v>
      </c>
      <c r="M61" s="518"/>
      <c r="N61" s="927">
        <f t="shared" si="6"/>
        <v>0</v>
      </c>
      <c r="O61" s="516"/>
      <c r="P61" s="925">
        <f t="shared" si="7"/>
        <v>0</v>
      </c>
      <c r="Q61" s="3926"/>
      <c r="R61" s="515"/>
      <c r="S61" s="900"/>
      <c r="T61" s="900"/>
      <c r="U61" s="900"/>
      <c r="V61" s="900"/>
      <c r="W61" s="900"/>
      <c r="X61" s="900"/>
      <c r="Y61" s="900"/>
      <c r="Z61" s="900"/>
      <c r="AA61" s="900"/>
      <c r="AB61" s="900"/>
      <c r="AC61" s="900"/>
      <c r="AD61" s="413" t="s">
        <v>199</v>
      </c>
      <c r="AE61" s="412"/>
      <c r="AF61" s="411"/>
      <c r="AG61" s="900"/>
      <c r="AH61" s="381">
        <v>15</v>
      </c>
    </row>
    <row r="62" spans="1:34" ht="15" customHeight="1">
      <c r="A62" s="3683"/>
      <c r="B62" s="515"/>
      <c r="C62" s="528"/>
      <c r="D62" s="527"/>
      <c r="E62" s="526"/>
      <c r="F62" s="525">
        <f t="shared" si="4"/>
        <v>0</v>
      </c>
      <c r="G62" s="524"/>
      <c r="H62" s="523"/>
      <c r="I62" s="522"/>
      <c r="J62" s="521">
        <f>IF(ISBLANK(J9),(C62/F10)*L7,(C62/J9)*K9)</f>
        <v>0</v>
      </c>
      <c r="K62" s="520">
        <f t="shared" si="5"/>
        <v>0</v>
      </c>
      <c r="L62" s="519">
        <f>IF(ISBLANK(J9),(F62/F10)*L7,(F62/J9)*K9)</f>
        <v>0</v>
      </c>
      <c r="M62" s="518"/>
      <c r="N62" s="926">
        <f t="shared" si="6"/>
        <v>0</v>
      </c>
      <c r="O62" s="516"/>
      <c r="P62" s="925">
        <f t="shared" si="7"/>
        <v>0</v>
      </c>
      <c r="Q62" s="3686"/>
      <c r="R62" s="515"/>
      <c r="S62" s="900"/>
      <c r="T62" s="900"/>
      <c r="U62" s="900"/>
      <c r="V62" s="900"/>
      <c r="W62" s="900"/>
      <c r="X62" s="900"/>
      <c r="Y62" s="900"/>
      <c r="Z62" s="900"/>
      <c r="AA62" s="900"/>
      <c r="AB62" s="900"/>
      <c r="AC62" s="900"/>
      <c r="AD62" s="413"/>
      <c r="AE62" s="514" t="s">
        <v>198</v>
      </c>
      <c r="AF62" s="924" t="str">
        <f>ADDRESS(ROW(L9),COLUMN(L9),4)</f>
        <v>L9</v>
      </c>
      <c r="AG62" s="900"/>
      <c r="AH62" s="381">
        <v>15</v>
      </c>
    </row>
    <row r="63" spans="1:34" ht="15" customHeight="1">
      <c r="A63" s="3683"/>
      <c r="B63" s="376"/>
      <c r="C63" s="3241"/>
      <c r="D63" s="3240" t="s">
        <v>196</v>
      </c>
      <c r="E63" s="3237"/>
      <c r="F63" s="3237"/>
      <c r="G63" s="3239"/>
      <c r="H63" s="3238"/>
      <c r="I63" s="3238"/>
      <c r="J63" s="3238"/>
      <c r="K63" s="3238"/>
      <c r="L63" s="3237"/>
      <c r="M63" s="3237"/>
      <c r="N63" s="3237"/>
      <c r="O63" s="3237"/>
      <c r="P63" s="3236"/>
      <c r="Q63" s="3947" t="str">
        <f>P3</f>
        <v>021</v>
      </c>
      <c r="R63" s="376"/>
      <c r="S63" s="900"/>
      <c r="T63" s="900"/>
      <c r="U63" s="900"/>
      <c r="V63" s="900"/>
      <c r="W63" s="900"/>
      <c r="X63" s="900"/>
      <c r="Y63" s="900"/>
      <c r="Z63" s="900"/>
      <c r="AA63" s="900"/>
      <c r="AB63" s="900"/>
      <c r="AC63" s="900"/>
      <c r="AD63" s="413"/>
      <c r="AE63" s="412"/>
      <c r="AF63" s="411"/>
      <c r="AG63" s="900"/>
      <c r="AH63" s="381">
        <v>15</v>
      </c>
    </row>
    <row r="64" spans="1:34" ht="18" customHeight="1">
      <c r="A64" s="3683"/>
      <c r="B64" s="376"/>
      <c r="C64" s="489"/>
      <c r="D64" s="3235">
        <f>IF(ISBLANK(C13),E13,C13*E13)+IF(ISBLANK(C14),E14,C14*E14)+IF(ISBLANK(C15),E15,C15*E15)+IF(ISBLANK(C16),E16,C16*E16)+IF(ISBLANK(C17),E17,C17*E17)+IF(ISBLANK(C18),E18,C18*E18)+IF(ISBLANK(C19),E19,C19*E19)+IF(ISBLANK(C20),E20,C20*E20)+IF(ISBLANK(C21),E21,C21*E21)+IF(ISBLANK(C22),E22,C22*E22)+IF(ISBLANK(C23),E23,C23*E23)+IF(ISBLANK(C24),E24,C24*E24)+IF(ISBLANK(C25),E25,C25*E25)+IF(ISBLANK(C26),E26,C26*E26)+IF(ISBLANK(C27),E27,C27*E27)+IF(ISBLANK(C28),E28,C28*E28)+IF(ISBLANK(C29),E29,C29*E29)+IF(ISBLANK(C30),E30,C30*E30)+IF(ISBLANK(C31),E31,C31*E31)+IF(ISBLANK(C32),E32,C32*E32)+IF(ISBLANK(C33),E33,C33*E33)+IF(ISBLANK(C34),E34,C34*E34)+IF(ISBLANK(C35),E35,C35*E35)+IF(ISBLANK(C36),E36,C36*E36)+IF(ISBLANK(C37),E37,C37*E37)+IF(ISBLANK(C38),E38,C38*E38)+IF(ISBLANK(C39),E39,C39*E39)+ IF(ISBLANK(C40),E40,C40*E40)+ IF(ISBLANK(C41),E41,C41*E41)+ IF(ISBLANK(C42),E42,C42*E42)+ IF(ISBLANK(C43),E43,C43*E43)+ IF(ISBLANK(C44),E44,C44*E44)+ IF(ISBLANK(C45),E45,C45*E45)+ IF(ISBLANK(C46),E46,C46*E46)+ IF(ISBLANK(C47),E47,C47*E47)+ IF(ISBLANK(C48),E48,C48*E48)+IF(ISBLANK(C49),E49,C49*E49)+IF(ISBLANK(C50),E50,C50*E50)+ IF(ISBLANK(C51),E51,C51*E51) +IF(ISBLANK(C52),E52,C52*E52) +IF(ISBLANK(C53),E53,C53*E53) +IF(ISBLANK(C54),E54,C54*E54) +IF(ISBLANK(C55),E55,C55*E55) +IF(ISBLANK(C56),E56,C56*E56) +IF(ISBLANK(C57),E57,C57*E57) +IF(ISBLANK(C58),E58,C58*E58) +IF(ISBLANK(C59),E59,C59*E59) +IF(ISBLANK(C60),E60,C60*E60) +IF(ISBLANK(C61),E61,C61*E61) +IF(ISBLANK(C62),E62,C62*E62)</f>
        <v>59.365000000000002</v>
      </c>
      <c r="E64" s="493"/>
      <c r="F64" s="493">
        <f>SUM(F13:F62)</f>
        <v>59.365000000000002</v>
      </c>
      <c r="G64" s="918"/>
      <c r="H64" s="834"/>
      <c r="I64" s="834"/>
      <c r="J64" s="834"/>
      <c r="K64" s="486" t="s">
        <v>37</v>
      </c>
      <c r="L64" s="485">
        <f>SUM(L13:L62)</f>
        <v>72</v>
      </c>
      <c r="M64" s="486" t="s">
        <v>47</v>
      </c>
      <c r="N64" s="485">
        <f>SUM(N13:N62)</f>
        <v>66.057104354417589</v>
      </c>
      <c r="O64" s="493"/>
      <c r="P64" s="493"/>
      <c r="Q64" s="3948"/>
      <c r="R64" s="376"/>
      <c r="S64" s="900"/>
      <c r="T64" s="900"/>
      <c r="U64" s="900"/>
      <c r="V64" s="900"/>
      <c r="W64" s="900"/>
      <c r="X64" s="900"/>
      <c r="Y64" s="900"/>
      <c r="Z64" s="900"/>
      <c r="AA64" s="900"/>
      <c r="AB64" s="900"/>
      <c r="AC64" s="900"/>
      <c r="AD64" s="3601" t="s">
        <v>194</v>
      </c>
      <c r="AE64" s="3602"/>
      <c r="AF64" s="3603"/>
      <c r="AG64" s="900"/>
      <c r="AH64" s="381">
        <v>18</v>
      </c>
    </row>
    <row r="65" spans="1:34" ht="18" customHeight="1">
      <c r="A65" s="3683"/>
      <c r="B65" s="376"/>
      <c r="C65" s="489"/>
      <c r="D65" s="484"/>
      <c r="E65" s="484"/>
      <c r="F65" s="484"/>
      <c r="G65" s="477"/>
      <c r="H65" s="488"/>
      <c r="I65" s="488"/>
      <c r="J65" s="488"/>
      <c r="K65" s="487"/>
      <c r="L65" s="484"/>
      <c r="M65" s="486" t="s">
        <v>192</v>
      </c>
      <c r="N65" s="485">
        <f>L64-N64</f>
        <v>5.9428956455824107</v>
      </c>
      <c r="O65" s="484"/>
      <c r="P65" s="484"/>
      <c r="Q65" s="3948"/>
      <c r="R65" s="376"/>
      <c r="S65" s="900"/>
      <c r="T65" s="900"/>
      <c r="U65" s="900"/>
      <c r="V65" s="900"/>
      <c r="W65" s="900"/>
      <c r="X65" s="900"/>
      <c r="Y65" s="900"/>
      <c r="Z65" s="900"/>
      <c r="AA65" s="900"/>
      <c r="AB65" s="900"/>
      <c r="AC65" s="900"/>
      <c r="AD65" s="3601"/>
      <c r="AE65" s="3602"/>
      <c r="AF65" s="3603"/>
      <c r="AG65" s="900"/>
      <c r="AH65" s="381">
        <v>18</v>
      </c>
    </row>
    <row r="66" spans="1:34" ht="18" customHeight="1">
      <c r="A66" s="3683"/>
      <c r="B66" s="376"/>
      <c r="C66" s="478"/>
      <c r="D66" s="476"/>
      <c r="E66" s="476"/>
      <c r="F66" s="476"/>
      <c r="G66" s="477" t="s">
        <v>191</v>
      </c>
      <c r="H66" s="476"/>
      <c r="I66" s="476"/>
      <c r="J66" s="476"/>
      <c r="K66" s="476"/>
      <c r="L66" s="476"/>
      <c r="M66" s="476"/>
      <c r="N66" s="476"/>
      <c r="O66" s="476"/>
      <c r="P66" s="476"/>
      <c r="Q66" s="3948"/>
      <c r="R66" s="376"/>
      <c r="S66" s="900"/>
      <c r="T66" s="900"/>
      <c r="U66" s="900"/>
      <c r="V66" s="900"/>
      <c r="W66" s="900"/>
      <c r="X66" s="900"/>
      <c r="Y66" s="900"/>
      <c r="Z66" s="900"/>
      <c r="AA66" s="900"/>
      <c r="AB66" s="900"/>
      <c r="AC66" s="900"/>
      <c r="AD66" s="3601"/>
      <c r="AE66" s="3602"/>
      <c r="AF66" s="3603"/>
      <c r="AG66" s="900"/>
      <c r="AH66" s="381">
        <v>18</v>
      </c>
    </row>
    <row r="67" spans="1:34" ht="15" customHeight="1" thickBot="1">
      <c r="A67" s="3683"/>
      <c r="B67" s="378"/>
      <c r="C67" s="3234"/>
      <c r="D67" s="3233"/>
      <c r="E67" s="3233"/>
      <c r="F67" s="3233"/>
      <c r="G67" s="3233"/>
      <c r="H67" s="3233"/>
      <c r="I67" s="3233"/>
      <c r="J67" s="3233"/>
      <c r="K67" s="3233"/>
      <c r="L67" s="3233"/>
      <c r="M67" s="3233"/>
      <c r="N67" s="3233"/>
      <c r="O67" s="3233"/>
      <c r="P67" s="3233"/>
      <c r="Q67" s="3949"/>
      <c r="R67" s="378"/>
      <c r="S67" s="900"/>
      <c r="T67" s="900"/>
      <c r="U67" s="900"/>
      <c r="V67" s="900"/>
      <c r="W67" s="900"/>
      <c r="X67" s="900"/>
      <c r="Y67" s="900"/>
      <c r="Z67" s="900"/>
      <c r="AA67" s="900"/>
      <c r="AB67" s="900"/>
      <c r="AC67" s="900"/>
      <c r="AD67" s="3601"/>
      <c r="AE67" s="3602"/>
      <c r="AF67" s="3603"/>
      <c r="AG67" s="900"/>
      <c r="AH67" s="381">
        <v>15</v>
      </c>
    </row>
    <row r="68" spans="1:34" ht="20.100000000000001" customHeight="1">
      <c r="A68" s="833"/>
      <c r="B68" s="378"/>
      <c r="C68" s="450" t="s">
        <v>188</v>
      </c>
      <c r="D68" s="449"/>
      <c r="E68" s="449"/>
      <c r="F68" s="449"/>
      <c r="G68" s="449"/>
      <c r="H68" s="449"/>
      <c r="I68" s="449"/>
      <c r="J68" s="449"/>
      <c r="K68" s="449"/>
      <c r="L68" s="449"/>
      <c r="M68" s="449"/>
      <c r="N68" s="449"/>
      <c r="O68" s="449"/>
      <c r="P68" s="449"/>
      <c r="Q68" s="457" t="str">
        <f>C3</f>
        <v>HARICOT DE MOUTON OU CASSOULET TOULOUSAIN</v>
      </c>
      <c r="R68" s="378"/>
      <c r="S68" s="900"/>
      <c r="T68" s="900"/>
      <c r="U68" s="900"/>
      <c r="V68" s="900"/>
      <c r="W68" s="900"/>
      <c r="X68" s="900"/>
      <c r="Y68" s="900"/>
      <c r="Z68" s="900"/>
      <c r="AA68" s="900"/>
      <c r="AB68" s="900"/>
      <c r="AC68" s="900"/>
      <c r="AD68" s="456" t="s">
        <v>187</v>
      </c>
      <c r="AE68" s="376"/>
      <c r="AF68" s="915" t="str">
        <f>ADDRESS(ROW(J9),COLUMN(J9),4)</f>
        <v>J9</v>
      </c>
      <c r="AG68" s="900"/>
      <c r="AH68" s="381">
        <v>20</v>
      </c>
    </row>
    <row r="69" spans="1:34" ht="20.100000000000001" customHeight="1">
      <c r="A69" s="833"/>
      <c r="B69" s="356"/>
      <c r="C69" s="450" t="s">
        <v>186</v>
      </c>
      <c r="D69" s="449"/>
      <c r="E69" s="449"/>
      <c r="F69" s="449"/>
      <c r="G69" s="449"/>
      <c r="H69" s="449"/>
      <c r="I69" s="449"/>
      <c r="J69" s="449"/>
      <c r="K69" s="449"/>
      <c r="L69" s="449"/>
      <c r="M69" s="449"/>
      <c r="N69" s="449"/>
      <c r="O69" s="449"/>
      <c r="P69" s="449"/>
      <c r="Q69" s="448" t="s">
        <v>185</v>
      </c>
      <c r="R69" s="356"/>
      <c r="S69" s="900"/>
      <c r="T69" s="900"/>
      <c r="U69" s="900"/>
      <c r="V69" s="900"/>
      <c r="W69" s="900"/>
      <c r="X69" s="900"/>
      <c r="Y69" s="900"/>
      <c r="Z69" s="900"/>
      <c r="AA69" s="900"/>
      <c r="AB69" s="900"/>
      <c r="AC69" s="900"/>
      <c r="AD69" s="441">
        <v>16</v>
      </c>
      <c r="AE69" s="440" t="s">
        <v>184</v>
      </c>
      <c r="AF69" s="914"/>
      <c r="AG69" s="900"/>
      <c r="AH69" s="381">
        <v>20</v>
      </c>
    </row>
    <row r="70" spans="1:34" ht="20.100000000000001" customHeight="1">
      <c r="A70" s="833"/>
      <c r="B70" s="356"/>
      <c r="C70" s="3604" t="s">
        <v>183</v>
      </c>
      <c r="D70" s="3605"/>
      <c r="E70" s="3605"/>
      <c r="F70" s="3606">
        <v>7.2916666666666671E-2</v>
      </c>
      <c r="G70" s="40"/>
      <c r="H70" s="40"/>
      <c r="I70" s="3605" t="s">
        <v>182</v>
      </c>
      <c r="J70" s="3605"/>
      <c r="K70" s="3608">
        <v>8.3333333333333329E-2</v>
      </c>
      <c r="L70" s="40"/>
      <c r="M70" s="443"/>
      <c r="N70" s="443"/>
      <c r="O70" s="443"/>
      <c r="P70" s="443"/>
      <c r="Q70" s="446"/>
      <c r="R70" s="356"/>
      <c r="S70" s="900"/>
      <c r="T70" s="900"/>
      <c r="U70" s="900"/>
      <c r="V70" s="900"/>
      <c r="W70" s="900"/>
      <c r="X70" s="900"/>
      <c r="Y70" s="900"/>
      <c r="Z70" s="900"/>
      <c r="AA70" s="900"/>
      <c r="AB70" s="900"/>
      <c r="AC70" s="900"/>
      <c r="AD70" s="441">
        <v>2</v>
      </c>
      <c r="AE70" s="440" t="s">
        <v>181</v>
      </c>
      <c r="AF70" s="3609"/>
      <c r="AG70" s="900"/>
      <c r="AH70" s="381">
        <v>20</v>
      </c>
    </row>
    <row r="71" spans="1:34" ht="20.100000000000001" customHeight="1">
      <c r="A71" s="833"/>
      <c r="B71" s="356"/>
      <c r="C71" s="3604"/>
      <c r="D71" s="3605"/>
      <c r="E71" s="3605"/>
      <c r="F71" s="3950"/>
      <c r="G71" s="444" t="s">
        <v>180</v>
      </c>
      <c r="H71" s="445"/>
      <c r="I71" s="3605"/>
      <c r="J71" s="3605"/>
      <c r="K71" s="3608"/>
      <c r="L71" s="444" t="s">
        <v>179</v>
      </c>
      <c r="M71" s="443"/>
      <c r="N71" s="443"/>
      <c r="O71" s="443"/>
      <c r="P71" s="443"/>
      <c r="Q71" s="442"/>
      <c r="R71" s="356"/>
      <c r="S71" s="900"/>
      <c r="T71" s="900"/>
      <c r="U71" s="900"/>
      <c r="V71" s="900"/>
      <c r="W71" s="900"/>
      <c r="X71" s="900"/>
      <c r="Y71" s="900"/>
      <c r="Z71" s="900"/>
      <c r="AA71" s="900"/>
      <c r="AB71" s="900"/>
      <c r="AC71" s="900"/>
      <c r="AD71" s="441">
        <v>24</v>
      </c>
      <c r="AE71" s="440" t="s">
        <v>178</v>
      </c>
      <c r="AF71" s="3609"/>
      <c r="AG71" s="900"/>
      <c r="AH71" s="381">
        <v>20</v>
      </c>
    </row>
    <row r="72" spans="1:34" ht="15.75" customHeight="1">
      <c r="A72" s="833"/>
      <c r="B72" s="356"/>
      <c r="C72" s="439">
        <v>0</v>
      </c>
      <c r="D72" s="3232" t="s">
        <v>82</v>
      </c>
      <c r="E72" s="3231"/>
      <c r="F72" s="3231"/>
      <c r="G72" s="3231"/>
      <c r="H72" s="3231"/>
      <c r="I72" s="3231"/>
      <c r="J72" s="438">
        <f>MAX(C72:C101)</f>
        <v>21</v>
      </c>
      <c r="K72" s="3232" t="s">
        <v>82</v>
      </c>
      <c r="L72" s="3231"/>
      <c r="M72" s="3231"/>
      <c r="N72" s="3231"/>
      <c r="O72" s="3231"/>
      <c r="P72" s="3231"/>
      <c r="Q72" s="3230"/>
      <c r="R72" s="356"/>
      <c r="S72" s="900"/>
      <c r="T72" s="900"/>
      <c r="U72" s="900"/>
      <c r="V72" s="900"/>
      <c r="W72" s="900"/>
      <c r="X72" s="900"/>
      <c r="Y72" s="900"/>
      <c r="Z72" s="900"/>
      <c r="AA72" s="900"/>
      <c r="AB72" s="900"/>
      <c r="AC72" s="900"/>
      <c r="AD72" s="3610" t="s">
        <v>177</v>
      </c>
      <c r="AE72" s="3611"/>
      <c r="AF72" s="3612"/>
      <c r="AG72" s="900"/>
      <c r="AH72" s="381">
        <v>15.75</v>
      </c>
    </row>
    <row r="73" spans="1:34" ht="15.75" customHeight="1">
      <c r="A73" s="834"/>
      <c r="B73" s="356"/>
      <c r="C73" s="3227" t="str">
        <f>IF(ISBLANK(D73),"",LARGE(C72:C72,1)+1)</f>
        <v/>
      </c>
      <c r="D73" s="395"/>
      <c r="E73" s="3229" t="s">
        <v>1893</v>
      </c>
      <c r="F73" s="395"/>
      <c r="G73" s="395"/>
      <c r="H73" s="395"/>
      <c r="I73" s="395"/>
      <c r="J73" s="3228" t="str">
        <f>IF(ISBLANK(K73),"",LARGE(J72:J72,1)+1)</f>
        <v/>
      </c>
      <c r="K73" s="395"/>
      <c r="L73" s="3229" t="s">
        <v>6669</v>
      </c>
      <c r="M73" s="435"/>
      <c r="N73" s="435"/>
      <c r="O73" s="435"/>
      <c r="P73" s="435"/>
      <c r="Q73" s="434"/>
      <c r="R73" s="356"/>
      <c r="S73" s="900"/>
      <c r="T73" s="900"/>
      <c r="U73" s="900"/>
      <c r="V73" s="900"/>
      <c r="W73" s="900"/>
      <c r="X73" s="900"/>
      <c r="Y73" s="900"/>
      <c r="Z73" s="900"/>
      <c r="AA73" s="900"/>
      <c r="AB73" s="900"/>
      <c r="AC73" s="900"/>
      <c r="AD73" s="3610"/>
      <c r="AE73" s="3611"/>
      <c r="AF73" s="3612"/>
      <c r="AG73" s="900"/>
      <c r="AH73" s="381">
        <v>15.75</v>
      </c>
    </row>
    <row r="74" spans="1:34" ht="15.75" customHeight="1">
      <c r="A74" s="356"/>
      <c r="B74" s="356"/>
      <c r="C74" s="3227">
        <f>IF(ISBLANK(D74),"",LARGE(C72:C73,1)+1)</f>
        <v>1</v>
      </c>
      <c r="D74" s="395" t="s">
        <v>6668</v>
      </c>
      <c r="E74" s="395"/>
      <c r="F74" s="395"/>
      <c r="G74" s="395"/>
      <c r="H74" s="395"/>
      <c r="I74" s="395"/>
      <c r="J74" s="3228">
        <f>IF(ISBLANK(K74),"",LARGE(J72:J73,1)+1)</f>
        <v>22</v>
      </c>
      <c r="K74" s="395" t="s">
        <v>6664</v>
      </c>
      <c r="L74" s="395"/>
      <c r="M74" s="395"/>
      <c r="N74" s="395"/>
      <c r="O74" s="395"/>
      <c r="P74" s="395"/>
      <c r="Q74" s="407"/>
      <c r="R74" s="356"/>
      <c r="S74" s="900"/>
      <c r="T74" s="900"/>
      <c r="U74" s="900"/>
      <c r="V74" s="900"/>
      <c r="W74" s="900"/>
      <c r="X74" s="900"/>
      <c r="Y74" s="900"/>
      <c r="Z74" s="900"/>
      <c r="AA74" s="900"/>
      <c r="AB74" s="900"/>
      <c r="AC74" s="900"/>
      <c r="AD74" s="3610"/>
      <c r="AE74" s="3611"/>
      <c r="AF74" s="3612"/>
      <c r="AG74" s="900"/>
      <c r="AH74" s="381">
        <v>15.75</v>
      </c>
    </row>
    <row r="75" spans="1:34" ht="15.75" customHeight="1">
      <c r="A75" s="356"/>
      <c r="B75" s="356"/>
      <c r="C75" s="3227">
        <f>IF(ISBLANK(D75),"",LARGE(C72:C74,1)+1)</f>
        <v>2</v>
      </c>
      <c r="D75" s="395" t="s">
        <v>6667</v>
      </c>
      <c r="E75" s="395" t="s">
        <v>6666</v>
      </c>
      <c r="F75" s="395"/>
      <c r="G75" s="395"/>
      <c r="H75" s="395"/>
      <c r="I75" s="395"/>
      <c r="J75" s="3228">
        <f>IF(ISBLANK(K75),"",LARGE(J72:J74,1)+1)</f>
        <v>23</v>
      </c>
      <c r="K75" s="395" t="s">
        <v>6662</v>
      </c>
      <c r="L75" s="395"/>
      <c r="M75" s="395"/>
      <c r="N75" s="395"/>
      <c r="O75" s="395"/>
      <c r="P75" s="395"/>
      <c r="Q75" s="407"/>
      <c r="R75" s="356"/>
      <c r="S75" s="900"/>
      <c r="T75" s="900"/>
      <c r="U75" s="900"/>
      <c r="V75" s="900"/>
      <c r="W75" s="900"/>
      <c r="X75" s="900"/>
      <c r="Y75" s="900"/>
      <c r="Z75" s="900"/>
      <c r="AA75" s="900"/>
      <c r="AB75" s="900"/>
      <c r="AC75" s="900"/>
      <c r="AD75" s="3613" t="s">
        <v>176</v>
      </c>
      <c r="AE75" s="3614"/>
      <c r="AF75" s="3615"/>
      <c r="AG75" s="900"/>
      <c r="AH75" s="381">
        <v>15.75</v>
      </c>
    </row>
    <row r="76" spans="1:34" ht="15.75" customHeight="1">
      <c r="A76" s="356"/>
      <c r="B76" s="356"/>
      <c r="C76" s="3227">
        <f>IF(ISBLANK(D76),"",LARGE(C72:C75,1)+1)</f>
        <v>3</v>
      </c>
      <c r="D76" s="395" t="s">
        <v>6665</v>
      </c>
      <c r="E76" s="395"/>
      <c r="F76" s="395"/>
      <c r="G76" s="395"/>
      <c r="H76" s="395"/>
      <c r="I76" s="395"/>
      <c r="J76" s="3228">
        <f>IF(ISBLANK(K76),"",LARGE(J72:J75,1)+1)</f>
        <v>24</v>
      </c>
      <c r="K76" s="395" t="s">
        <v>6664</v>
      </c>
      <c r="L76" s="395"/>
      <c r="M76" s="395"/>
      <c r="N76" s="395"/>
      <c r="O76" s="395"/>
      <c r="P76" s="395"/>
      <c r="Q76" s="407"/>
      <c r="R76" s="356"/>
      <c r="S76" s="900"/>
      <c r="T76" s="900"/>
      <c r="U76" s="900"/>
      <c r="V76" s="900"/>
      <c r="W76" s="900"/>
      <c r="X76" s="900"/>
      <c r="Y76" s="900"/>
      <c r="Z76" s="900"/>
      <c r="AA76" s="900"/>
      <c r="AB76" s="900"/>
      <c r="AC76" s="900"/>
      <c r="AD76" s="3613"/>
      <c r="AE76" s="3614"/>
      <c r="AF76" s="3615"/>
      <c r="AG76" s="900"/>
      <c r="AH76" s="381">
        <v>15.75</v>
      </c>
    </row>
    <row r="77" spans="1:34" ht="15.75" customHeight="1">
      <c r="A77" s="356"/>
      <c r="B77" s="356"/>
      <c r="C77" s="3227">
        <f>IF(ISBLANK(D77),"",LARGE(C72:C76,1)+1)</f>
        <v>4</v>
      </c>
      <c r="D77" s="395" t="s">
        <v>6663</v>
      </c>
      <c r="E77" s="395"/>
      <c r="F77" s="395"/>
      <c r="G77" s="395"/>
      <c r="H77" s="395"/>
      <c r="I77" s="395"/>
      <c r="J77" s="3228">
        <f>IF(ISBLANK(K77),"",LARGE(J72:J76,1)+1)</f>
        <v>25</v>
      </c>
      <c r="K77" s="395" t="s">
        <v>6662</v>
      </c>
      <c r="L77" s="395"/>
      <c r="M77" s="395"/>
      <c r="N77" s="395"/>
      <c r="O77" s="395"/>
      <c r="P77" s="395"/>
      <c r="Q77" s="407"/>
      <c r="R77" s="356"/>
      <c r="S77" s="900"/>
      <c r="T77" s="900"/>
      <c r="U77" s="900"/>
      <c r="V77" s="900"/>
      <c r="W77" s="900"/>
      <c r="X77" s="900"/>
      <c r="Y77" s="900"/>
      <c r="Z77" s="900"/>
      <c r="AA77" s="900"/>
      <c r="AB77" s="900"/>
      <c r="AC77" s="900"/>
      <c r="AD77" s="3613"/>
      <c r="AE77" s="3614"/>
      <c r="AF77" s="3615"/>
      <c r="AG77" s="900"/>
      <c r="AH77" s="381">
        <v>15.75</v>
      </c>
    </row>
    <row r="78" spans="1:34" ht="15.75" customHeight="1">
      <c r="A78" s="356"/>
      <c r="B78" s="356"/>
      <c r="C78" s="3227">
        <f>IF(ISBLANK(D78),"",LARGE(C72:C77,1)+1)</f>
        <v>5</v>
      </c>
      <c r="D78" s="395" t="s">
        <v>6661</v>
      </c>
      <c r="E78" s="395"/>
      <c r="F78" s="395"/>
      <c r="G78" s="395"/>
      <c r="H78" s="395"/>
      <c r="I78" s="395"/>
      <c r="J78" s="3228">
        <f>IF(ISBLANK(K78),"",LARGE(J72:J77,1)+1)</f>
        <v>26</v>
      </c>
      <c r="K78" s="395" t="s">
        <v>6660</v>
      </c>
      <c r="L78" s="395"/>
      <c r="M78" s="395"/>
      <c r="N78" s="395"/>
      <c r="O78" s="395"/>
      <c r="P78" s="395"/>
      <c r="Q78" s="407"/>
      <c r="R78" s="356"/>
      <c r="S78" s="900"/>
      <c r="T78" s="900"/>
      <c r="U78" s="900"/>
      <c r="V78" s="900"/>
      <c r="W78" s="900"/>
      <c r="X78" s="900"/>
      <c r="Y78" s="900"/>
      <c r="Z78" s="900"/>
      <c r="AA78" s="900"/>
      <c r="AB78" s="900"/>
      <c r="AC78" s="900"/>
      <c r="AD78" s="433"/>
      <c r="AE78" s="432" t="s">
        <v>98</v>
      </c>
      <c r="AF78" s="911" t="str">
        <f>ADDRESS(ROW(K9),COLUMN(K9),4)</f>
        <v>K9</v>
      </c>
      <c r="AG78" s="900"/>
      <c r="AH78" s="381">
        <v>15.75</v>
      </c>
    </row>
    <row r="79" spans="1:34" ht="15.75" customHeight="1">
      <c r="A79" s="356"/>
      <c r="B79" s="356"/>
      <c r="C79" s="3227">
        <f>IF(ISBLANK(D79),"",LARGE(C72:C78,1)+1)</f>
        <v>6</v>
      </c>
      <c r="D79" s="395" t="s">
        <v>6659</v>
      </c>
      <c r="E79" s="395"/>
      <c r="F79" s="395"/>
      <c r="G79" s="395"/>
      <c r="H79" s="395"/>
      <c r="I79" s="395"/>
      <c r="J79" s="3228">
        <f>IF(ISBLANK(K79),"",LARGE(J72:J78,1)+1)</f>
        <v>27</v>
      </c>
      <c r="K79" s="395" t="s">
        <v>6658</v>
      </c>
      <c r="L79" s="395"/>
      <c r="M79" s="395"/>
      <c r="N79" s="395"/>
      <c r="O79" s="395"/>
      <c r="P79" s="395"/>
      <c r="Q79" s="407"/>
      <c r="R79" s="356"/>
      <c r="S79" s="900"/>
      <c r="T79" s="900"/>
      <c r="U79" s="900"/>
      <c r="V79" s="900"/>
      <c r="W79" s="900"/>
      <c r="X79" s="900"/>
      <c r="Y79" s="900"/>
      <c r="Z79" s="900"/>
      <c r="AA79" s="900"/>
      <c r="AB79" s="900"/>
      <c r="AC79" s="900"/>
      <c r="AD79" s="428" t="s">
        <v>175</v>
      </c>
      <c r="AE79" s="430"/>
      <c r="AF79" s="429"/>
      <c r="AG79" s="900"/>
      <c r="AH79" s="381">
        <v>15.75</v>
      </c>
    </row>
    <row r="80" spans="1:34" ht="15.75" customHeight="1">
      <c r="A80" s="356"/>
      <c r="B80" s="356"/>
      <c r="C80" s="3227">
        <f>IF(ISBLANK(D80),"",LARGE(C72:C79,1)+1)</f>
        <v>7</v>
      </c>
      <c r="D80" s="395" t="s">
        <v>6657</v>
      </c>
      <c r="E80" s="395"/>
      <c r="F80" s="395"/>
      <c r="G80" s="395"/>
      <c r="H80" s="395"/>
      <c r="I80" s="395"/>
      <c r="J80" s="3228" t="str">
        <f>IF(ISBLANK(K80),"",LARGE(J72:J79,1)+1)</f>
        <v/>
      </c>
      <c r="K80" s="395"/>
      <c r="L80" s="395" t="s">
        <v>6656</v>
      </c>
      <c r="M80" s="395"/>
      <c r="N80" s="395"/>
      <c r="O80" s="395"/>
      <c r="P80" s="395"/>
      <c r="Q80" s="407"/>
      <c r="R80" s="356"/>
      <c r="S80" s="900"/>
      <c r="T80" s="900"/>
      <c r="U80" s="900"/>
      <c r="V80" s="900"/>
      <c r="W80" s="900"/>
      <c r="X80" s="900"/>
      <c r="Y80" s="900"/>
      <c r="Z80" s="900"/>
      <c r="AA80" s="900"/>
      <c r="AB80" s="900"/>
      <c r="AC80" s="900"/>
      <c r="AD80" s="428"/>
      <c r="AE80" s="427" t="s">
        <v>174</v>
      </c>
      <c r="AF80" s="426" t="str">
        <f>LEFT(ADDRESS(1,COLUMN(M12),4),LEN(ADDRESS(1,COLUMN(M12),4))-1)</f>
        <v>M</v>
      </c>
      <c r="AG80" s="900"/>
      <c r="AH80" s="381">
        <v>15.75</v>
      </c>
    </row>
    <row r="81" spans="1:34" ht="15.75" customHeight="1">
      <c r="A81" s="834"/>
      <c r="B81" s="356"/>
      <c r="C81" s="3227">
        <f>IF(ISBLANK(D81),"",LARGE(C72:C80,1)+1)</f>
        <v>8</v>
      </c>
      <c r="D81" s="395" t="s">
        <v>6655</v>
      </c>
      <c r="E81" s="395"/>
      <c r="F81" s="395"/>
      <c r="G81" s="395"/>
      <c r="H81" s="395"/>
      <c r="I81" s="395"/>
      <c r="J81" s="3228" t="str">
        <f>IF(ISBLANK(K81),"",LARGE(J72:J80,1)+1)</f>
        <v/>
      </c>
      <c r="K81" s="395"/>
      <c r="L81" s="395" t="s">
        <v>6654</v>
      </c>
      <c r="M81" s="395"/>
      <c r="N81" s="395"/>
      <c r="O81" s="395"/>
      <c r="P81" s="395"/>
      <c r="Q81" s="407"/>
      <c r="R81" s="356"/>
      <c r="S81" s="900"/>
      <c r="T81" s="900"/>
      <c r="U81" s="900"/>
      <c r="V81" s="900"/>
      <c r="W81" s="900"/>
      <c r="X81" s="900"/>
      <c r="Y81" s="900"/>
      <c r="Z81" s="900"/>
      <c r="AA81" s="900"/>
      <c r="AB81" s="900"/>
      <c r="AC81" s="900"/>
      <c r="AD81" s="3616" t="s">
        <v>99</v>
      </c>
      <c r="AE81" s="3617"/>
      <c r="AF81" s="3618"/>
      <c r="AG81" s="900"/>
      <c r="AH81" s="381">
        <v>15.75</v>
      </c>
    </row>
    <row r="82" spans="1:34" ht="15.75" customHeight="1">
      <c r="A82" s="834"/>
      <c r="B82" s="356"/>
      <c r="C82" s="3227" t="str">
        <f>IF(ISBLANK(D82),"",LARGE(C72:C81,1)+1)</f>
        <v/>
      </c>
      <c r="D82" s="395"/>
      <c r="E82" s="3229" t="s">
        <v>6653</v>
      </c>
      <c r="F82" s="395"/>
      <c r="G82" s="395"/>
      <c r="H82" s="395"/>
      <c r="I82" s="395"/>
      <c r="J82" s="3228">
        <f>IF(ISBLANK(K82),"",LARGE(J72:J81,1)+1)</f>
        <v>28</v>
      </c>
      <c r="K82" s="395" t="s">
        <v>6652</v>
      </c>
      <c r="L82" s="395"/>
      <c r="M82" s="395"/>
      <c r="N82" s="395"/>
      <c r="O82" s="395"/>
      <c r="P82" s="395"/>
      <c r="Q82" s="407"/>
      <c r="R82" s="356"/>
      <c r="S82" s="900"/>
      <c r="T82" s="900"/>
      <c r="U82" s="900"/>
      <c r="V82" s="900"/>
      <c r="W82" s="900"/>
      <c r="X82" s="900"/>
      <c r="Y82" s="900"/>
      <c r="Z82" s="900"/>
      <c r="AA82" s="900"/>
      <c r="AB82" s="900"/>
      <c r="AC82" s="900"/>
      <c r="AD82" s="3616"/>
      <c r="AE82" s="3617"/>
      <c r="AF82" s="3618"/>
      <c r="AG82" s="900"/>
      <c r="AH82" s="381">
        <v>15.75</v>
      </c>
    </row>
    <row r="83" spans="1:34" ht="15.75" customHeight="1">
      <c r="A83" s="834"/>
      <c r="B83" s="356"/>
      <c r="C83" s="3227">
        <f>IF(ISBLANK(D83),"",LARGE(C72:C82,1)+1)</f>
        <v>9</v>
      </c>
      <c r="D83" s="395" t="s">
        <v>6651</v>
      </c>
      <c r="E83" s="395"/>
      <c r="F83" s="395"/>
      <c r="G83" s="395"/>
      <c r="H83" s="395"/>
      <c r="I83" s="395"/>
      <c r="J83" s="3228" t="str">
        <f>IF(ISBLANK(K83),"",LARGE(J72:J82,1)+1)</f>
        <v/>
      </c>
      <c r="K83" s="395"/>
      <c r="L83" s="3229" t="s">
        <v>6650</v>
      </c>
      <c r="M83" s="395"/>
      <c r="N83" s="395"/>
      <c r="O83" s="395"/>
      <c r="P83" s="395"/>
      <c r="Q83" s="407"/>
      <c r="R83" s="356"/>
      <c r="S83" s="900"/>
      <c r="T83" s="900"/>
      <c r="U83" s="900"/>
      <c r="V83" s="900"/>
      <c r="W83" s="900"/>
      <c r="X83" s="900"/>
      <c r="Y83" s="900"/>
      <c r="Z83" s="900"/>
      <c r="AA83" s="900"/>
      <c r="AB83" s="900"/>
      <c r="AC83" s="900"/>
      <c r="AD83" s="3616"/>
      <c r="AE83" s="3617"/>
      <c r="AF83" s="3618"/>
      <c r="AG83" s="900"/>
      <c r="AH83" s="381">
        <v>15.75</v>
      </c>
    </row>
    <row r="84" spans="1:34" ht="15.75" customHeight="1">
      <c r="A84" s="834"/>
      <c r="B84" s="356"/>
      <c r="C84" s="3227" t="str">
        <f>IF(ISBLANK(D84),"",LARGE(C72:C83,1)+1)</f>
        <v/>
      </c>
      <c r="D84" s="395"/>
      <c r="E84" s="395" t="s">
        <v>6649</v>
      </c>
      <c r="F84" s="395"/>
      <c r="G84" s="395"/>
      <c r="H84" s="395"/>
      <c r="I84" s="395"/>
      <c r="J84" s="3228">
        <f>IF(ISBLANK(K84),"",LARGE(J72:J83,1)+1)</f>
        <v>29</v>
      </c>
      <c r="K84" s="395" t="s">
        <v>6648</v>
      </c>
      <c r="L84" s="395"/>
      <c r="M84" s="395"/>
      <c r="N84" s="395"/>
      <c r="O84" s="395"/>
      <c r="P84" s="395"/>
      <c r="Q84" s="407"/>
      <c r="R84" s="356"/>
      <c r="S84" s="900"/>
      <c r="T84" s="900"/>
      <c r="U84" s="900"/>
      <c r="V84" s="900"/>
      <c r="W84" s="900"/>
      <c r="X84" s="900"/>
      <c r="Y84" s="900"/>
      <c r="Z84" s="900"/>
      <c r="AA84" s="900"/>
      <c r="AB84" s="900"/>
      <c r="AC84" s="900"/>
      <c r="AD84" s="424" t="s">
        <v>173</v>
      </c>
      <c r="AE84" s="412"/>
      <c r="AF84" s="411"/>
      <c r="AG84" s="900"/>
      <c r="AH84" s="381">
        <v>15.75</v>
      </c>
    </row>
    <row r="85" spans="1:34" ht="15.75" customHeight="1">
      <c r="A85" s="834"/>
      <c r="B85" s="356"/>
      <c r="C85" s="3227">
        <f>IF(ISBLANK(D85),"",LARGE(C72:C84,1)+1)</f>
        <v>10</v>
      </c>
      <c r="D85" s="395" t="s">
        <v>6647</v>
      </c>
      <c r="E85" s="395"/>
      <c r="F85" s="395"/>
      <c r="G85" s="395"/>
      <c r="H85" s="395"/>
      <c r="I85" s="395"/>
      <c r="J85" s="3228" t="str">
        <f>IF(ISBLANK(K85),"",LARGE(J72:J84,1)+1)</f>
        <v/>
      </c>
      <c r="K85" s="395"/>
      <c r="L85" s="395" t="s">
        <v>6646</v>
      </c>
      <c r="M85" s="395"/>
      <c r="N85" s="395"/>
      <c r="O85" s="395"/>
      <c r="P85" s="395"/>
      <c r="Q85" s="407"/>
      <c r="R85" s="356"/>
      <c r="S85" s="900"/>
      <c r="T85" s="900"/>
      <c r="U85" s="900"/>
      <c r="V85" s="900"/>
      <c r="W85" s="900"/>
      <c r="X85" s="900"/>
      <c r="Y85" s="900"/>
      <c r="Z85" s="900"/>
      <c r="AA85" s="900"/>
      <c r="AB85" s="900"/>
      <c r="AC85" s="900"/>
      <c r="AD85" s="910"/>
      <c r="AE85" s="909"/>
      <c r="AF85" s="908"/>
      <c r="AG85" s="900"/>
      <c r="AH85" s="381">
        <v>15.75</v>
      </c>
    </row>
    <row r="86" spans="1:34" ht="15.75" customHeight="1">
      <c r="A86" s="834"/>
      <c r="B86" s="356"/>
      <c r="C86" s="3227" t="str">
        <f>IF(ISBLANK(D86),"",LARGE(C72:C85,1)+1)</f>
        <v/>
      </c>
      <c r="D86" s="395"/>
      <c r="E86" s="395" t="s">
        <v>6645</v>
      </c>
      <c r="F86" s="395"/>
      <c r="G86" s="395"/>
      <c r="H86" s="395"/>
      <c r="I86" s="395"/>
      <c r="J86" s="3228" t="str">
        <f>IF(ISBLANK(K86),"",LARGE(J72:J85,1)+1)</f>
        <v/>
      </c>
      <c r="K86" s="395"/>
      <c r="L86" s="395" t="s">
        <v>6644</v>
      </c>
      <c r="M86" s="395"/>
      <c r="N86" s="395"/>
      <c r="O86" s="395"/>
      <c r="P86" s="395"/>
      <c r="Q86" s="407"/>
      <c r="R86" s="356"/>
      <c r="S86" s="900"/>
      <c r="T86" s="900"/>
      <c r="U86" s="900"/>
      <c r="V86" s="900"/>
      <c r="W86" s="900"/>
      <c r="X86" s="900"/>
      <c r="Y86" s="900"/>
      <c r="Z86" s="900"/>
      <c r="AA86" s="900"/>
      <c r="AB86" s="900"/>
      <c r="AC86" s="900"/>
      <c r="AD86" s="3583" t="s">
        <v>171</v>
      </c>
      <c r="AE86" s="3584"/>
      <c r="AF86" s="3585"/>
      <c r="AG86" s="900"/>
      <c r="AH86" s="381">
        <v>15.75</v>
      </c>
    </row>
    <row r="87" spans="1:34" ht="15.75" customHeight="1">
      <c r="A87" s="834"/>
      <c r="B87" s="356"/>
      <c r="C87" s="3227">
        <f>IF(ISBLANK(D87),"",LARGE(C72:C86,1)+1)</f>
        <v>11</v>
      </c>
      <c r="D87" s="395" t="s">
        <v>6643</v>
      </c>
      <c r="E87" s="395"/>
      <c r="F87" s="395"/>
      <c r="G87" s="395"/>
      <c r="H87" s="395"/>
      <c r="I87" s="395"/>
      <c r="J87" s="3228" t="str">
        <f>IF(ISBLANK(K87),"",LARGE(J72:J86,1)+1)</f>
        <v/>
      </c>
      <c r="K87" s="395"/>
      <c r="L87" s="395" t="s">
        <v>6642</v>
      </c>
      <c r="M87" s="395"/>
      <c r="N87" s="395"/>
      <c r="O87" s="395"/>
      <c r="P87" s="395"/>
      <c r="Q87" s="407"/>
      <c r="R87" s="356"/>
      <c r="S87" s="900"/>
      <c r="T87" s="900"/>
      <c r="U87" s="900"/>
      <c r="V87" s="900"/>
      <c r="W87" s="900"/>
      <c r="X87" s="900"/>
      <c r="Y87" s="900"/>
      <c r="Z87" s="900"/>
      <c r="AA87" s="900"/>
      <c r="AB87" s="900"/>
      <c r="AC87" s="900"/>
      <c r="AD87" s="3586"/>
      <c r="AE87" s="3951"/>
      <c r="AF87" s="3952"/>
      <c r="AG87" s="900"/>
      <c r="AH87" s="381">
        <v>15.75</v>
      </c>
    </row>
    <row r="88" spans="1:34" ht="15.75" customHeight="1" thickBot="1">
      <c r="A88" s="834"/>
      <c r="B88" s="356"/>
      <c r="C88" s="3227">
        <f>IF(ISBLANK(D88),"",LARGE(C72:C87,1)+1)</f>
        <v>12</v>
      </c>
      <c r="D88" s="395" t="s">
        <v>6641</v>
      </c>
      <c r="E88" s="3229"/>
      <c r="F88" s="395"/>
      <c r="G88" s="395"/>
      <c r="H88" s="395"/>
      <c r="I88" s="395"/>
      <c r="J88" s="3228">
        <f>IF(ISBLANK(K88),"",LARGE(J72:J87,1)+1)</f>
        <v>30</v>
      </c>
      <c r="K88" s="395" t="s">
        <v>6640</v>
      </c>
      <c r="L88" s="395"/>
      <c r="M88" s="395"/>
      <c r="N88" s="395"/>
      <c r="O88" s="395"/>
      <c r="P88" s="395"/>
      <c r="Q88" s="407"/>
      <c r="R88" s="356"/>
      <c r="S88" s="900"/>
      <c r="T88" s="900"/>
      <c r="U88" s="900"/>
      <c r="V88" s="900"/>
      <c r="W88" s="900"/>
      <c r="X88" s="900"/>
      <c r="Y88" s="900"/>
      <c r="Z88" s="900"/>
      <c r="AA88" s="900"/>
      <c r="AB88" s="900"/>
      <c r="AC88" s="900"/>
      <c r="AD88" s="907">
        <f ca="1">CELL("largeur",AD88)</f>
        <v>13</v>
      </c>
      <c r="AE88" s="906">
        <f ca="1">CELL("largeur",AE88)</f>
        <v>13</v>
      </c>
      <c r="AF88" s="905">
        <f ca="1">CELL("largeur",AF88)</f>
        <v>13</v>
      </c>
      <c r="AG88" s="900"/>
      <c r="AH88" s="381">
        <v>15.75</v>
      </c>
    </row>
    <row r="89" spans="1:34" ht="15.75" customHeight="1">
      <c r="A89" s="834"/>
      <c r="B89" s="356"/>
      <c r="C89" s="3227">
        <f>IF(ISBLANK(D89),"",LARGE(C72:C88,1)+1)</f>
        <v>13</v>
      </c>
      <c r="D89" s="395" t="s">
        <v>6639</v>
      </c>
      <c r="E89" s="395"/>
      <c r="F89" s="395"/>
      <c r="G89" s="395"/>
      <c r="H89" s="395"/>
      <c r="I89" s="395"/>
      <c r="J89" s="3228">
        <f>IF(ISBLANK(K89),"",LARGE(J72:J88,1)+1)</f>
        <v>31</v>
      </c>
      <c r="K89" s="395" t="s">
        <v>6638</v>
      </c>
      <c r="L89" s="395"/>
      <c r="M89" s="395"/>
      <c r="N89" s="395"/>
      <c r="O89" s="395"/>
      <c r="P89" s="395"/>
      <c r="Q89" s="407"/>
      <c r="R89" s="356"/>
      <c r="S89" s="900"/>
      <c r="T89" s="900"/>
      <c r="U89" s="900"/>
      <c r="V89" s="900"/>
      <c r="W89" s="900"/>
      <c r="X89" s="900"/>
      <c r="Y89" s="900"/>
      <c r="Z89" s="900"/>
      <c r="AA89" s="900"/>
      <c r="AB89" s="900"/>
      <c r="AC89" s="900"/>
      <c r="AD89" s="900"/>
      <c r="AE89" s="900"/>
      <c r="AF89" s="900"/>
      <c r="AG89" s="900"/>
      <c r="AH89" s="381">
        <v>15.75</v>
      </c>
    </row>
    <row r="90" spans="1:34" ht="15.75" customHeight="1">
      <c r="A90" s="833"/>
      <c r="B90" s="356"/>
      <c r="C90" s="3227">
        <f>IF(ISBLANK(D90),"",LARGE(C72:C89,1)+1)</f>
        <v>14</v>
      </c>
      <c r="D90" s="395" t="s">
        <v>6637</v>
      </c>
      <c r="E90" s="395"/>
      <c r="F90" s="395"/>
      <c r="G90" s="395"/>
      <c r="H90" s="395"/>
      <c r="I90" s="395"/>
      <c r="J90" s="3228">
        <f>IF(ISBLANK(K90),"",LARGE(J72:J89,1)+1)</f>
        <v>32</v>
      </c>
      <c r="K90" s="395" t="s">
        <v>6636</v>
      </c>
      <c r="L90" s="395"/>
      <c r="M90" s="395"/>
      <c r="N90" s="395"/>
      <c r="O90" s="395"/>
      <c r="P90" s="395"/>
      <c r="Q90" s="407"/>
      <c r="R90" s="356"/>
      <c r="S90" s="900"/>
      <c r="T90" s="900"/>
      <c r="U90" s="900"/>
      <c r="V90" s="900"/>
      <c r="W90" s="900"/>
      <c r="X90" s="900"/>
      <c r="Y90" s="900"/>
      <c r="Z90" s="900"/>
      <c r="AA90" s="900"/>
      <c r="AB90" s="900"/>
      <c r="AC90" s="900"/>
      <c r="AD90" s="900"/>
      <c r="AE90" s="900"/>
      <c r="AF90" s="900"/>
      <c r="AG90" s="900"/>
      <c r="AH90" s="381">
        <v>15.75</v>
      </c>
    </row>
    <row r="91" spans="1:34" ht="15.75" customHeight="1">
      <c r="A91" s="833"/>
      <c r="B91" s="356"/>
      <c r="C91" s="3227" t="str">
        <f>IF(ISBLANK(D91),"",LARGE(C72:C90,1)+1)</f>
        <v/>
      </c>
      <c r="D91" s="395"/>
      <c r="E91" s="3229" t="s">
        <v>6635</v>
      </c>
      <c r="F91" s="395"/>
      <c r="G91" s="395"/>
      <c r="H91" s="395"/>
      <c r="I91" s="395"/>
      <c r="J91" s="3228">
        <f>IF(ISBLANK(K91),"",LARGE(J72:J90,1)+1)</f>
        <v>33</v>
      </c>
      <c r="K91" s="395" t="s">
        <v>6634</v>
      </c>
      <c r="L91" s="395"/>
      <c r="M91" s="395"/>
      <c r="N91" s="395"/>
      <c r="O91" s="395"/>
      <c r="P91" s="395"/>
      <c r="Q91" s="407"/>
      <c r="R91" s="356"/>
      <c r="S91" s="900"/>
      <c r="T91" s="900"/>
      <c r="U91" s="900"/>
      <c r="V91" s="900"/>
      <c r="W91" s="900"/>
      <c r="X91" s="900"/>
      <c r="Y91" s="900"/>
      <c r="Z91" s="900"/>
      <c r="AA91" s="900"/>
      <c r="AB91" s="900"/>
      <c r="AC91" s="900"/>
      <c r="AD91" s="900"/>
      <c r="AE91" s="900"/>
      <c r="AF91" s="900"/>
      <c r="AG91" s="900"/>
      <c r="AH91" s="381">
        <v>15.75</v>
      </c>
    </row>
    <row r="92" spans="1:34" ht="15.75" customHeight="1">
      <c r="A92" s="833"/>
      <c r="B92" s="356"/>
      <c r="C92" s="3227">
        <f>IF(ISBLANK(D92),"",LARGE(C72:C91,1)+1)</f>
        <v>15</v>
      </c>
      <c r="D92" s="395" t="s">
        <v>6633</v>
      </c>
      <c r="E92" s="395"/>
      <c r="F92" s="395"/>
      <c r="G92" s="395"/>
      <c r="H92" s="395"/>
      <c r="I92" s="395"/>
      <c r="J92" s="3228">
        <f>IF(ISBLANK(K92),"",LARGE(J72:J91,1)+1)</f>
        <v>34</v>
      </c>
      <c r="K92" s="395" t="s">
        <v>6632</v>
      </c>
      <c r="L92" s="395"/>
      <c r="M92" s="395"/>
      <c r="N92" s="395"/>
      <c r="O92" s="395"/>
      <c r="P92" s="395"/>
      <c r="Q92" s="407"/>
      <c r="R92" s="356"/>
      <c r="S92" s="900"/>
      <c r="T92" s="900"/>
      <c r="U92" s="900"/>
      <c r="V92" s="900"/>
      <c r="W92" s="900"/>
      <c r="X92" s="900"/>
      <c r="Y92" s="900"/>
      <c r="Z92" s="900"/>
      <c r="AA92" s="900"/>
      <c r="AB92" s="900"/>
      <c r="AC92" s="900"/>
      <c r="AD92" s="900"/>
      <c r="AE92" s="900"/>
      <c r="AF92" s="900"/>
      <c r="AG92" s="900"/>
      <c r="AH92" s="381">
        <v>15.75</v>
      </c>
    </row>
    <row r="93" spans="1:34" ht="15.75" customHeight="1">
      <c r="A93" s="833"/>
      <c r="B93" s="356"/>
      <c r="C93" s="3227">
        <f>IF(ISBLANK(D93),"",LARGE(C72:C92,1)+1)</f>
        <v>16</v>
      </c>
      <c r="D93" s="395" t="s">
        <v>6631</v>
      </c>
      <c r="E93" s="395"/>
      <c r="F93" s="395"/>
      <c r="G93" s="395"/>
      <c r="H93" s="395"/>
      <c r="I93" s="395"/>
      <c r="J93" s="3228" t="str">
        <f>IF(ISBLANK(K93),"",LARGE(J72:J92,1)+1)</f>
        <v/>
      </c>
      <c r="K93" s="395"/>
      <c r="L93" s="395" t="s">
        <v>6630</v>
      </c>
      <c r="M93" s="395"/>
      <c r="N93" s="395"/>
      <c r="O93" s="395"/>
      <c r="P93" s="395"/>
      <c r="Q93" s="407"/>
      <c r="R93" s="356"/>
      <c r="S93" s="900"/>
      <c r="T93" s="900"/>
      <c r="U93" s="900"/>
      <c r="V93" s="900"/>
      <c r="W93" s="900"/>
      <c r="X93" s="900"/>
      <c r="Y93" s="900"/>
      <c r="Z93" s="900"/>
      <c r="AA93" s="900"/>
      <c r="AB93" s="900"/>
      <c r="AC93" s="900"/>
      <c r="AD93" s="900"/>
      <c r="AE93" s="900"/>
      <c r="AF93" s="900"/>
      <c r="AG93" s="900"/>
      <c r="AH93" s="381">
        <v>15.75</v>
      </c>
    </row>
    <row r="94" spans="1:34" ht="15.75" customHeight="1">
      <c r="A94" s="833"/>
      <c r="B94" s="356"/>
      <c r="C94" s="3227" t="str">
        <f>IF(ISBLANK(D94),"",LARGE(C72:C93,1)+1)</f>
        <v/>
      </c>
      <c r="D94" s="395"/>
      <c r="E94" s="395" t="s">
        <v>6629</v>
      </c>
      <c r="F94" s="395"/>
      <c r="G94" s="395"/>
      <c r="H94" s="395"/>
      <c r="I94" s="395"/>
      <c r="J94" s="3228" t="str">
        <f>IF(ISBLANK(K94),"",LARGE(J72:J93,1)+1)</f>
        <v/>
      </c>
      <c r="K94" s="395"/>
      <c r="L94" s="3229" t="s">
        <v>1551</v>
      </c>
      <c r="M94" s="395"/>
      <c r="N94" s="395"/>
      <c r="O94" s="395"/>
      <c r="P94" s="395"/>
      <c r="Q94" s="407"/>
      <c r="R94" s="356"/>
      <c r="S94" s="900"/>
      <c r="T94" s="900"/>
      <c r="U94" s="900"/>
      <c r="V94" s="900"/>
      <c r="W94" s="900"/>
      <c r="X94" s="900"/>
      <c r="Y94" s="900"/>
      <c r="Z94" s="900"/>
      <c r="AA94" s="900"/>
      <c r="AB94" s="900"/>
      <c r="AC94" s="900"/>
      <c r="AD94" s="900"/>
      <c r="AE94" s="900"/>
      <c r="AF94" s="900"/>
      <c r="AG94" s="900"/>
      <c r="AH94" s="381">
        <v>15.75</v>
      </c>
    </row>
    <row r="95" spans="1:34" ht="15.75" customHeight="1">
      <c r="A95" s="833"/>
      <c r="B95" s="356"/>
      <c r="C95" s="3227">
        <f>IF(ISBLANK(D95),"",LARGE(C72:C94,1)+1)</f>
        <v>17</v>
      </c>
      <c r="D95" s="395" t="s">
        <v>6628</v>
      </c>
      <c r="E95" s="395"/>
      <c r="F95" s="395"/>
      <c r="G95" s="395"/>
      <c r="H95" s="395"/>
      <c r="I95" s="395"/>
      <c r="J95" s="3228">
        <f>IF(ISBLANK(K95),"",LARGE(J72:J94,1)+1)</f>
        <v>35</v>
      </c>
      <c r="K95" s="395" t="s">
        <v>6627</v>
      </c>
      <c r="L95" s="395"/>
      <c r="M95" s="395"/>
      <c r="N95" s="395"/>
      <c r="O95" s="395"/>
      <c r="P95" s="395"/>
      <c r="Q95" s="407"/>
      <c r="R95" s="356"/>
      <c r="S95" s="900"/>
      <c r="T95" s="900"/>
      <c r="U95" s="900"/>
      <c r="V95" s="900"/>
      <c r="W95" s="900"/>
      <c r="X95" s="900"/>
      <c r="Y95" s="900"/>
      <c r="Z95" s="900"/>
      <c r="AA95" s="900"/>
      <c r="AB95" s="900"/>
      <c r="AC95" s="900"/>
      <c r="AD95" s="900"/>
      <c r="AE95" s="900"/>
      <c r="AF95" s="900"/>
      <c r="AG95" s="900"/>
      <c r="AH95" s="381">
        <v>15.75</v>
      </c>
    </row>
    <row r="96" spans="1:34" ht="15.75" customHeight="1">
      <c r="A96" s="833"/>
      <c r="B96" s="356"/>
      <c r="C96" s="3227">
        <f>IF(ISBLANK(D96),"",LARGE(C72:C95,1)+1)</f>
        <v>18</v>
      </c>
      <c r="D96" s="395" t="s">
        <v>6626</v>
      </c>
      <c r="E96" s="395"/>
      <c r="F96" s="395"/>
      <c r="G96" s="395"/>
      <c r="H96" s="395"/>
      <c r="I96" s="395"/>
      <c r="J96" s="3228" t="str">
        <f>IF(ISBLANK(K96),"",LARGE(J72:J95,1)+1)</f>
        <v/>
      </c>
      <c r="K96" s="395"/>
      <c r="L96" s="395" t="s">
        <v>6625</v>
      </c>
      <c r="M96" s="395"/>
      <c r="N96" s="395"/>
      <c r="O96" s="395"/>
      <c r="P96" s="395"/>
      <c r="Q96" s="407"/>
      <c r="R96" s="356"/>
      <c r="S96" s="900"/>
      <c r="T96" s="900"/>
      <c r="U96" s="900"/>
      <c r="V96" s="900"/>
      <c r="W96" s="900"/>
      <c r="X96" s="900"/>
      <c r="Y96" s="900"/>
      <c r="Z96" s="900"/>
      <c r="AA96" s="900"/>
      <c r="AB96" s="900"/>
      <c r="AC96" s="900"/>
      <c r="AD96" s="900"/>
      <c r="AE96" s="900"/>
      <c r="AF96" s="900"/>
      <c r="AG96" s="900"/>
      <c r="AH96" s="381">
        <v>15.75</v>
      </c>
    </row>
    <row r="97" spans="1:34" ht="15.75" customHeight="1">
      <c r="A97" s="833"/>
      <c r="B97" s="356"/>
      <c r="C97" s="3227">
        <f>IF(ISBLANK(D97),"",LARGE(C72:C96,1)+1)</f>
        <v>19</v>
      </c>
      <c r="D97" s="395" t="s">
        <v>6624</v>
      </c>
      <c r="E97" s="395"/>
      <c r="F97" s="395"/>
      <c r="G97" s="395"/>
      <c r="H97" s="395"/>
      <c r="I97" s="395"/>
      <c r="J97" s="3228" t="str">
        <f>IF(ISBLANK(K97),"",LARGE(J72:J96,1)+1)</f>
        <v/>
      </c>
      <c r="K97" s="395"/>
      <c r="L97" s="3229" t="s">
        <v>6623</v>
      </c>
      <c r="M97" s="395"/>
      <c r="N97" s="395"/>
      <c r="O97" s="395"/>
      <c r="P97" s="395"/>
      <c r="Q97" s="407"/>
      <c r="R97" s="356"/>
      <c r="S97" s="900"/>
      <c r="T97" s="900"/>
      <c r="U97" s="900"/>
      <c r="V97" s="900"/>
      <c r="W97" s="900"/>
      <c r="X97" s="900"/>
      <c r="Y97" s="900"/>
      <c r="Z97" s="900"/>
      <c r="AA97" s="900"/>
      <c r="AB97" s="900"/>
      <c r="AC97" s="900"/>
      <c r="AD97" s="900"/>
      <c r="AE97" s="900"/>
      <c r="AF97" s="900"/>
      <c r="AG97" s="900"/>
      <c r="AH97" s="381">
        <v>15.75</v>
      </c>
    </row>
    <row r="98" spans="1:34" ht="15.75" customHeight="1">
      <c r="A98" s="833"/>
      <c r="B98" s="356"/>
      <c r="C98" s="3227">
        <f>IF(ISBLANK(D98),"",LARGE(C72:C97,1)+1)</f>
        <v>20</v>
      </c>
      <c r="D98" s="395" t="s">
        <v>6622</v>
      </c>
      <c r="E98" s="395"/>
      <c r="F98" s="395"/>
      <c r="G98" s="395"/>
      <c r="H98" s="395"/>
      <c r="I98" s="395"/>
      <c r="J98" s="3228" t="str">
        <f>IF(ISBLANK(K98),"",LARGE(J72:J97,1)+1)</f>
        <v/>
      </c>
      <c r="K98" s="395"/>
      <c r="L98" s="395" t="s">
        <v>6621</v>
      </c>
      <c r="M98" s="395"/>
      <c r="N98" s="395"/>
      <c r="O98" s="395"/>
      <c r="P98" s="395"/>
      <c r="Q98" s="407"/>
      <c r="R98" s="356"/>
      <c r="S98" s="900"/>
      <c r="T98" s="900"/>
      <c r="U98" s="900"/>
      <c r="V98" s="900"/>
      <c r="W98" s="900"/>
      <c r="X98" s="900"/>
      <c r="Y98" s="900"/>
      <c r="Z98" s="900"/>
      <c r="AA98" s="900"/>
      <c r="AB98" s="900"/>
      <c r="AC98" s="900"/>
      <c r="AD98" s="900"/>
      <c r="AE98" s="900"/>
      <c r="AF98" s="900"/>
      <c r="AG98" s="900"/>
      <c r="AH98" s="381">
        <v>15.75</v>
      </c>
    </row>
    <row r="99" spans="1:34" ht="15.75" customHeight="1">
      <c r="A99" s="900"/>
      <c r="B99" s="900"/>
      <c r="C99" s="3227">
        <f>IF(ISBLANK(D99),"",LARGE(C72:C98,1)+1)</f>
        <v>21</v>
      </c>
      <c r="D99" s="395" t="s">
        <v>6620</v>
      </c>
      <c r="E99" s="395"/>
      <c r="F99" s="395"/>
      <c r="G99" s="395"/>
      <c r="H99" s="395"/>
      <c r="I99" s="395"/>
      <c r="J99" s="3228" t="str">
        <f>IF(ISBLANK(K99),"",LARGE(J72:J98,1)+1)</f>
        <v/>
      </c>
      <c r="K99" s="395"/>
      <c r="L99" s="395" t="s">
        <v>6619</v>
      </c>
      <c r="M99" s="395"/>
      <c r="N99" s="395"/>
      <c r="O99" s="395"/>
      <c r="P99" s="395"/>
      <c r="Q99" s="407"/>
      <c r="R99" s="376"/>
      <c r="S99" s="900"/>
      <c r="T99" s="900"/>
      <c r="U99" s="900"/>
      <c r="V99" s="900"/>
      <c r="W99" s="900"/>
      <c r="X99" s="900"/>
      <c r="Y99" s="900"/>
      <c r="Z99" s="900"/>
      <c r="AA99" s="900"/>
      <c r="AB99" s="900"/>
      <c r="AC99" s="900"/>
      <c r="AD99" s="900"/>
      <c r="AE99" s="900"/>
      <c r="AF99" s="900"/>
      <c r="AG99" s="900"/>
      <c r="AH99" s="381">
        <v>15.75</v>
      </c>
    </row>
    <row r="100" spans="1:34" ht="15.75" customHeight="1">
      <c r="A100" s="900"/>
      <c r="B100" s="900"/>
      <c r="C100" s="3227" t="str">
        <f>IF(ISBLANK(D100),"",LARGE(C72:C99,1)+1)</f>
        <v/>
      </c>
      <c r="D100" s="395"/>
      <c r="E100" s="395"/>
      <c r="F100" s="395"/>
      <c r="G100" s="395"/>
      <c r="H100" s="395"/>
      <c r="I100" s="395"/>
      <c r="J100" s="3228" t="str">
        <f>IF(ISBLANK(K100),"",LARGE(J72:J99,1)+1)</f>
        <v/>
      </c>
      <c r="K100" s="395"/>
      <c r="L100" s="395" t="s">
        <v>6618</v>
      </c>
      <c r="M100" s="395"/>
      <c r="N100" s="395"/>
      <c r="O100" s="395"/>
      <c r="P100" s="395"/>
      <c r="Q100" s="407"/>
      <c r="R100" s="376"/>
      <c r="S100" s="900"/>
      <c r="T100" s="900"/>
      <c r="U100" s="900"/>
      <c r="V100" s="900"/>
      <c r="W100" s="900"/>
      <c r="X100" s="900"/>
      <c r="Y100" s="900"/>
      <c r="Z100" s="900"/>
      <c r="AA100" s="900"/>
      <c r="AB100" s="900"/>
      <c r="AC100" s="900"/>
      <c r="AD100" s="900"/>
      <c r="AE100" s="900"/>
      <c r="AF100" s="900"/>
      <c r="AG100" s="900"/>
      <c r="AH100" s="381">
        <v>15.75</v>
      </c>
    </row>
    <row r="101" spans="1:34" ht="15.75" customHeight="1">
      <c r="A101" s="900"/>
      <c r="B101" s="900"/>
      <c r="C101" s="3227" t="str">
        <f>IF(ISBLANK(D101),"",LARGE(C72:C100,1)+1)</f>
        <v/>
      </c>
      <c r="D101" s="395"/>
      <c r="E101" s="395"/>
      <c r="F101" s="395"/>
      <c r="G101" s="395"/>
      <c r="H101" s="395"/>
      <c r="I101" s="395"/>
      <c r="J101" s="396" t="str">
        <f>IF(ISBLANK(K101),"",LARGE(J72:J100,1)+1)</f>
        <v/>
      </c>
      <c r="K101" s="395"/>
      <c r="L101" s="395" t="s">
        <v>6617</v>
      </c>
      <c r="M101" s="395"/>
      <c r="N101" s="395"/>
      <c r="O101" s="395"/>
      <c r="P101" s="395"/>
      <c r="Q101" s="407"/>
      <c r="R101" s="900"/>
      <c r="S101" s="900"/>
      <c r="T101" s="900"/>
      <c r="U101" s="900"/>
      <c r="V101" s="900"/>
      <c r="W101" s="900"/>
      <c r="X101" s="900"/>
      <c r="Y101" s="900"/>
      <c r="Z101" s="900"/>
      <c r="AA101" s="900"/>
      <c r="AB101" s="900"/>
      <c r="AC101" s="900"/>
      <c r="AD101" s="900"/>
      <c r="AE101" s="900"/>
      <c r="AF101" s="900"/>
      <c r="AG101" s="900"/>
      <c r="AH101" s="381">
        <v>15.75</v>
      </c>
    </row>
    <row r="102" spans="1:34" ht="15.75" customHeight="1" thickBot="1">
      <c r="A102" s="900"/>
      <c r="B102" s="900"/>
      <c r="C102" s="904">
        <v>11</v>
      </c>
      <c r="D102" s="903">
        <v>11</v>
      </c>
      <c r="E102" s="903">
        <v>11</v>
      </c>
      <c r="F102" s="903">
        <v>11</v>
      </c>
      <c r="G102" s="903">
        <v>11</v>
      </c>
      <c r="H102" s="902">
        <v>15</v>
      </c>
      <c r="I102" s="902">
        <v>15</v>
      </c>
      <c r="J102" s="902">
        <v>11</v>
      </c>
      <c r="K102" s="902">
        <v>11</v>
      </c>
      <c r="L102" s="902">
        <v>11</v>
      </c>
      <c r="M102" s="902">
        <v>11</v>
      </c>
      <c r="N102" s="902">
        <v>11</v>
      </c>
      <c r="O102" s="902">
        <v>11</v>
      </c>
      <c r="P102" s="902">
        <v>11</v>
      </c>
      <c r="Q102" s="901">
        <v>11</v>
      </c>
      <c r="R102" s="900"/>
      <c r="S102" s="900"/>
      <c r="T102" s="900"/>
      <c r="U102" s="900"/>
      <c r="V102" s="900"/>
      <c r="W102" s="900"/>
      <c r="X102" s="900"/>
      <c r="Y102" s="900"/>
      <c r="Z102" s="900"/>
      <c r="AA102" s="900"/>
      <c r="AB102" s="900"/>
      <c r="AC102" s="900"/>
      <c r="AD102" s="900"/>
      <c r="AE102" s="900"/>
      <c r="AF102" s="900"/>
      <c r="AG102" s="900"/>
      <c r="AH102" s="381">
        <v>15.75</v>
      </c>
    </row>
    <row r="103" spans="1:34" ht="15.75" customHeight="1" thickBot="1">
      <c r="A103" s="833"/>
      <c r="B103" s="376"/>
      <c r="C103" s="833"/>
      <c r="D103" s="833"/>
      <c r="E103" s="833"/>
      <c r="F103" s="833"/>
      <c r="G103" s="833"/>
      <c r="H103" s="833"/>
      <c r="I103" s="833"/>
      <c r="J103" s="833"/>
      <c r="K103" s="833"/>
      <c r="L103" s="833"/>
      <c r="M103" s="833"/>
      <c r="N103" s="833"/>
      <c r="O103" s="833"/>
      <c r="P103" s="833"/>
      <c r="Q103" s="376"/>
      <c r="R103" s="376"/>
      <c r="S103" s="376"/>
      <c r="T103" s="376"/>
      <c r="U103" s="376"/>
      <c r="V103" s="376"/>
      <c r="W103" s="376"/>
      <c r="X103" s="376"/>
      <c r="Y103" s="376"/>
      <c r="Z103" s="376"/>
      <c r="AA103" s="376"/>
      <c r="AB103" s="376"/>
      <c r="AC103" s="376"/>
      <c r="AD103" s="376"/>
      <c r="AE103" s="376"/>
      <c r="AF103" s="376"/>
      <c r="AG103" s="376"/>
      <c r="AH103" s="381">
        <v>15.75</v>
      </c>
    </row>
    <row r="104" spans="1:34" ht="24.95" customHeight="1">
      <c r="A104" s="833"/>
      <c r="B104" s="376"/>
      <c r="C104" s="3953" t="str">
        <f>C3</f>
        <v>HARICOT DE MOUTON OU CASSOULET TOULOUSAIN</v>
      </c>
      <c r="D104" s="3954"/>
      <c r="E104" s="3954"/>
      <c r="F104" s="3954"/>
      <c r="G104" s="3954"/>
      <c r="H104" s="3226"/>
      <c r="I104" s="3226"/>
      <c r="J104" s="3226"/>
      <c r="K104" s="3226"/>
      <c r="L104" s="3225"/>
      <c r="M104" s="3225"/>
      <c r="N104" s="3225"/>
      <c r="O104" s="3225"/>
      <c r="P104" s="3225"/>
      <c r="Q104" s="3224" t="s">
        <v>321</v>
      </c>
      <c r="R104" s="376"/>
      <c r="S104" s="376"/>
      <c r="T104" s="376"/>
      <c r="U104" s="376"/>
      <c r="V104" s="376"/>
      <c r="W104" s="376"/>
      <c r="X104" s="376"/>
      <c r="Y104" s="376"/>
      <c r="Z104" s="376"/>
      <c r="AA104" s="376"/>
      <c r="AB104" s="376"/>
      <c r="AC104" s="376"/>
      <c r="AD104" s="376"/>
      <c r="AE104" s="376"/>
      <c r="AF104" s="376"/>
      <c r="AG104" s="376"/>
      <c r="AH104" s="381">
        <v>25</v>
      </c>
    </row>
    <row r="105" spans="1:34" ht="24.95" customHeight="1">
      <c r="A105" s="833"/>
      <c r="B105" s="376"/>
      <c r="C105" s="3223"/>
      <c r="D105" s="889"/>
      <c r="E105" s="889"/>
      <c r="F105" s="888"/>
      <c r="G105" s="896" t="s">
        <v>320</v>
      </c>
      <c r="H105" s="895">
        <v>450</v>
      </c>
      <c r="I105" s="3591" t="s">
        <v>319</v>
      </c>
      <c r="J105" s="3591"/>
      <c r="K105" s="3591"/>
      <c r="L105" s="894">
        <v>10</v>
      </c>
      <c r="M105" s="894" t="s">
        <v>318</v>
      </c>
      <c r="N105" s="884"/>
      <c r="O105" s="893"/>
      <c r="P105" s="892" t="s">
        <v>317</v>
      </c>
      <c r="Q105" s="891">
        <f>H105*L105/1000</f>
        <v>4.5</v>
      </c>
      <c r="R105" s="376"/>
      <c r="S105" s="376"/>
      <c r="T105" s="376"/>
      <c r="U105" s="376"/>
      <c r="V105" s="376"/>
      <c r="W105" s="376"/>
      <c r="X105" s="376"/>
      <c r="Y105" s="376"/>
      <c r="Z105" s="376"/>
      <c r="AA105" s="376"/>
      <c r="AB105" s="376"/>
      <c r="AC105" s="376"/>
      <c r="AD105" s="376"/>
      <c r="AE105" s="376"/>
      <c r="AF105" s="376"/>
      <c r="AG105" s="376"/>
      <c r="AH105" s="381">
        <v>25</v>
      </c>
    </row>
    <row r="106" spans="1:34" ht="24.95" customHeight="1">
      <c r="A106" s="833"/>
      <c r="B106" s="376"/>
      <c r="C106" s="3223"/>
      <c r="D106" s="889"/>
      <c r="E106" s="889"/>
      <c r="F106" s="888"/>
      <c r="G106" s="887" t="s">
        <v>316</v>
      </c>
      <c r="H106" s="886">
        <v>600</v>
      </c>
      <c r="I106" s="885" t="s">
        <v>28</v>
      </c>
      <c r="J106" s="884"/>
      <c r="K106" s="874"/>
      <c r="L106" s="884"/>
      <c r="M106" s="883"/>
      <c r="N106" s="883"/>
      <c r="O106" s="883"/>
      <c r="P106" s="882"/>
      <c r="Q106" s="881"/>
      <c r="R106" s="376"/>
      <c r="S106" s="376"/>
      <c r="T106" s="376"/>
      <c r="U106" s="376"/>
      <c r="V106" s="376"/>
      <c r="W106" s="376"/>
      <c r="X106" s="376"/>
      <c r="Y106" s="376"/>
      <c r="Z106" s="376"/>
      <c r="AA106" s="376"/>
      <c r="AB106" s="376"/>
      <c r="AC106" s="376"/>
      <c r="AD106" s="376"/>
      <c r="AE106" s="376"/>
      <c r="AF106" s="376"/>
      <c r="AG106" s="376"/>
      <c r="AH106" s="381">
        <v>25</v>
      </c>
    </row>
    <row r="107" spans="1:34" ht="24.95" customHeight="1">
      <c r="A107" s="833"/>
      <c r="B107" s="376"/>
      <c r="C107" s="3222"/>
      <c r="D107" s="879"/>
      <c r="E107" s="879"/>
      <c r="F107" s="874"/>
      <c r="G107" s="878" t="s">
        <v>315</v>
      </c>
      <c r="H107" s="877">
        <v>200</v>
      </c>
      <c r="I107" s="876">
        <f>(H107*H106)/1000</f>
        <v>120</v>
      </c>
      <c r="J107" s="875" t="s">
        <v>22</v>
      </c>
      <c r="K107" s="874"/>
      <c r="L107" s="872">
        <f>IF(I107=0,0,INT(I107*1000/(H105*L105)))</f>
        <v>26</v>
      </c>
      <c r="M107" s="871">
        <f>I107-(L107*(H105/1000*L105))</f>
        <v>3</v>
      </c>
      <c r="N107" s="873" t="s">
        <v>22</v>
      </c>
      <c r="O107" s="872">
        <f>IF(M107=0,0,L107+1)</f>
        <v>27</v>
      </c>
      <c r="P107" s="871">
        <f>IF(M107=0,0,I107-(O107*Q105))</f>
        <v>-1.5</v>
      </c>
      <c r="Q107" s="870" t="s">
        <v>22</v>
      </c>
      <c r="R107" s="376"/>
      <c r="S107" s="376"/>
      <c r="T107" s="376"/>
      <c r="U107" s="376"/>
      <c r="V107" s="376"/>
      <c r="W107" s="376"/>
      <c r="X107" s="376"/>
      <c r="Y107" s="376"/>
      <c r="Z107" s="376"/>
      <c r="AA107" s="376"/>
      <c r="AB107" s="376"/>
      <c r="AC107" s="376"/>
      <c r="AD107" s="376"/>
      <c r="AE107" s="376"/>
      <c r="AF107" s="376"/>
      <c r="AG107" s="376"/>
      <c r="AH107" s="381">
        <v>25</v>
      </c>
    </row>
    <row r="108" spans="1:34" ht="24.95" customHeight="1" thickBot="1">
      <c r="A108" s="833"/>
      <c r="B108" s="376"/>
      <c r="C108" s="3221"/>
      <c r="D108" s="3220"/>
      <c r="E108" s="3220"/>
      <c r="F108" s="3219"/>
      <c r="G108" s="3218" t="s">
        <v>314</v>
      </c>
      <c r="H108" s="3217">
        <f>H107/H105</f>
        <v>0.44444444444444442</v>
      </c>
      <c r="I108" s="3216">
        <f>(H108*H106)</f>
        <v>266.66666666666663</v>
      </c>
      <c r="J108" s="3215" t="str">
        <f>M105</f>
        <v>portions</v>
      </c>
      <c r="K108" s="3214"/>
      <c r="L108" s="3212">
        <f>IF(I108=0,0,INT(I108/L105))</f>
        <v>26</v>
      </c>
      <c r="M108" s="3211">
        <f>I108-(L108*L105)</f>
        <v>6.6666666666666288</v>
      </c>
      <c r="N108" s="3213" t="str">
        <f>IF(M108=0,0,M105)</f>
        <v>portions</v>
      </c>
      <c r="O108" s="3212">
        <f>IF(M108=0,0,L108+1)</f>
        <v>27</v>
      </c>
      <c r="P108" s="3211">
        <f>IF(M108=0,0,I108-(O108*L105))</f>
        <v>-3.3333333333333712</v>
      </c>
      <c r="Q108" s="3210" t="str">
        <f>IF(P108=0,0,M105)</f>
        <v>portions</v>
      </c>
      <c r="R108" s="376"/>
      <c r="S108" s="376"/>
      <c r="T108" s="376"/>
      <c r="U108" s="376"/>
      <c r="V108" s="376"/>
      <c r="W108" s="376"/>
      <c r="X108" s="376"/>
      <c r="Y108" s="376"/>
      <c r="Z108" s="376"/>
      <c r="AA108" s="376"/>
      <c r="AB108" s="376"/>
      <c r="AC108" s="376"/>
      <c r="AD108" s="376"/>
      <c r="AE108" s="376"/>
      <c r="AF108" s="376"/>
      <c r="AG108" s="376"/>
      <c r="AH108" s="381">
        <v>25</v>
      </c>
    </row>
    <row r="109" spans="1:34" ht="15" customHeight="1" thickBot="1">
      <c r="A109" s="833"/>
      <c r="B109" s="376"/>
      <c r="C109" s="833"/>
      <c r="D109" s="833"/>
      <c r="E109" s="833"/>
      <c r="F109" s="833"/>
      <c r="G109" s="833"/>
      <c r="H109" s="833"/>
      <c r="I109" s="833"/>
      <c r="J109" s="833"/>
      <c r="K109" s="833"/>
      <c r="L109" s="833"/>
      <c r="M109" s="833"/>
      <c r="N109" s="833"/>
      <c r="O109" s="833"/>
      <c r="P109" s="833"/>
      <c r="Q109" s="376"/>
      <c r="R109" s="376"/>
      <c r="S109" s="376"/>
      <c r="T109" s="376"/>
      <c r="U109" s="376"/>
      <c r="V109" s="376"/>
      <c r="W109" s="376"/>
      <c r="X109" s="376"/>
      <c r="Y109" s="376"/>
      <c r="Z109" s="376"/>
      <c r="AA109" s="376"/>
      <c r="AB109" s="376"/>
      <c r="AC109" s="376"/>
      <c r="AD109" s="376"/>
      <c r="AE109" s="376"/>
      <c r="AF109" s="376"/>
      <c r="AG109" s="376"/>
      <c r="AH109" s="381">
        <v>15</v>
      </c>
    </row>
    <row r="110" spans="1:34" ht="15" customHeight="1">
      <c r="A110" s="833"/>
      <c r="B110" s="376"/>
      <c r="C110" s="3955" t="str">
        <f>C3</f>
        <v>HARICOT DE MOUTON OU CASSOULET TOULOUSAIN</v>
      </c>
      <c r="D110" s="3956"/>
      <c r="E110" s="3956"/>
      <c r="F110" s="3956"/>
      <c r="G110" s="3956"/>
      <c r="H110" s="3956"/>
      <c r="I110" s="3956"/>
      <c r="J110" s="3956"/>
      <c r="K110" s="3956"/>
      <c r="L110" s="3956"/>
      <c r="M110" s="3959" t="s">
        <v>116</v>
      </c>
      <c r="N110" s="3959"/>
      <c r="O110" s="3961">
        <v>3</v>
      </c>
      <c r="P110" s="3963" t="s">
        <v>22</v>
      </c>
      <c r="Q110" s="376"/>
      <c r="R110" s="376"/>
      <c r="S110" s="3699" t="s">
        <v>117</v>
      </c>
      <c r="T110" s="3700"/>
      <c r="U110" s="3700"/>
      <c r="V110" s="3701"/>
      <c r="W110" s="376"/>
      <c r="X110" s="376"/>
      <c r="Y110" s="376"/>
      <c r="Z110" s="376"/>
      <c r="AA110" s="376"/>
      <c r="AB110" s="376"/>
      <c r="AC110" s="376"/>
      <c r="AD110" s="376"/>
      <c r="AE110" s="376"/>
      <c r="AF110" s="376"/>
      <c r="AG110" s="376"/>
      <c r="AH110" s="381">
        <v>15</v>
      </c>
    </row>
    <row r="111" spans="1:34" ht="15" customHeight="1">
      <c r="A111" s="833"/>
      <c r="B111" s="376"/>
      <c r="C111" s="3957"/>
      <c r="D111" s="3958"/>
      <c r="E111" s="3958"/>
      <c r="F111" s="3958"/>
      <c r="G111" s="3958"/>
      <c r="H111" s="3958"/>
      <c r="I111" s="3958"/>
      <c r="J111" s="3958"/>
      <c r="K111" s="3958"/>
      <c r="L111" s="3958"/>
      <c r="M111" s="3960"/>
      <c r="N111" s="3960"/>
      <c r="O111" s="3962"/>
      <c r="P111" s="3964"/>
      <c r="Q111" s="376"/>
      <c r="R111" s="376"/>
      <c r="S111" s="3702"/>
      <c r="T111" s="3703"/>
      <c r="U111" s="3703"/>
      <c r="V111" s="3704"/>
      <c r="W111" s="376"/>
      <c r="X111" s="376"/>
      <c r="Y111" s="376"/>
      <c r="Z111" s="376"/>
      <c r="AA111" s="376"/>
      <c r="AB111" s="376"/>
      <c r="AC111" s="376"/>
      <c r="AD111" s="376"/>
      <c r="AE111" s="376"/>
      <c r="AF111" s="376"/>
      <c r="AG111" s="376"/>
      <c r="AH111" s="381">
        <v>15</v>
      </c>
    </row>
    <row r="112" spans="1:34" ht="15" customHeight="1">
      <c r="A112" s="833"/>
      <c r="B112" s="376"/>
      <c r="C112" s="3186" t="s">
        <v>119</v>
      </c>
      <c r="D112" s="3209"/>
      <c r="E112" s="3209"/>
      <c r="F112" s="3185"/>
      <c r="G112" s="3184"/>
      <c r="H112" s="3183"/>
      <c r="I112" s="3209"/>
      <c r="J112" s="3209"/>
      <c r="K112" s="3182" t="s">
        <v>120</v>
      </c>
      <c r="L112" s="3209"/>
      <c r="M112" s="3181"/>
      <c r="N112" s="3181" t="s">
        <v>121</v>
      </c>
      <c r="O112" s="3180">
        <f>O110</f>
        <v>3</v>
      </c>
      <c r="P112" s="3179" t="str">
        <f>P110</f>
        <v>Kg</v>
      </c>
      <c r="Q112" s="376"/>
      <c r="R112" s="376"/>
      <c r="S112" s="3702"/>
      <c r="T112" s="3703"/>
      <c r="U112" s="3703"/>
      <c r="V112" s="3704"/>
      <c r="W112" s="376"/>
      <c r="X112" s="376"/>
      <c r="Y112" s="376"/>
      <c r="Z112" s="376"/>
      <c r="AA112" s="376"/>
      <c r="AB112" s="376"/>
      <c r="AC112" s="376"/>
      <c r="AD112" s="376"/>
      <c r="AE112" s="376"/>
      <c r="AF112" s="376"/>
      <c r="AG112" s="376"/>
      <c r="AH112" s="381">
        <v>15</v>
      </c>
    </row>
    <row r="113" spans="1:34" ht="15" customHeight="1">
      <c r="A113" s="833"/>
      <c r="B113" s="376"/>
      <c r="C113" s="3965">
        <f>SUM(D116:D121)</f>
        <v>728</v>
      </c>
      <c r="D113" s="3563" t="s">
        <v>122</v>
      </c>
      <c r="E113" s="3553">
        <f>(E116*D116)/1000+(E117*D117)/1000+(E118*D118)/1000+(E119*D119)/1000+(E120*D120)/1000+(E121*D121)/1000</f>
        <v>71.540000000000006</v>
      </c>
      <c r="F113" s="3597">
        <f>IF(E113=0,0,INT(E113/O110))</f>
        <v>23</v>
      </c>
      <c r="G113" s="3597"/>
      <c r="H113" s="3599">
        <f>E113-(F113*O110)</f>
        <v>2.5400000000000063</v>
      </c>
      <c r="I113" s="3581" t="str">
        <f>IF(H113=0,0,P110)</f>
        <v>Kg</v>
      </c>
      <c r="J113" s="3581"/>
      <c r="K113" s="3563" t="s">
        <v>313</v>
      </c>
      <c r="L113" s="382"/>
      <c r="M113" s="3597">
        <f>IF(H113=0,0,F113+1)</f>
        <v>24</v>
      </c>
      <c r="N113" s="3597"/>
      <c r="O113" s="3599">
        <f>IF(H113=0,0,E113-(M113*O110))</f>
        <v>-0.45999999999999375</v>
      </c>
      <c r="P113" s="3557" t="str">
        <f>IF(O113=0,0,P110)</f>
        <v>Kg</v>
      </c>
      <c r="Q113" s="376"/>
      <c r="R113" s="376"/>
      <c r="S113" s="3671" t="s">
        <v>123</v>
      </c>
      <c r="T113" s="3672"/>
      <c r="U113" s="3672"/>
      <c r="V113" s="3673"/>
      <c r="W113" s="376"/>
      <c r="X113" s="376"/>
      <c r="Y113" s="376"/>
      <c r="Z113" s="376"/>
      <c r="AA113" s="376"/>
      <c r="AB113" s="376"/>
      <c r="AC113" s="376"/>
      <c r="AD113" s="376"/>
      <c r="AE113" s="376"/>
      <c r="AF113" s="376"/>
      <c r="AG113" s="376"/>
      <c r="AH113" s="381">
        <v>15</v>
      </c>
    </row>
    <row r="114" spans="1:34" ht="15" customHeight="1">
      <c r="A114" s="833"/>
      <c r="B114" s="376"/>
      <c r="C114" s="3966"/>
      <c r="D114" s="3967"/>
      <c r="E114" s="3968"/>
      <c r="F114" s="3969"/>
      <c r="G114" s="3969"/>
      <c r="H114" s="3970"/>
      <c r="I114" s="3971"/>
      <c r="J114" s="3971"/>
      <c r="K114" s="3967"/>
      <c r="L114" s="3206"/>
      <c r="M114" s="3969"/>
      <c r="N114" s="3969"/>
      <c r="O114" s="3970"/>
      <c r="P114" s="3972"/>
      <c r="Q114" s="376"/>
      <c r="R114" s="376"/>
      <c r="S114" s="3671"/>
      <c r="T114" s="3672"/>
      <c r="U114" s="3672"/>
      <c r="V114" s="3673"/>
      <c r="W114" s="376"/>
      <c r="X114" s="376"/>
      <c r="Y114" s="376"/>
      <c r="Z114" s="376"/>
      <c r="AA114" s="376"/>
      <c r="AB114" s="376"/>
      <c r="AC114" s="376"/>
      <c r="AD114" s="376"/>
      <c r="AE114" s="376"/>
      <c r="AF114" s="376"/>
      <c r="AG114" s="376"/>
      <c r="AH114" s="381">
        <v>15</v>
      </c>
    </row>
    <row r="115" spans="1:34" ht="15" customHeight="1">
      <c r="A115" s="833"/>
      <c r="B115" s="376"/>
      <c r="C115" s="3178"/>
      <c r="D115" s="839" t="s">
        <v>124</v>
      </c>
      <c r="E115" s="855" t="s">
        <v>125</v>
      </c>
      <c r="F115" s="382"/>
      <c r="G115" s="279"/>
      <c r="H115" s="280"/>
      <c r="I115" s="854"/>
      <c r="J115" s="854"/>
      <c r="K115" s="854"/>
      <c r="L115" s="854" t="s">
        <v>126</v>
      </c>
      <c r="M115" s="3209"/>
      <c r="N115" s="3209"/>
      <c r="O115" s="3209"/>
      <c r="P115" s="3204"/>
      <c r="Q115" s="376"/>
      <c r="R115" s="376"/>
      <c r="S115" s="3674" t="s">
        <v>127</v>
      </c>
      <c r="T115" s="3675"/>
      <c r="U115" s="3675"/>
      <c r="V115" s="3676"/>
      <c r="W115" s="376"/>
      <c r="X115" s="376"/>
      <c r="Y115" s="376"/>
      <c r="Z115" s="376"/>
      <c r="AA115" s="376"/>
      <c r="AB115" s="376"/>
      <c r="AC115" s="376"/>
      <c r="AD115" s="376"/>
      <c r="AE115" s="376"/>
      <c r="AF115" s="376"/>
      <c r="AG115" s="376"/>
      <c r="AH115" s="381">
        <v>15</v>
      </c>
    </row>
    <row r="116" spans="1:34" ht="15" customHeight="1">
      <c r="A116" s="833"/>
      <c r="B116" s="376"/>
      <c r="C116" s="3174" t="s">
        <v>128</v>
      </c>
      <c r="D116" s="836">
        <v>180</v>
      </c>
      <c r="E116" s="853">
        <v>50</v>
      </c>
      <c r="F116" s="287">
        <f t="shared" ref="F116:F121" si="8">(D116/1000)*E116</f>
        <v>9</v>
      </c>
      <c r="G116" s="288"/>
      <c r="H116" s="3552">
        <f>IF(F116=0,0,INT(F116/O110))</f>
        <v>3</v>
      </c>
      <c r="I116" s="3552"/>
      <c r="J116" s="404">
        <f>F116-(H116*O110)</f>
        <v>0</v>
      </c>
      <c r="K116" s="290">
        <f>IF(J116=0,0,P110)</f>
        <v>0</v>
      </c>
      <c r="L116" s="382"/>
      <c r="M116" s="291">
        <f t="shared" ref="M116:M121" si="9">IF(J116=0,0,H116+1)</f>
        <v>0</v>
      </c>
      <c r="N116" s="403">
        <f>IF(J116=0,0,F116-(M116*O110))</f>
        <v>0</v>
      </c>
      <c r="O116" s="425">
        <f>IF(N116=0,0,P110)</f>
        <v>0</v>
      </c>
      <c r="P116" s="400"/>
      <c r="Q116" s="376"/>
      <c r="R116" s="376"/>
      <c r="S116" s="3674"/>
      <c r="T116" s="3675"/>
      <c r="U116" s="3675"/>
      <c r="V116" s="3676"/>
      <c r="W116" s="376"/>
      <c r="X116" s="376"/>
      <c r="Y116" s="376"/>
      <c r="Z116" s="376"/>
      <c r="AA116" s="376"/>
      <c r="AB116" s="376"/>
      <c r="AC116" s="376"/>
      <c r="AD116" s="376"/>
      <c r="AE116" s="376"/>
      <c r="AF116" s="376"/>
      <c r="AG116" s="376"/>
      <c r="AH116" s="381">
        <v>15</v>
      </c>
    </row>
    <row r="117" spans="1:34" ht="15" customHeight="1">
      <c r="A117" s="833"/>
      <c r="B117" s="376"/>
      <c r="C117" s="3173" t="s">
        <v>129</v>
      </c>
      <c r="D117" s="836">
        <v>375</v>
      </c>
      <c r="E117" s="853">
        <v>110</v>
      </c>
      <c r="F117" s="287">
        <f t="shared" si="8"/>
        <v>41.25</v>
      </c>
      <c r="G117" s="382"/>
      <c r="H117" s="3552">
        <f>IF(F117=0,0,INT(F117/O110))</f>
        <v>13</v>
      </c>
      <c r="I117" s="3552"/>
      <c r="J117" s="404">
        <f>F117-(H117*O110)</f>
        <v>2.25</v>
      </c>
      <c r="K117" s="290" t="str">
        <f>IF(J117=0,0,P110)</f>
        <v>Kg</v>
      </c>
      <c r="L117" s="382"/>
      <c r="M117" s="291">
        <f t="shared" si="9"/>
        <v>14</v>
      </c>
      <c r="N117" s="403">
        <f>IF(J117=0,0,F117-(M117*O110))</f>
        <v>-0.75</v>
      </c>
      <c r="O117" s="425" t="str">
        <f>IF(N117=0,0,P110)</f>
        <v>Kg</v>
      </c>
      <c r="P117" s="400"/>
      <c r="Q117" s="376"/>
      <c r="R117" s="376"/>
      <c r="S117" s="3674"/>
      <c r="T117" s="3675"/>
      <c r="U117" s="3675"/>
      <c r="V117" s="3676"/>
      <c r="W117" s="376"/>
      <c r="X117" s="376"/>
      <c r="Y117" s="376"/>
      <c r="Z117" s="376"/>
      <c r="AA117" s="376"/>
      <c r="AB117" s="376"/>
      <c r="AC117" s="376"/>
      <c r="AD117" s="376"/>
      <c r="AE117" s="376"/>
      <c r="AF117" s="376"/>
      <c r="AG117" s="376"/>
      <c r="AH117" s="381">
        <v>15</v>
      </c>
    </row>
    <row r="118" spans="1:34" ht="15" customHeight="1">
      <c r="A118" s="833"/>
      <c r="B118" s="376"/>
      <c r="C118" s="3172" t="s">
        <v>28</v>
      </c>
      <c r="D118" s="836">
        <v>53</v>
      </c>
      <c r="E118" s="853">
        <v>130</v>
      </c>
      <c r="F118" s="287">
        <f t="shared" si="8"/>
        <v>6.89</v>
      </c>
      <c r="G118" s="382"/>
      <c r="H118" s="3552">
        <f>IF(F118=0,0,INT(F118/O110))</f>
        <v>2</v>
      </c>
      <c r="I118" s="3552"/>
      <c r="J118" s="404">
        <f>F118-(H118*O110)</f>
        <v>0.88999999999999968</v>
      </c>
      <c r="K118" s="290" t="str">
        <f>IF(J118=0,0,P110)</f>
        <v>Kg</v>
      </c>
      <c r="L118" s="382"/>
      <c r="M118" s="291">
        <f t="shared" si="9"/>
        <v>3</v>
      </c>
      <c r="N118" s="403">
        <f>IF(J118=0,0,F118-(M118*O110))</f>
        <v>-2.1100000000000003</v>
      </c>
      <c r="O118" s="425" t="str">
        <f>IF(N118=0,0,P110)</f>
        <v>Kg</v>
      </c>
      <c r="P118" s="400"/>
      <c r="Q118" s="376"/>
      <c r="R118" s="376"/>
      <c r="S118" s="3677" t="s">
        <v>132</v>
      </c>
      <c r="T118" s="3678"/>
      <c r="U118" s="3678"/>
      <c r="V118" s="3679"/>
      <c r="W118" s="376"/>
      <c r="X118" s="376"/>
      <c r="Y118" s="376"/>
      <c r="Z118" s="376"/>
      <c r="AA118" s="376"/>
      <c r="AB118" s="376"/>
      <c r="AC118" s="376"/>
      <c r="AD118" s="376"/>
      <c r="AE118" s="376"/>
      <c r="AF118" s="376"/>
      <c r="AG118" s="376"/>
      <c r="AH118" s="381">
        <v>15</v>
      </c>
    </row>
    <row r="119" spans="1:34" ht="15" customHeight="1">
      <c r="A119" s="833"/>
      <c r="B119" s="376"/>
      <c r="C119" s="3172" t="s">
        <v>136</v>
      </c>
      <c r="D119" s="836">
        <v>25</v>
      </c>
      <c r="E119" s="853">
        <v>150</v>
      </c>
      <c r="F119" s="287">
        <f t="shared" si="8"/>
        <v>3.75</v>
      </c>
      <c r="G119" s="382"/>
      <c r="H119" s="3552">
        <f>IF(F119=0,0,INT(F119/O110))</f>
        <v>1</v>
      </c>
      <c r="I119" s="3552"/>
      <c r="J119" s="404">
        <f>F119-(H119*O110)</f>
        <v>0.75</v>
      </c>
      <c r="K119" s="290" t="str">
        <f>IF(J119=0,0,P110)</f>
        <v>Kg</v>
      </c>
      <c r="L119" s="382"/>
      <c r="M119" s="291">
        <f t="shared" si="9"/>
        <v>2</v>
      </c>
      <c r="N119" s="403">
        <f>IF(J119=0,0,F119-(M119*O110))</f>
        <v>-2.25</v>
      </c>
      <c r="O119" s="425" t="str">
        <f>IF(N119=0,0,P110)</f>
        <v>Kg</v>
      </c>
      <c r="P119" s="400"/>
      <c r="Q119" s="376"/>
      <c r="R119" s="376"/>
      <c r="S119" s="3680" t="s">
        <v>137</v>
      </c>
      <c r="T119" s="3681"/>
      <c r="U119" s="3681"/>
      <c r="V119" s="3682"/>
      <c r="W119" s="376"/>
      <c r="X119" s="376"/>
      <c r="Y119" s="376"/>
      <c r="Z119" s="376"/>
      <c r="AA119" s="376"/>
      <c r="AB119" s="376"/>
      <c r="AC119" s="376"/>
      <c r="AD119" s="376"/>
      <c r="AE119" s="376"/>
      <c r="AF119" s="376"/>
      <c r="AG119" s="376"/>
      <c r="AH119" s="381">
        <v>15</v>
      </c>
    </row>
    <row r="120" spans="1:34" ht="15" customHeight="1">
      <c r="A120" s="833"/>
      <c r="B120" s="376"/>
      <c r="C120" s="3172" t="s">
        <v>56</v>
      </c>
      <c r="D120" s="836">
        <v>60</v>
      </c>
      <c r="E120" s="853">
        <v>125</v>
      </c>
      <c r="F120" s="287">
        <f t="shared" si="8"/>
        <v>7.5</v>
      </c>
      <c r="G120" s="382"/>
      <c r="H120" s="3552">
        <f>IF(F120=0,0,INT(F120/O110))</f>
        <v>2</v>
      </c>
      <c r="I120" s="3552"/>
      <c r="J120" s="404">
        <f>F120-(H120*O110)</f>
        <v>1.5</v>
      </c>
      <c r="K120" s="290" t="str">
        <f>IF(J120=0,0,P110)</f>
        <v>Kg</v>
      </c>
      <c r="L120" s="382"/>
      <c r="M120" s="291">
        <f t="shared" si="9"/>
        <v>3</v>
      </c>
      <c r="N120" s="403">
        <f>IF(J120=0,0,F120-(M120*O110))</f>
        <v>-1.5</v>
      </c>
      <c r="O120" s="425" t="str">
        <f>IF(N120=0,0,P110)</f>
        <v>Kg</v>
      </c>
      <c r="P120" s="400"/>
      <c r="Q120" s="376"/>
      <c r="R120" s="376"/>
      <c r="S120" s="3543" t="s">
        <v>138</v>
      </c>
      <c r="T120" s="3544"/>
      <c r="U120" s="3544"/>
      <c r="V120" s="3545"/>
      <c r="W120" s="376"/>
      <c r="X120" s="376"/>
      <c r="Y120" s="376"/>
      <c r="Z120" s="376"/>
      <c r="AA120" s="376"/>
      <c r="AB120" s="376"/>
      <c r="AC120" s="376"/>
      <c r="AD120" s="376"/>
      <c r="AE120" s="376"/>
      <c r="AF120" s="376"/>
      <c r="AG120" s="376"/>
      <c r="AH120" s="381">
        <v>15</v>
      </c>
    </row>
    <row r="121" spans="1:34" ht="15" customHeight="1">
      <c r="A121" s="833"/>
      <c r="B121" s="376"/>
      <c r="C121" s="3172" t="s">
        <v>57</v>
      </c>
      <c r="D121" s="836">
        <v>35</v>
      </c>
      <c r="E121" s="853">
        <v>90</v>
      </c>
      <c r="F121" s="287">
        <f t="shared" si="8"/>
        <v>3.1500000000000004</v>
      </c>
      <c r="G121" s="382"/>
      <c r="H121" s="3552">
        <f>IF(F121=0,0,INT(F121/O110))</f>
        <v>1</v>
      </c>
      <c r="I121" s="3552"/>
      <c r="J121" s="404">
        <f>F121-(H121*O110)</f>
        <v>0.15000000000000036</v>
      </c>
      <c r="K121" s="290" t="str">
        <f>IF(J121=0,0,P110)</f>
        <v>Kg</v>
      </c>
      <c r="L121" s="382"/>
      <c r="M121" s="291">
        <f t="shared" si="9"/>
        <v>2</v>
      </c>
      <c r="N121" s="403">
        <f>IF(J121=0,0,F121-(M121*O110))</f>
        <v>-2.8499999999999996</v>
      </c>
      <c r="O121" s="425" t="str">
        <f>IF(N121=0,0,P110)</f>
        <v>Kg</v>
      </c>
      <c r="P121" s="400"/>
      <c r="Q121" s="376"/>
      <c r="R121" s="376"/>
      <c r="S121" s="3543"/>
      <c r="T121" s="3544"/>
      <c r="U121" s="3544"/>
      <c r="V121" s="3545"/>
      <c r="W121" s="376"/>
      <c r="X121" s="376"/>
      <c r="Y121" s="376"/>
      <c r="Z121" s="376"/>
      <c r="AA121" s="376"/>
      <c r="AB121" s="376"/>
      <c r="AC121" s="376"/>
      <c r="AD121" s="376"/>
      <c r="AE121" s="376"/>
      <c r="AF121" s="376"/>
      <c r="AG121" s="376"/>
      <c r="AH121" s="381">
        <v>15</v>
      </c>
    </row>
    <row r="122" spans="1:34" ht="15" customHeight="1">
      <c r="A122" s="833"/>
      <c r="B122" s="376"/>
      <c r="C122" s="3201"/>
      <c r="D122" s="382"/>
      <c r="E122" s="382"/>
      <c r="F122" s="382"/>
      <c r="G122" s="382"/>
      <c r="H122" s="3202" t="s">
        <v>139</v>
      </c>
      <c r="I122" s="3202"/>
      <c r="J122" s="3202"/>
      <c r="K122" s="3202"/>
      <c r="L122" s="3203"/>
      <c r="M122" s="3202"/>
      <c r="N122" s="3202"/>
      <c r="O122" s="3202"/>
      <c r="P122" s="400"/>
      <c r="Q122" s="376"/>
      <c r="R122" s="376"/>
      <c r="S122" s="3543"/>
      <c r="T122" s="3544"/>
      <c r="U122" s="3544"/>
      <c r="V122" s="3545"/>
      <c r="W122" s="376"/>
      <c r="X122" s="376"/>
      <c r="Y122" s="376"/>
      <c r="Z122" s="376"/>
      <c r="AA122" s="376"/>
      <c r="AB122" s="376"/>
      <c r="AC122" s="376"/>
      <c r="AD122" s="376"/>
      <c r="AE122" s="376"/>
      <c r="AF122" s="376"/>
      <c r="AG122" s="376"/>
      <c r="AH122" s="381">
        <v>15</v>
      </c>
    </row>
    <row r="123" spans="1:34" ht="15" customHeight="1">
      <c r="A123" s="833"/>
      <c r="B123" s="376"/>
      <c r="C123" s="3201"/>
      <c r="D123" s="382"/>
      <c r="E123" s="382"/>
      <c r="F123" s="382"/>
      <c r="G123" s="382"/>
      <c r="H123" s="3560">
        <f>IF(H125=0,0,INT(H125/O110))</f>
        <v>22</v>
      </c>
      <c r="I123" s="3560"/>
      <c r="J123" s="3572" t="s">
        <v>140</v>
      </c>
      <c r="K123" s="3553">
        <f>E113-H125</f>
        <v>5.5400000000000063</v>
      </c>
      <c r="L123" s="382"/>
      <c r="M123" s="3554" t="s">
        <v>141</v>
      </c>
      <c r="N123" s="3554"/>
      <c r="O123" s="3555">
        <f>COUNTIF(J116:J121,"&gt;0")</f>
        <v>5</v>
      </c>
      <c r="P123" s="3549" t="s">
        <v>142</v>
      </c>
      <c r="Q123" s="376"/>
      <c r="R123" s="376"/>
      <c r="S123" s="3543"/>
      <c r="T123" s="3544"/>
      <c r="U123" s="3544"/>
      <c r="V123" s="3545"/>
      <c r="W123" s="376"/>
      <c r="X123" s="376"/>
      <c r="Y123" s="376"/>
      <c r="Z123" s="376"/>
      <c r="AA123" s="376"/>
      <c r="AB123" s="376"/>
      <c r="AC123" s="376"/>
      <c r="AD123" s="376"/>
      <c r="AE123" s="376"/>
      <c r="AF123" s="376"/>
      <c r="AG123" s="376"/>
      <c r="AH123" s="381">
        <v>15</v>
      </c>
    </row>
    <row r="124" spans="1:34" ht="15" customHeight="1">
      <c r="A124" s="833"/>
      <c r="B124" s="376"/>
      <c r="C124" s="3201"/>
      <c r="D124" s="382"/>
      <c r="E124" s="382"/>
      <c r="F124" s="382"/>
      <c r="G124" s="382"/>
      <c r="H124" s="3560"/>
      <c r="I124" s="3560"/>
      <c r="J124" s="3572"/>
      <c r="K124" s="3553"/>
      <c r="L124" s="382"/>
      <c r="M124" s="3554"/>
      <c r="N124" s="3554"/>
      <c r="O124" s="3555"/>
      <c r="P124" s="3549"/>
      <c r="Q124" s="376"/>
      <c r="R124" s="376"/>
      <c r="S124" s="413"/>
      <c r="T124" s="412"/>
      <c r="U124" s="412"/>
      <c r="V124" s="411"/>
      <c r="W124" s="376"/>
      <c r="X124" s="376"/>
      <c r="Y124" s="376"/>
      <c r="Z124" s="376"/>
      <c r="AA124" s="376"/>
      <c r="AB124" s="376"/>
      <c r="AC124" s="376"/>
      <c r="AD124" s="376"/>
      <c r="AE124" s="376"/>
      <c r="AF124" s="376"/>
      <c r="AG124" s="376"/>
      <c r="AH124" s="381">
        <v>15</v>
      </c>
    </row>
    <row r="125" spans="1:34" ht="15" customHeight="1" thickBot="1">
      <c r="A125" s="833"/>
      <c r="B125" s="376"/>
      <c r="C125" s="3200"/>
      <c r="D125" s="3197"/>
      <c r="E125" s="3197"/>
      <c r="F125" s="3197"/>
      <c r="G125" s="3197"/>
      <c r="H125" s="3973">
        <f>SUM(H116:I121)*O110</f>
        <v>66</v>
      </c>
      <c r="I125" s="3973"/>
      <c r="J125" s="3197"/>
      <c r="K125" s="3166">
        <f>H125+K123</f>
        <v>71.540000000000006</v>
      </c>
      <c r="L125" s="3197"/>
      <c r="M125" s="3197"/>
      <c r="N125" s="3197"/>
      <c r="O125" s="3197"/>
      <c r="P125" s="3196"/>
      <c r="Q125" s="376"/>
      <c r="R125" s="376"/>
      <c r="S125" s="3543" t="s">
        <v>143</v>
      </c>
      <c r="T125" s="3544"/>
      <c r="U125" s="3544"/>
      <c r="V125" s="3545"/>
      <c r="W125" s="376"/>
      <c r="X125" s="376"/>
      <c r="Y125" s="376"/>
      <c r="Z125" s="376"/>
      <c r="AA125" s="376"/>
      <c r="AB125" s="376"/>
      <c r="AC125" s="376"/>
      <c r="AD125" s="376"/>
      <c r="AE125" s="376"/>
      <c r="AF125" s="376"/>
      <c r="AG125" s="376"/>
      <c r="AH125" s="381">
        <v>15</v>
      </c>
    </row>
    <row r="126" spans="1:34" ht="15" customHeight="1" thickBot="1">
      <c r="A126" s="833"/>
      <c r="B126" s="376"/>
      <c r="C126" s="833"/>
      <c r="D126" s="833"/>
      <c r="E126" s="833"/>
      <c r="F126" s="833"/>
      <c r="G126" s="833"/>
      <c r="H126" s="833"/>
      <c r="I126" s="833"/>
      <c r="J126" s="833"/>
      <c r="K126" s="833"/>
      <c r="L126" s="833"/>
      <c r="M126" s="833"/>
      <c r="N126" s="833"/>
      <c r="O126" s="833"/>
      <c r="P126" s="833"/>
      <c r="Q126" s="376"/>
      <c r="R126" s="376"/>
      <c r="S126" s="3543"/>
      <c r="T126" s="3544"/>
      <c r="U126" s="3544"/>
      <c r="V126" s="3545"/>
      <c r="W126" s="376"/>
      <c r="X126" s="376"/>
      <c r="Y126" s="376"/>
      <c r="Z126" s="376"/>
      <c r="AA126" s="376"/>
      <c r="AB126" s="376"/>
      <c r="AC126" s="376"/>
      <c r="AD126" s="376"/>
      <c r="AE126" s="376"/>
      <c r="AF126" s="376"/>
      <c r="AG126" s="376"/>
      <c r="AH126" s="381">
        <v>15</v>
      </c>
    </row>
    <row r="127" spans="1:34" ht="15" customHeight="1">
      <c r="A127" s="833"/>
      <c r="B127" s="376"/>
      <c r="C127" s="3955" t="str">
        <f>C3</f>
        <v>HARICOT DE MOUTON OU CASSOULET TOULOUSAIN</v>
      </c>
      <c r="D127" s="3956"/>
      <c r="E127" s="3956"/>
      <c r="F127" s="3956"/>
      <c r="G127" s="3956"/>
      <c r="H127" s="3956"/>
      <c r="I127" s="3956"/>
      <c r="J127" s="3956"/>
      <c r="K127" s="3956"/>
      <c r="L127" s="3956"/>
      <c r="M127" s="3959" t="s">
        <v>116</v>
      </c>
      <c r="N127" s="3959"/>
      <c r="O127" s="3974">
        <v>50</v>
      </c>
      <c r="P127" s="3976" t="s">
        <v>144</v>
      </c>
      <c r="Q127" s="376"/>
      <c r="R127" s="376"/>
      <c r="S127" s="413"/>
      <c r="T127" s="412"/>
      <c r="U127" s="412"/>
      <c r="V127" s="411"/>
      <c r="W127" s="376"/>
      <c r="X127" s="376"/>
      <c r="Y127" s="376"/>
      <c r="Z127" s="376"/>
      <c r="AA127" s="376"/>
      <c r="AB127" s="376"/>
      <c r="AC127" s="376"/>
      <c r="AD127" s="376"/>
      <c r="AE127" s="376"/>
      <c r="AF127" s="376"/>
      <c r="AG127" s="376"/>
      <c r="AH127" s="381">
        <v>15</v>
      </c>
    </row>
    <row r="128" spans="1:34" ht="15" customHeight="1">
      <c r="A128" s="833"/>
      <c r="B128" s="376"/>
      <c r="C128" s="3957"/>
      <c r="D128" s="3958"/>
      <c r="E128" s="3958"/>
      <c r="F128" s="3958"/>
      <c r="G128" s="3958"/>
      <c r="H128" s="3958"/>
      <c r="I128" s="3958"/>
      <c r="J128" s="3958"/>
      <c r="K128" s="3958"/>
      <c r="L128" s="3958"/>
      <c r="M128" s="3960"/>
      <c r="N128" s="3960"/>
      <c r="O128" s="3975"/>
      <c r="P128" s="3977"/>
      <c r="Q128" s="376"/>
      <c r="R128" s="376"/>
      <c r="S128" s="3543" t="s">
        <v>145</v>
      </c>
      <c r="T128" s="3544"/>
      <c r="U128" s="3544"/>
      <c r="V128" s="3545"/>
      <c r="W128" s="376"/>
      <c r="X128" s="376"/>
      <c r="Y128" s="376"/>
      <c r="Z128" s="376"/>
      <c r="AA128" s="376"/>
      <c r="AB128" s="376"/>
      <c r="AC128" s="376"/>
      <c r="AD128" s="376"/>
      <c r="AE128" s="376"/>
      <c r="AF128" s="376"/>
      <c r="AG128" s="376"/>
      <c r="AH128" s="381">
        <v>15</v>
      </c>
    </row>
    <row r="129" spans="1:34" ht="15" customHeight="1" thickBot="1">
      <c r="A129" s="833"/>
      <c r="B129" s="376"/>
      <c r="C129" s="3186" t="s">
        <v>119</v>
      </c>
      <c r="D129" s="3209"/>
      <c r="E129" s="3209"/>
      <c r="F129" s="3185"/>
      <c r="G129" s="3184"/>
      <c r="H129" s="3183"/>
      <c r="I129" s="3209"/>
      <c r="J129" s="3209"/>
      <c r="K129" s="3182" t="s">
        <v>120</v>
      </c>
      <c r="L129" s="3209"/>
      <c r="M129" s="3181"/>
      <c r="N129" s="3181" t="s">
        <v>121</v>
      </c>
      <c r="O129" s="3208">
        <f>O127</f>
        <v>50</v>
      </c>
      <c r="P129" s="3207" t="str">
        <f>P127</f>
        <v>Morceaux</v>
      </c>
      <c r="Q129" s="376"/>
      <c r="R129" s="376"/>
      <c r="S129" s="3978"/>
      <c r="T129" s="3979"/>
      <c r="U129" s="3979"/>
      <c r="V129" s="3980"/>
      <c r="W129" s="376"/>
      <c r="X129" s="376"/>
      <c r="Y129" s="376"/>
      <c r="Z129" s="376"/>
      <c r="AA129" s="376"/>
      <c r="AB129" s="376"/>
      <c r="AC129" s="376"/>
      <c r="AD129" s="376"/>
      <c r="AE129" s="376"/>
      <c r="AF129" s="376"/>
      <c r="AG129" s="376"/>
      <c r="AH129" s="381">
        <v>15</v>
      </c>
    </row>
    <row r="130" spans="1:34" ht="15" customHeight="1">
      <c r="A130" s="833"/>
      <c r="B130" s="376"/>
      <c r="C130" s="3965">
        <f>SUM(D133:D138)</f>
        <v>728</v>
      </c>
      <c r="D130" s="3575">
        <f>SUM(F133:F138)</f>
        <v>1596.5</v>
      </c>
      <c r="E130" s="3563" t="str">
        <f>P127</f>
        <v>Morceaux</v>
      </c>
      <c r="F130" s="3560">
        <f>IF(D130=0,0,INT(D130/O127))</f>
        <v>31</v>
      </c>
      <c r="G130" s="3560"/>
      <c r="H130" s="3579">
        <f>D130-(F130*O127)</f>
        <v>46.5</v>
      </c>
      <c r="I130" s="3581" t="str">
        <f>IF(H130=0,0,P127)</f>
        <v>Morceaux</v>
      </c>
      <c r="J130" s="3581"/>
      <c r="K130" s="382"/>
      <c r="L130" s="382"/>
      <c r="M130" s="3560">
        <f>IF(H130=0,0,F130+1)</f>
        <v>32</v>
      </c>
      <c r="N130" s="3560"/>
      <c r="O130" s="3579">
        <f>IF(H130=0,0,D130-(M130*O127))</f>
        <v>-3.5</v>
      </c>
      <c r="P130" s="3557" t="str">
        <f>IF(O130=0,0,P127)</f>
        <v>Morceaux</v>
      </c>
      <c r="Q130" s="376"/>
      <c r="R130" s="376"/>
      <c r="S130" s="376"/>
      <c r="T130" s="376"/>
      <c r="U130" s="376"/>
      <c r="V130" s="376"/>
      <c r="W130" s="376"/>
      <c r="X130" s="376"/>
      <c r="Y130" s="376"/>
      <c r="Z130" s="376"/>
      <c r="AA130" s="376"/>
      <c r="AB130" s="376"/>
      <c r="AC130" s="376"/>
      <c r="AD130" s="376"/>
      <c r="AE130" s="376"/>
      <c r="AF130" s="376"/>
      <c r="AG130" s="376"/>
      <c r="AH130" s="381">
        <v>15</v>
      </c>
    </row>
    <row r="131" spans="1:34" ht="15" customHeight="1">
      <c r="A131" s="833"/>
      <c r="B131" s="376"/>
      <c r="C131" s="3966"/>
      <c r="D131" s="3981"/>
      <c r="E131" s="3967"/>
      <c r="F131" s="3982"/>
      <c r="G131" s="3982"/>
      <c r="H131" s="3983"/>
      <c r="I131" s="3971"/>
      <c r="J131" s="3971"/>
      <c r="K131" s="3206"/>
      <c r="L131" s="3206"/>
      <c r="M131" s="3982"/>
      <c r="N131" s="3982"/>
      <c r="O131" s="3983"/>
      <c r="P131" s="3972"/>
      <c r="Q131" s="376"/>
      <c r="R131" s="376"/>
      <c r="S131" s="376"/>
      <c r="T131" s="376"/>
      <c r="U131" s="376"/>
      <c r="V131" s="376"/>
      <c r="W131" s="376"/>
      <c r="X131" s="376"/>
      <c r="Y131" s="376"/>
      <c r="Z131" s="376"/>
      <c r="AA131" s="376"/>
      <c r="AB131" s="376"/>
      <c r="AC131" s="376"/>
      <c r="AD131" s="376"/>
      <c r="AE131" s="376"/>
      <c r="AF131" s="376"/>
      <c r="AG131" s="376"/>
      <c r="AH131" s="381">
        <v>15</v>
      </c>
    </row>
    <row r="132" spans="1:34" ht="15" customHeight="1">
      <c r="A132" s="833"/>
      <c r="B132" s="376"/>
      <c r="C132" s="3178"/>
      <c r="D132" s="839" t="s">
        <v>124</v>
      </c>
      <c r="E132" s="335" t="s">
        <v>146</v>
      </c>
      <c r="F132" s="382"/>
      <c r="G132" s="279"/>
      <c r="H132" s="280"/>
      <c r="I132" s="282"/>
      <c r="J132" s="282"/>
      <c r="K132" s="282"/>
      <c r="L132" s="282" t="s">
        <v>126</v>
      </c>
      <c r="M132" s="3205"/>
      <c r="N132" s="3205"/>
      <c r="O132" s="3205"/>
      <c r="P132" s="3204"/>
      <c r="Q132" s="376"/>
      <c r="R132" s="376"/>
      <c r="S132" s="376"/>
      <c r="T132" s="376"/>
      <c r="U132" s="376"/>
      <c r="V132" s="376"/>
      <c r="W132" s="376"/>
      <c r="X132" s="376"/>
      <c r="Y132" s="376"/>
      <c r="Z132" s="376"/>
      <c r="AA132" s="376"/>
      <c r="AB132" s="376"/>
      <c r="AC132" s="376"/>
      <c r="AD132" s="376"/>
      <c r="AE132" s="376"/>
      <c r="AF132" s="376"/>
      <c r="AG132" s="376"/>
      <c r="AH132" s="381">
        <v>15</v>
      </c>
    </row>
    <row r="133" spans="1:34" ht="15" customHeight="1">
      <c r="A133" s="833"/>
      <c r="B133" s="376"/>
      <c r="C133" s="3174" t="s">
        <v>128</v>
      </c>
      <c r="D133" s="836">
        <v>180</v>
      </c>
      <c r="E133" s="337">
        <v>1</v>
      </c>
      <c r="F133" s="338">
        <f t="shared" ref="F133:F138" si="10">D133*E133</f>
        <v>180</v>
      </c>
      <c r="G133" s="405">
        <f>O88</f>
        <v>0</v>
      </c>
      <c r="H133" s="3552">
        <f>IF(F133=0,0,INT(F133/O127))</f>
        <v>3</v>
      </c>
      <c r="I133" s="3552"/>
      <c r="J133" s="404">
        <f>F133-(H133*O127)</f>
        <v>30</v>
      </c>
      <c r="K133" s="342" t="str">
        <f>IF(J133=0,0,P127)</f>
        <v>Morceaux</v>
      </c>
      <c r="L133" s="382"/>
      <c r="M133" s="291">
        <f t="shared" ref="M133:M138" si="11">IF(J133=0,0,H133+1)</f>
        <v>4</v>
      </c>
      <c r="N133" s="403">
        <f>IF(J133=0,0,F133-(M133*O127))</f>
        <v>-20</v>
      </c>
      <c r="O133" s="402" t="str">
        <f>IF(N133=0,0,P127)</f>
        <v>Morceaux</v>
      </c>
      <c r="P133" s="400"/>
      <c r="Q133" s="376"/>
      <c r="R133" s="376"/>
      <c r="S133" s="376"/>
      <c r="T133" s="376"/>
      <c r="U133" s="376"/>
      <c r="V133" s="376"/>
      <c r="W133" s="376"/>
      <c r="X133" s="376"/>
      <c r="Y133" s="376"/>
      <c r="Z133" s="376"/>
      <c r="AA133" s="376"/>
      <c r="AB133" s="376"/>
      <c r="AC133" s="376"/>
      <c r="AD133" s="376"/>
      <c r="AE133" s="376"/>
      <c r="AF133" s="376"/>
      <c r="AG133" s="376"/>
      <c r="AH133" s="381">
        <v>15</v>
      </c>
    </row>
    <row r="134" spans="1:34" ht="15" customHeight="1">
      <c r="A134" s="833"/>
      <c r="B134" s="376"/>
      <c r="C134" s="3173" t="s">
        <v>129</v>
      </c>
      <c r="D134" s="836">
        <v>375</v>
      </c>
      <c r="E134" s="337">
        <v>2.5</v>
      </c>
      <c r="F134" s="338">
        <f t="shared" si="10"/>
        <v>937.5</v>
      </c>
      <c r="G134" s="405">
        <f>O88</f>
        <v>0</v>
      </c>
      <c r="H134" s="3552">
        <f>IF(F134=0,0,INT(F134/O127))</f>
        <v>18</v>
      </c>
      <c r="I134" s="3552"/>
      <c r="J134" s="404">
        <f>F134-(H134*O127)</f>
        <v>37.5</v>
      </c>
      <c r="K134" s="342" t="str">
        <f>IF(J134=0,0,P127)</f>
        <v>Morceaux</v>
      </c>
      <c r="L134" s="382"/>
      <c r="M134" s="291">
        <f t="shared" si="11"/>
        <v>19</v>
      </c>
      <c r="N134" s="403">
        <f>IF(J134=0,0,F134-(M134*O127))</f>
        <v>-12.5</v>
      </c>
      <c r="O134" s="402" t="str">
        <f>IF(N134=0,0,P127)</f>
        <v>Morceaux</v>
      </c>
      <c r="P134" s="400"/>
      <c r="Q134" s="376"/>
      <c r="R134" s="376"/>
      <c r="S134" s="376"/>
      <c r="T134" s="376"/>
      <c r="U134" s="376"/>
      <c r="V134" s="376"/>
      <c r="W134" s="376"/>
      <c r="X134" s="376"/>
      <c r="Y134" s="376"/>
      <c r="Z134" s="376"/>
      <c r="AA134" s="376"/>
      <c r="AB134" s="376"/>
      <c r="AC134" s="376"/>
      <c r="AD134" s="376"/>
      <c r="AE134" s="376"/>
      <c r="AF134" s="376"/>
      <c r="AG134" s="376"/>
      <c r="AH134" s="381">
        <v>15</v>
      </c>
    </row>
    <row r="135" spans="1:34" ht="15" customHeight="1">
      <c r="A135" s="833"/>
      <c r="B135" s="376"/>
      <c r="C135" s="3172" t="s">
        <v>28</v>
      </c>
      <c r="D135" s="836">
        <v>53</v>
      </c>
      <c r="E135" s="337">
        <v>3</v>
      </c>
      <c r="F135" s="338">
        <f t="shared" si="10"/>
        <v>159</v>
      </c>
      <c r="G135" s="405">
        <f>O88</f>
        <v>0</v>
      </c>
      <c r="H135" s="3552">
        <f>IF(F135=0,0,INT(F135/O127))</f>
        <v>3</v>
      </c>
      <c r="I135" s="3552"/>
      <c r="J135" s="404">
        <f>F135-(H135*O127)</f>
        <v>9</v>
      </c>
      <c r="K135" s="342" t="str">
        <f>IF(J135=0,0,P127)</f>
        <v>Morceaux</v>
      </c>
      <c r="L135" s="382"/>
      <c r="M135" s="291">
        <f t="shared" si="11"/>
        <v>4</v>
      </c>
      <c r="N135" s="403">
        <f>IF(J135=0,0,F135-(M135*O127))</f>
        <v>-41</v>
      </c>
      <c r="O135" s="402" t="str">
        <f>IF(N135=0,0,P127)</f>
        <v>Morceaux</v>
      </c>
      <c r="P135" s="400"/>
      <c r="Q135" s="376"/>
      <c r="R135" s="376"/>
      <c r="S135" s="376"/>
      <c r="T135" s="376"/>
      <c r="U135" s="376"/>
      <c r="V135" s="376"/>
      <c r="W135" s="376"/>
      <c r="X135" s="376"/>
      <c r="Y135" s="376"/>
      <c r="Z135" s="376"/>
      <c r="AA135" s="376"/>
      <c r="AB135" s="376"/>
      <c r="AC135" s="376"/>
      <c r="AD135" s="376"/>
      <c r="AE135" s="376"/>
      <c r="AF135" s="376"/>
      <c r="AG135" s="376"/>
      <c r="AH135" s="381">
        <v>15</v>
      </c>
    </row>
    <row r="136" spans="1:34" ht="15" customHeight="1">
      <c r="A136" s="833"/>
      <c r="B136" s="376"/>
      <c r="C136" s="3172" t="s">
        <v>136</v>
      </c>
      <c r="D136" s="836">
        <v>25</v>
      </c>
      <c r="E136" s="337">
        <v>4</v>
      </c>
      <c r="F136" s="338">
        <f t="shared" si="10"/>
        <v>100</v>
      </c>
      <c r="G136" s="405">
        <f>O88</f>
        <v>0</v>
      </c>
      <c r="H136" s="3552">
        <f>IF(F136=0,0,INT(F136/O127))</f>
        <v>2</v>
      </c>
      <c r="I136" s="3552"/>
      <c r="J136" s="404">
        <f>F136-(H136*O127)</f>
        <v>0</v>
      </c>
      <c r="K136" s="342">
        <f>IF(J136=0,0,P127)</f>
        <v>0</v>
      </c>
      <c r="L136" s="382"/>
      <c r="M136" s="291">
        <f t="shared" si="11"/>
        <v>0</v>
      </c>
      <c r="N136" s="403">
        <f>IF(J136=0,0,F136-(M136*O127))</f>
        <v>0</v>
      </c>
      <c r="O136" s="402">
        <f>IF(N136=0,0,P127)</f>
        <v>0</v>
      </c>
      <c r="P136" s="400"/>
      <c r="Q136" s="376"/>
      <c r="R136" s="376"/>
      <c r="S136" s="376"/>
      <c r="T136" s="376"/>
      <c r="U136" s="376"/>
      <c r="V136" s="376"/>
      <c r="W136" s="376"/>
      <c r="X136" s="376"/>
      <c r="Y136" s="376"/>
      <c r="Z136" s="376"/>
      <c r="AA136" s="376"/>
      <c r="AB136" s="376"/>
      <c r="AC136" s="376"/>
      <c r="AD136" s="376"/>
      <c r="AE136" s="376"/>
      <c r="AF136" s="376"/>
      <c r="AG136" s="376"/>
      <c r="AH136" s="381">
        <v>15</v>
      </c>
    </row>
    <row r="137" spans="1:34" ht="15" customHeight="1">
      <c r="A137" s="833"/>
      <c r="B137" s="376"/>
      <c r="C137" s="3172" t="s">
        <v>56</v>
      </c>
      <c r="D137" s="836">
        <v>60</v>
      </c>
      <c r="E137" s="337">
        <v>2.5</v>
      </c>
      <c r="F137" s="338">
        <f t="shared" si="10"/>
        <v>150</v>
      </c>
      <c r="G137" s="405">
        <f>O88</f>
        <v>0</v>
      </c>
      <c r="H137" s="3552">
        <f>IF(F137=0,0,INT(F137/O127))</f>
        <v>3</v>
      </c>
      <c r="I137" s="3552"/>
      <c r="J137" s="404">
        <f>F137-(H137*O127)</f>
        <v>0</v>
      </c>
      <c r="K137" s="342">
        <f>IF(J137=0,0,P127)</f>
        <v>0</v>
      </c>
      <c r="L137" s="382"/>
      <c r="M137" s="291">
        <f t="shared" si="11"/>
        <v>0</v>
      </c>
      <c r="N137" s="403">
        <f>IF(J137=0,0,F137-(M137*O127))</f>
        <v>0</v>
      </c>
      <c r="O137" s="402">
        <f>IF(N137=0,0,P127)</f>
        <v>0</v>
      </c>
      <c r="P137" s="400"/>
      <c r="Q137" s="376"/>
      <c r="R137" s="376"/>
      <c r="S137" s="376"/>
      <c r="T137" s="376"/>
      <c r="U137" s="376"/>
      <c r="V137" s="376"/>
      <c r="W137" s="376"/>
      <c r="X137" s="376"/>
      <c r="Y137" s="376"/>
      <c r="Z137" s="376"/>
      <c r="AA137" s="376"/>
      <c r="AB137" s="376"/>
      <c r="AC137" s="376"/>
      <c r="AD137" s="376"/>
      <c r="AE137" s="376"/>
      <c r="AF137" s="376"/>
      <c r="AG137" s="376"/>
      <c r="AH137" s="381">
        <v>15</v>
      </c>
    </row>
    <row r="138" spans="1:34" ht="15" customHeight="1">
      <c r="A138" s="833"/>
      <c r="B138" s="376"/>
      <c r="C138" s="3172" t="s">
        <v>57</v>
      </c>
      <c r="D138" s="836">
        <v>35</v>
      </c>
      <c r="E138" s="337">
        <v>2</v>
      </c>
      <c r="F138" s="338">
        <f t="shared" si="10"/>
        <v>70</v>
      </c>
      <c r="G138" s="405">
        <f>O88</f>
        <v>0</v>
      </c>
      <c r="H138" s="3552">
        <f>IF(F138=0,0,INT(F138/O127))</f>
        <v>1</v>
      </c>
      <c r="I138" s="3552"/>
      <c r="J138" s="404">
        <f>F138-(H138*O127)</f>
        <v>20</v>
      </c>
      <c r="K138" s="342" t="str">
        <f>IF(J138=0,0,P127)</f>
        <v>Morceaux</v>
      </c>
      <c r="L138" s="382"/>
      <c r="M138" s="291">
        <f t="shared" si="11"/>
        <v>2</v>
      </c>
      <c r="N138" s="403">
        <f>IF(J138=0,0,F138-(M138*O127))</f>
        <v>-30</v>
      </c>
      <c r="O138" s="402" t="str">
        <f>IF(N138=0,0,P127)</f>
        <v>Morceaux</v>
      </c>
      <c r="P138" s="400"/>
      <c r="Q138" s="376"/>
      <c r="R138" s="376"/>
      <c r="S138" s="376"/>
      <c r="T138" s="376"/>
      <c r="U138" s="376"/>
      <c r="V138" s="376"/>
      <c r="W138" s="376"/>
      <c r="X138" s="376"/>
      <c r="Y138" s="376"/>
      <c r="Z138" s="376"/>
      <c r="AA138" s="376"/>
      <c r="AB138" s="376"/>
      <c r="AC138" s="376"/>
      <c r="AD138" s="376"/>
      <c r="AE138" s="376"/>
      <c r="AF138" s="376"/>
      <c r="AG138" s="376"/>
      <c r="AH138" s="381">
        <v>15</v>
      </c>
    </row>
    <row r="139" spans="1:34" ht="15" customHeight="1">
      <c r="A139" s="833"/>
      <c r="B139" s="376"/>
      <c r="C139" s="3201"/>
      <c r="D139" s="382"/>
      <c r="E139" s="382"/>
      <c r="F139" s="382"/>
      <c r="G139" s="382"/>
      <c r="H139" s="3202" t="s">
        <v>139</v>
      </c>
      <c r="I139" s="3202"/>
      <c r="J139" s="3202"/>
      <c r="K139" s="3202"/>
      <c r="L139" s="3203"/>
      <c r="M139" s="3202"/>
      <c r="N139" s="3202"/>
      <c r="O139" s="3202"/>
      <c r="P139" s="400"/>
      <c r="Q139" s="376"/>
      <c r="R139" s="376"/>
      <c r="S139" s="376"/>
      <c r="T139" s="376"/>
      <c r="U139" s="376"/>
      <c r="V139" s="376"/>
      <c r="W139" s="376"/>
      <c r="X139" s="376"/>
      <c r="Y139" s="376"/>
      <c r="Z139" s="376"/>
      <c r="AA139" s="376"/>
      <c r="AB139" s="376"/>
      <c r="AC139" s="376"/>
      <c r="AD139" s="376"/>
      <c r="AE139" s="376"/>
      <c r="AF139" s="376"/>
      <c r="AG139" s="376"/>
      <c r="AH139" s="381">
        <v>15</v>
      </c>
    </row>
    <row r="140" spans="1:34" ht="15" customHeight="1">
      <c r="A140" s="833"/>
      <c r="B140" s="376"/>
      <c r="C140" s="3201"/>
      <c r="D140" s="382"/>
      <c r="E140" s="382"/>
      <c r="F140" s="382"/>
      <c r="G140" s="382"/>
      <c r="H140" s="3560">
        <f>IF(H142=0,0,INT(H142/O127))</f>
        <v>30</v>
      </c>
      <c r="I140" s="3560"/>
      <c r="J140" s="3561" t="s">
        <v>140</v>
      </c>
      <c r="K140" s="3562">
        <f>D130-H142</f>
        <v>96.5</v>
      </c>
      <c r="L140" s="3563" t="str">
        <f>P127</f>
        <v>Morceaux</v>
      </c>
      <c r="M140" s="3554" t="s">
        <v>141</v>
      </c>
      <c r="N140" s="3554"/>
      <c r="O140" s="3555">
        <f>COUNTIF(J133:J138,"&gt;0")</f>
        <v>4</v>
      </c>
      <c r="P140" s="3549" t="s">
        <v>142</v>
      </c>
      <c r="Q140" s="376"/>
      <c r="R140" s="376"/>
      <c r="S140" s="376"/>
      <c r="T140" s="376"/>
      <c r="U140" s="376"/>
      <c r="V140" s="376"/>
      <c r="W140" s="376"/>
      <c r="X140" s="376"/>
      <c r="Y140" s="376"/>
      <c r="Z140" s="376"/>
      <c r="AA140" s="376"/>
      <c r="AB140" s="376"/>
      <c r="AC140" s="376"/>
      <c r="AD140" s="376"/>
      <c r="AE140" s="376"/>
      <c r="AF140" s="376"/>
      <c r="AG140" s="376"/>
      <c r="AH140" s="381">
        <v>15</v>
      </c>
    </row>
    <row r="141" spans="1:34" ht="15" customHeight="1">
      <c r="A141" s="833"/>
      <c r="B141" s="376"/>
      <c r="C141" s="3201"/>
      <c r="D141" s="382"/>
      <c r="E141" s="382"/>
      <c r="F141" s="382"/>
      <c r="G141" s="382"/>
      <c r="H141" s="3560"/>
      <c r="I141" s="3560"/>
      <c r="J141" s="3561"/>
      <c r="K141" s="3562"/>
      <c r="L141" s="3563"/>
      <c r="M141" s="3554"/>
      <c r="N141" s="3554"/>
      <c r="O141" s="3555"/>
      <c r="P141" s="3549"/>
      <c r="Q141" s="376"/>
      <c r="R141" s="376"/>
      <c r="S141" s="376"/>
      <c r="T141" s="376"/>
      <c r="U141" s="376"/>
      <c r="V141" s="376"/>
      <c r="W141" s="376"/>
      <c r="X141" s="376"/>
      <c r="Y141" s="376"/>
      <c r="Z141" s="376"/>
      <c r="AA141" s="376"/>
      <c r="AB141" s="376"/>
      <c r="AC141" s="376"/>
      <c r="AD141" s="376"/>
      <c r="AE141" s="376"/>
      <c r="AF141" s="376"/>
      <c r="AG141" s="376"/>
      <c r="AH141" s="381">
        <v>15</v>
      </c>
    </row>
    <row r="142" spans="1:34" ht="15" customHeight="1" thickBot="1">
      <c r="A142" s="833"/>
      <c r="B142" s="376"/>
      <c r="C142" s="3200"/>
      <c r="D142" s="3197"/>
      <c r="E142" s="3197"/>
      <c r="F142" s="3197"/>
      <c r="G142" s="3197"/>
      <c r="H142" s="3984">
        <f>SUM(H133:I138)*O127</f>
        <v>1500</v>
      </c>
      <c r="I142" s="3984"/>
      <c r="J142" s="3199" t="str">
        <f>P127</f>
        <v>Morceaux</v>
      </c>
      <c r="K142" s="3198">
        <f>H142+K140</f>
        <v>1596.5</v>
      </c>
      <c r="L142" s="3197"/>
      <c r="M142" s="3197"/>
      <c r="N142" s="3197"/>
      <c r="O142" s="3197"/>
      <c r="P142" s="3196"/>
      <c r="Q142" s="376"/>
      <c r="R142" s="376"/>
      <c r="S142" s="376"/>
      <c r="T142" s="376"/>
      <c r="U142" s="376"/>
      <c r="V142" s="376"/>
      <c r="W142" s="376"/>
      <c r="X142" s="376"/>
      <c r="Y142" s="376"/>
      <c r="Z142" s="376"/>
      <c r="AA142" s="376"/>
      <c r="AB142" s="376"/>
      <c r="AC142" s="376"/>
      <c r="AD142" s="376"/>
      <c r="AE142" s="376"/>
      <c r="AF142" s="376"/>
      <c r="AG142" s="376"/>
      <c r="AH142" s="381">
        <v>15</v>
      </c>
    </row>
    <row r="143" spans="1:34" ht="15" customHeight="1">
      <c r="A143" s="833"/>
      <c r="B143" s="376"/>
      <c r="C143" s="834"/>
      <c r="D143" s="834"/>
      <c r="E143" s="834" t="s">
        <v>148</v>
      </c>
      <c r="F143" s="834"/>
      <c r="G143" s="834"/>
      <c r="H143" s="834"/>
      <c r="I143" s="834"/>
      <c r="J143" s="834"/>
      <c r="K143" s="834"/>
      <c r="L143" s="834"/>
      <c r="M143" s="834"/>
      <c r="N143" s="834"/>
      <c r="O143" s="834"/>
      <c r="P143" s="834"/>
      <c r="Q143" s="376"/>
      <c r="R143" s="376"/>
      <c r="S143" s="376"/>
      <c r="T143" s="376"/>
      <c r="U143" s="376"/>
      <c r="V143" s="376"/>
      <c r="W143" s="376"/>
      <c r="X143" s="376"/>
      <c r="Y143" s="376"/>
      <c r="Z143" s="376"/>
      <c r="AA143" s="376"/>
      <c r="AB143" s="376"/>
      <c r="AC143" s="376"/>
      <c r="AD143" s="376"/>
      <c r="AE143" s="376"/>
      <c r="AF143" s="376"/>
      <c r="AG143" s="376"/>
      <c r="AH143" s="381">
        <v>15</v>
      </c>
    </row>
    <row r="144" spans="1:34" ht="15" customHeight="1">
      <c r="A144" s="833"/>
      <c r="B144" s="376"/>
      <c r="C144" s="356"/>
      <c r="D144" s="357"/>
      <c r="E144" s="358" t="s">
        <v>149</v>
      </c>
      <c r="F144" s="356">
        <v>16</v>
      </c>
      <c r="G144" s="356" t="s">
        <v>150</v>
      </c>
      <c r="H144" s="382"/>
      <c r="I144" s="382"/>
      <c r="J144" s="382"/>
      <c r="K144" s="358" t="s">
        <v>151</v>
      </c>
      <c r="L144" s="356">
        <v>60</v>
      </c>
      <c r="M144" s="356" t="s">
        <v>152</v>
      </c>
      <c r="N144" s="382"/>
      <c r="O144" s="382"/>
      <c r="P144" s="382"/>
      <c r="Q144" s="376"/>
      <c r="R144" s="376"/>
      <c r="S144" s="376"/>
      <c r="T144" s="376"/>
      <c r="U144" s="376"/>
      <c r="V144" s="376"/>
      <c r="W144" s="376"/>
      <c r="X144" s="376"/>
      <c r="Y144" s="376"/>
      <c r="Z144" s="376"/>
      <c r="AA144" s="376"/>
      <c r="AB144" s="376"/>
      <c r="AC144" s="376"/>
      <c r="AD144" s="376"/>
      <c r="AE144" s="376"/>
      <c r="AF144" s="376"/>
      <c r="AG144" s="376"/>
      <c r="AH144" s="381">
        <v>15</v>
      </c>
    </row>
    <row r="145" spans="1:34" ht="15" customHeight="1">
      <c r="A145" s="833"/>
      <c r="B145" s="376"/>
      <c r="C145" s="356"/>
      <c r="D145" s="359"/>
      <c r="E145" s="358" t="s">
        <v>153</v>
      </c>
      <c r="F145" s="356">
        <v>24</v>
      </c>
      <c r="G145" s="356" t="s">
        <v>150</v>
      </c>
      <c r="H145" s="382"/>
      <c r="I145" s="382"/>
      <c r="J145" s="382"/>
      <c r="K145" s="358" t="s">
        <v>154</v>
      </c>
      <c r="L145" s="356">
        <v>20</v>
      </c>
      <c r="M145" s="356" t="s">
        <v>155</v>
      </c>
      <c r="N145" s="382"/>
      <c r="O145" s="382"/>
      <c r="P145" s="382"/>
      <c r="Q145" s="376"/>
      <c r="R145" s="376"/>
      <c r="S145" s="376"/>
      <c r="T145" s="376"/>
      <c r="U145" s="376"/>
      <c r="V145" s="376"/>
      <c r="W145" s="376"/>
      <c r="X145" s="376"/>
      <c r="Y145" s="376"/>
      <c r="Z145" s="376"/>
      <c r="AA145" s="376"/>
      <c r="AB145" s="376"/>
      <c r="AC145" s="376"/>
      <c r="AD145" s="376"/>
      <c r="AE145" s="376"/>
      <c r="AF145" s="376"/>
      <c r="AG145" s="376"/>
      <c r="AH145" s="381">
        <v>15</v>
      </c>
    </row>
    <row r="146" spans="1:34" ht="15" customHeight="1">
      <c r="A146" s="833"/>
      <c r="B146" s="376"/>
      <c r="C146" s="356"/>
      <c r="D146" s="382"/>
      <c r="E146" s="358" t="s">
        <v>156</v>
      </c>
      <c r="F146" s="356">
        <v>20</v>
      </c>
      <c r="G146" s="356" t="s">
        <v>150</v>
      </c>
      <c r="H146" s="382"/>
      <c r="I146" s="382"/>
      <c r="J146" s="382"/>
      <c r="K146" s="358" t="s">
        <v>157</v>
      </c>
      <c r="L146" s="356">
        <v>3</v>
      </c>
      <c r="M146" s="356" t="s">
        <v>22</v>
      </c>
      <c r="N146" s="382"/>
      <c r="O146" s="382"/>
      <c r="P146" s="382"/>
      <c r="Q146" s="376"/>
      <c r="R146" s="376"/>
      <c r="S146" s="376"/>
      <c r="T146" s="376"/>
      <c r="U146" s="376"/>
      <c r="V146" s="376"/>
      <c r="W146" s="376"/>
      <c r="X146" s="376"/>
      <c r="Y146" s="376"/>
      <c r="Z146" s="376"/>
      <c r="AA146" s="376"/>
      <c r="AB146" s="376"/>
      <c r="AC146" s="376"/>
      <c r="AD146" s="376"/>
      <c r="AE146" s="376"/>
      <c r="AF146" s="376"/>
      <c r="AG146" s="376"/>
      <c r="AH146" s="381">
        <v>15</v>
      </c>
    </row>
    <row r="147" spans="1:34" ht="15" customHeight="1">
      <c r="A147" s="833"/>
      <c r="B147" s="376"/>
      <c r="C147" s="356"/>
      <c r="D147" s="382"/>
      <c r="E147" s="358" t="s">
        <v>158</v>
      </c>
      <c r="F147" s="356">
        <v>25</v>
      </c>
      <c r="G147" s="356" t="s">
        <v>159</v>
      </c>
      <c r="H147" s="382"/>
      <c r="I147" s="382"/>
      <c r="J147" s="382"/>
      <c r="K147" s="358" t="s">
        <v>160</v>
      </c>
      <c r="L147" s="356">
        <v>7.2</v>
      </c>
      <c r="M147" s="383" t="s">
        <v>22</v>
      </c>
      <c r="N147" s="382"/>
      <c r="O147" s="382"/>
      <c r="P147" s="382"/>
      <c r="Q147" s="376"/>
      <c r="R147" s="376"/>
      <c r="S147" s="376"/>
      <c r="T147" s="376"/>
      <c r="U147" s="376"/>
      <c r="V147" s="376"/>
      <c r="W147" s="376"/>
      <c r="X147" s="376"/>
      <c r="Y147" s="376"/>
      <c r="Z147" s="376"/>
      <c r="AA147" s="376"/>
      <c r="AB147" s="376"/>
      <c r="AC147" s="376"/>
      <c r="AD147" s="376"/>
      <c r="AE147" s="376"/>
      <c r="AF147" s="376"/>
      <c r="AG147" s="376"/>
      <c r="AH147" s="381">
        <v>15</v>
      </c>
    </row>
    <row r="148" spans="1:34" ht="15" customHeight="1">
      <c r="A148" s="833"/>
      <c r="B148" s="376"/>
      <c r="C148" s="382"/>
      <c r="D148" s="382"/>
      <c r="E148" s="358" t="s">
        <v>161</v>
      </c>
      <c r="F148" s="356">
        <v>25</v>
      </c>
      <c r="G148" s="356" t="s">
        <v>162</v>
      </c>
      <c r="H148" s="382"/>
      <c r="I148" s="382"/>
      <c r="J148" s="382"/>
      <c r="K148" s="358" t="s">
        <v>163</v>
      </c>
      <c r="L148" s="356">
        <v>4</v>
      </c>
      <c r="M148" s="383" t="s">
        <v>22</v>
      </c>
      <c r="N148" s="382"/>
      <c r="O148" s="382"/>
      <c r="P148" s="382"/>
      <c r="Q148" s="376"/>
      <c r="R148" s="376"/>
      <c r="S148" s="376"/>
      <c r="T148" s="376"/>
      <c r="U148" s="376"/>
      <c r="V148" s="376"/>
      <c r="W148" s="376"/>
      <c r="X148" s="376"/>
      <c r="Y148" s="376"/>
      <c r="Z148" s="376"/>
      <c r="AA148" s="376"/>
      <c r="AB148" s="376"/>
      <c r="AC148" s="376"/>
      <c r="AD148" s="376"/>
      <c r="AE148" s="376"/>
      <c r="AF148" s="376"/>
      <c r="AG148" s="376"/>
      <c r="AH148" s="381">
        <v>15</v>
      </c>
    </row>
    <row r="149" spans="1:34" ht="15" customHeight="1">
      <c r="A149" s="833"/>
      <c r="B149" s="376"/>
      <c r="C149" s="382"/>
      <c r="D149" s="382"/>
      <c r="E149" s="358" t="s">
        <v>164</v>
      </c>
      <c r="F149" s="356">
        <v>12</v>
      </c>
      <c r="G149" s="356" t="s">
        <v>150</v>
      </c>
      <c r="H149" s="382"/>
      <c r="I149" s="382"/>
      <c r="J149" s="382"/>
      <c r="K149" s="382"/>
      <c r="L149" s="382"/>
      <c r="M149" s="382"/>
      <c r="N149" s="382"/>
      <c r="O149" s="382"/>
      <c r="P149" s="382"/>
      <c r="Q149" s="376"/>
      <c r="R149" s="376"/>
      <c r="S149" s="376"/>
      <c r="T149" s="376"/>
      <c r="U149" s="376"/>
      <c r="V149" s="376"/>
      <c r="W149" s="376"/>
      <c r="X149" s="376"/>
      <c r="Y149" s="376"/>
      <c r="Z149" s="376"/>
      <c r="AA149" s="376"/>
      <c r="AB149" s="376"/>
      <c r="AC149" s="376"/>
      <c r="AD149" s="376"/>
      <c r="AE149" s="376"/>
      <c r="AF149" s="376"/>
      <c r="AG149" s="376"/>
      <c r="AH149" s="381">
        <v>15</v>
      </c>
    </row>
    <row r="150" spans="1:34" ht="15" customHeight="1">
      <c r="A150" s="833"/>
      <c r="B150" s="376"/>
      <c r="C150" s="382"/>
      <c r="D150" s="382"/>
      <c r="E150" s="382"/>
      <c r="F150" s="382"/>
      <c r="G150" s="382"/>
      <c r="H150" s="382"/>
      <c r="I150" s="382"/>
      <c r="J150" s="382"/>
      <c r="K150" s="382"/>
      <c r="L150" s="382"/>
      <c r="M150" s="382"/>
      <c r="N150" s="382"/>
      <c r="O150" s="382"/>
      <c r="P150" s="382"/>
      <c r="Q150" s="376"/>
      <c r="R150" s="376"/>
      <c r="S150" s="376"/>
      <c r="T150" s="376"/>
      <c r="U150" s="376"/>
      <c r="V150" s="376"/>
      <c r="W150" s="376"/>
      <c r="X150" s="376"/>
      <c r="Y150" s="376"/>
      <c r="Z150" s="376"/>
      <c r="AA150" s="376"/>
      <c r="AB150" s="376"/>
      <c r="AC150" s="376"/>
      <c r="AD150" s="376"/>
      <c r="AE150" s="376"/>
      <c r="AF150" s="376"/>
      <c r="AG150" s="376"/>
      <c r="AH150" s="381">
        <v>15</v>
      </c>
    </row>
    <row r="151" spans="1:34" ht="15" customHeight="1">
      <c r="A151" s="833"/>
      <c r="B151" s="376"/>
      <c r="C151" s="361" t="s">
        <v>165</v>
      </c>
      <c r="D151" s="357"/>
      <c r="E151" s="382"/>
      <c r="F151" s="382"/>
      <c r="G151" s="382"/>
      <c r="H151" s="382"/>
      <c r="I151" s="382"/>
      <c r="J151" s="382"/>
      <c r="K151" s="382"/>
      <c r="L151" s="382"/>
      <c r="M151" s="382"/>
      <c r="N151" s="382"/>
      <c r="O151" s="382"/>
      <c r="P151" s="382"/>
      <c r="Q151" s="376"/>
      <c r="R151" s="376"/>
      <c r="S151" s="376"/>
      <c r="T151" s="376"/>
      <c r="U151" s="376"/>
      <c r="V151" s="376"/>
      <c r="W151" s="376"/>
      <c r="X151" s="376"/>
      <c r="Y151" s="376"/>
      <c r="Z151" s="376"/>
      <c r="AA151" s="376"/>
      <c r="AB151" s="376"/>
      <c r="AC151" s="376"/>
      <c r="AD151" s="376"/>
      <c r="AE151" s="376"/>
      <c r="AF151" s="376"/>
      <c r="AG151" s="376"/>
      <c r="AH151" s="381">
        <v>15</v>
      </c>
    </row>
    <row r="152" spans="1:34" ht="15" customHeight="1">
      <c r="A152" s="833"/>
      <c r="B152" s="376"/>
      <c r="C152" s="361" t="s">
        <v>166</v>
      </c>
      <c r="D152" s="359"/>
      <c r="E152" s="382"/>
      <c r="F152" s="382"/>
      <c r="G152" s="382"/>
      <c r="H152" s="382"/>
      <c r="I152" s="382"/>
      <c r="J152" s="382"/>
      <c r="K152" s="382"/>
      <c r="L152" s="382"/>
      <c r="M152" s="382"/>
      <c r="N152" s="382"/>
      <c r="O152" s="382"/>
      <c r="P152" s="382"/>
      <c r="Q152" s="376"/>
      <c r="R152" s="376"/>
      <c r="S152" s="376"/>
      <c r="T152" s="376"/>
      <c r="U152" s="376"/>
      <c r="V152" s="376"/>
      <c r="W152" s="376"/>
      <c r="X152" s="376"/>
      <c r="Y152" s="376"/>
      <c r="Z152" s="376"/>
      <c r="AA152" s="376"/>
      <c r="AB152" s="376"/>
      <c r="AC152" s="376"/>
      <c r="AD152" s="376"/>
      <c r="AE152" s="376"/>
      <c r="AF152" s="376"/>
      <c r="AG152" s="376"/>
      <c r="AH152" s="381">
        <v>15</v>
      </c>
    </row>
    <row r="153" spans="1:34" ht="15" customHeight="1">
      <c r="A153" s="833"/>
      <c r="B153" s="376"/>
      <c r="C153" s="361" t="s">
        <v>167</v>
      </c>
      <c r="D153" s="382"/>
      <c r="E153" s="382"/>
      <c r="F153" s="382"/>
      <c r="G153" s="382"/>
      <c r="H153" s="382"/>
      <c r="I153" s="382"/>
      <c r="J153" s="382"/>
      <c r="K153" s="382"/>
      <c r="L153" s="382"/>
      <c r="M153" s="382"/>
      <c r="N153" s="382"/>
      <c r="O153" s="382"/>
      <c r="P153" s="382"/>
      <c r="Q153" s="376"/>
      <c r="R153" s="376"/>
      <c r="S153" s="376"/>
      <c r="T153" s="376"/>
      <c r="U153" s="376"/>
      <c r="V153" s="376"/>
      <c r="W153" s="376"/>
      <c r="X153" s="376"/>
      <c r="Y153" s="376"/>
      <c r="Z153" s="376"/>
      <c r="AA153" s="376"/>
      <c r="AB153" s="376"/>
      <c r="AC153" s="376"/>
      <c r="AD153" s="376"/>
      <c r="AE153" s="376"/>
      <c r="AF153" s="376"/>
      <c r="AG153" s="376"/>
      <c r="AH153" s="381">
        <v>15</v>
      </c>
    </row>
    <row r="154" spans="1:34">
      <c r="A154" s="833"/>
      <c r="B154" s="376"/>
      <c r="C154" s="380"/>
      <c r="D154" s="380"/>
      <c r="E154" s="380"/>
      <c r="F154" s="380"/>
      <c r="G154" s="380"/>
      <c r="H154" s="380"/>
      <c r="I154" s="380"/>
      <c r="J154" s="380"/>
      <c r="K154" s="380"/>
      <c r="L154" s="380"/>
      <c r="M154" s="380"/>
      <c r="N154" s="380"/>
      <c r="O154" s="380"/>
      <c r="P154" s="380"/>
      <c r="Q154" s="376"/>
      <c r="R154" s="376"/>
      <c r="S154" s="376"/>
      <c r="T154" s="376"/>
      <c r="U154" s="376"/>
      <c r="V154" s="376"/>
      <c r="W154" s="376"/>
      <c r="X154" s="376"/>
      <c r="Y154" s="376"/>
      <c r="Z154" s="376"/>
      <c r="AA154" s="376"/>
      <c r="AB154" s="376"/>
      <c r="AC154" s="376"/>
      <c r="AD154" s="376"/>
      <c r="AE154" s="376"/>
      <c r="AF154" s="376"/>
      <c r="AG154" s="376"/>
      <c r="AH154" s="832" t="s">
        <v>168</v>
      </c>
    </row>
  </sheetData>
  <mergeCells count="124">
    <mergeCell ref="H142:I142"/>
    <mergeCell ref="H136:I136"/>
    <mergeCell ref="H137:I137"/>
    <mergeCell ref="H138:I138"/>
    <mergeCell ref="H140:I141"/>
    <mergeCell ref="J140:J141"/>
    <mergeCell ref="K140:K141"/>
    <mergeCell ref="M130:N131"/>
    <mergeCell ref="O130:O131"/>
    <mergeCell ref="P130:P131"/>
    <mergeCell ref="H133:I133"/>
    <mergeCell ref="H134:I134"/>
    <mergeCell ref="H135:I135"/>
    <mergeCell ref="L140:L141"/>
    <mergeCell ref="M140:N141"/>
    <mergeCell ref="O140:O141"/>
    <mergeCell ref="P140:P141"/>
    <mergeCell ref="H125:I125"/>
    <mergeCell ref="S125:V126"/>
    <mergeCell ref="C127:L128"/>
    <mergeCell ref="M127:N128"/>
    <mergeCell ref="O127:O128"/>
    <mergeCell ref="P127:P128"/>
    <mergeCell ref="S128:V129"/>
    <mergeCell ref="C130:C131"/>
    <mergeCell ref="D130:D131"/>
    <mergeCell ref="E130:E131"/>
    <mergeCell ref="F130:G131"/>
    <mergeCell ref="H130:H131"/>
    <mergeCell ref="I130:J131"/>
    <mergeCell ref="H120:I120"/>
    <mergeCell ref="S120:V123"/>
    <mergeCell ref="H121:I121"/>
    <mergeCell ref="H123:I124"/>
    <mergeCell ref="J123:J124"/>
    <mergeCell ref="K123:K124"/>
    <mergeCell ref="M123:N124"/>
    <mergeCell ref="O123:O124"/>
    <mergeCell ref="P123:P124"/>
    <mergeCell ref="P113:P114"/>
    <mergeCell ref="S113:V114"/>
    <mergeCell ref="S115:V117"/>
    <mergeCell ref="H116:I116"/>
    <mergeCell ref="H117:I117"/>
    <mergeCell ref="H118:I118"/>
    <mergeCell ref="S118:V118"/>
    <mergeCell ref="H119:I119"/>
    <mergeCell ref="S119:V119"/>
    <mergeCell ref="C113:C114"/>
    <mergeCell ref="D113:D114"/>
    <mergeCell ref="E113:E114"/>
    <mergeCell ref="F113:G114"/>
    <mergeCell ref="H113:H114"/>
    <mergeCell ref="I113:J114"/>
    <mergeCell ref="K113:K114"/>
    <mergeCell ref="M113:N114"/>
    <mergeCell ref="O113:O114"/>
    <mergeCell ref="AD72:AF74"/>
    <mergeCell ref="AD75:AF77"/>
    <mergeCell ref="AD81:AF83"/>
    <mergeCell ref="AD86:AF87"/>
    <mergeCell ref="C104:G104"/>
    <mergeCell ref="I105:K105"/>
    <mergeCell ref="C110:L111"/>
    <mergeCell ref="M110:N111"/>
    <mergeCell ref="O110:O111"/>
    <mergeCell ref="P110:P111"/>
    <mergeCell ref="S110:V112"/>
    <mergeCell ref="AD45:AF46"/>
    <mergeCell ref="AD47:AF48"/>
    <mergeCell ref="AD49:AF49"/>
    <mergeCell ref="AD50:AF53"/>
    <mergeCell ref="AD54:AF56"/>
    <mergeCell ref="AD57:AF58"/>
    <mergeCell ref="Q63:Q67"/>
    <mergeCell ref="AD64:AF67"/>
    <mergeCell ref="C70:E71"/>
    <mergeCell ref="F70:F71"/>
    <mergeCell ref="I70:J71"/>
    <mergeCell ref="K70:K71"/>
    <mergeCell ref="AF70:AF71"/>
    <mergeCell ref="U35:AA35"/>
    <mergeCell ref="AD35:AF36"/>
    <mergeCell ref="U36:AA36"/>
    <mergeCell ref="U37:AA37"/>
    <mergeCell ref="AD38:AF39"/>
    <mergeCell ref="T39:V39"/>
    <mergeCell ref="X39:X42"/>
    <mergeCell ref="T40:T41"/>
    <mergeCell ref="U40:U41"/>
    <mergeCell ref="V40:V41"/>
    <mergeCell ref="AE13:AE14"/>
    <mergeCell ref="AF13:AF14"/>
    <mergeCell ref="U15:U16"/>
    <mergeCell ref="V15:V16"/>
    <mergeCell ref="T19:AB19"/>
    <mergeCell ref="AD25:AF26"/>
    <mergeCell ref="AD27:AF29"/>
    <mergeCell ref="AD31:AE31"/>
    <mergeCell ref="AD33:AF34"/>
    <mergeCell ref="A4:A67"/>
    <mergeCell ref="Q4:Q62"/>
    <mergeCell ref="AD4:AF4"/>
    <mergeCell ref="J5:L5"/>
    <mergeCell ref="M5:P6"/>
    <mergeCell ref="AD5:AF5"/>
    <mergeCell ref="Y6:Y7"/>
    <mergeCell ref="Z6:Z7"/>
    <mergeCell ref="T2:AB2"/>
    <mergeCell ref="AD2:AF3"/>
    <mergeCell ref="N3:O3"/>
    <mergeCell ref="Z3:AA3"/>
    <mergeCell ref="AE6:AF6"/>
    <mergeCell ref="M7:P7"/>
    <mergeCell ref="AD7:AE8"/>
    <mergeCell ref="AF7:AF8"/>
    <mergeCell ref="O8:P8"/>
    <mergeCell ref="AA8:AB9"/>
    <mergeCell ref="U6:U7"/>
    <mergeCell ref="V6:V7"/>
    <mergeCell ref="W6:W7"/>
    <mergeCell ref="X6:X7"/>
    <mergeCell ref="G11:I11"/>
    <mergeCell ref="AD13:AD14"/>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E0A6E1-6C8A-48A5-A983-BC6DBFF6A966}">
  <dimension ref="A1:AT100"/>
  <sheetViews>
    <sheetView showZeros="0" workbookViewId="0">
      <selection activeCell="AA89" sqref="AA89"/>
    </sheetView>
  </sheetViews>
  <sheetFormatPr baseColWidth="10" defaultRowHeight="15"/>
  <cols>
    <col min="1" max="1" width="4.42578125" customWidth="1"/>
    <col min="2" max="5" width="11.7109375" customWidth="1"/>
    <col min="6" max="6" width="10.7109375" customWidth="1"/>
    <col min="7" max="7" width="30.7109375" customWidth="1"/>
    <col min="8" max="19" width="11.7109375" hidden="1" customWidth="1"/>
    <col min="20" max="20" width="7.7109375" customWidth="1"/>
    <col min="21" max="36" width="11.7109375" customWidth="1"/>
    <col min="37" max="37" width="9.5703125" customWidth="1"/>
    <col min="39" max="41" width="15.7109375" customWidth="1"/>
  </cols>
  <sheetData>
    <row r="1" spans="1:46" ht="24" customHeight="1" thickBot="1">
      <c r="A1" s="1" t="s">
        <v>0</v>
      </c>
      <c r="B1" s="2">
        <f ca="1">CELL("largeur",B1)</f>
        <v>11</v>
      </c>
      <c r="C1" s="3" t="s">
        <v>1</v>
      </c>
      <c r="D1" s="4"/>
      <c r="E1" s="4"/>
      <c r="F1" s="4"/>
      <c r="G1" s="4"/>
      <c r="H1" s="4"/>
      <c r="I1" s="4"/>
      <c r="J1" s="4"/>
      <c r="K1" s="4"/>
      <c r="L1" s="5"/>
      <c r="M1" s="5"/>
      <c r="N1" s="5"/>
      <c r="O1" s="5"/>
      <c r="P1" s="5"/>
      <c r="Q1" s="2">
        <f ca="1">CELL("largeur",Q1)</f>
        <v>0</v>
      </c>
      <c r="R1" s="6"/>
      <c r="S1" s="7"/>
      <c r="T1" s="7"/>
      <c r="U1" s="7"/>
      <c r="V1" s="7"/>
      <c r="W1" s="7"/>
      <c r="X1" s="7"/>
      <c r="Y1" s="7"/>
      <c r="Z1" s="7"/>
      <c r="AA1" s="7"/>
      <c r="AB1" s="7"/>
      <c r="AC1" s="7"/>
      <c r="AD1" s="7"/>
      <c r="AE1" s="7"/>
      <c r="AF1" s="7"/>
      <c r="AG1" s="7"/>
      <c r="AH1" s="7"/>
      <c r="AI1" s="7"/>
      <c r="AJ1" s="7"/>
      <c r="AK1" s="7"/>
      <c r="AL1" s="7"/>
      <c r="AM1" s="7"/>
      <c r="AN1" s="7"/>
      <c r="AO1" s="7"/>
      <c r="AP1" s="7"/>
      <c r="AQ1" s="8"/>
      <c r="AR1" s="8"/>
      <c r="AS1" s="373" t="s">
        <v>170</v>
      </c>
      <c r="AT1" s="9">
        <v>24</v>
      </c>
    </row>
    <row r="2" spans="1:46" ht="30" customHeight="1">
      <c r="A2" s="3344" t="str">
        <f>SUBSTITUTE(ADDRESS(1,COLUMN(),4),"1","")</f>
        <v>A</v>
      </c>
      <c r="B2" s="11" t="s">
        <v>3</v>
      </c>
      <c r="C2" s="12" t="s">
        <v>6717</v>
      </c>
      <c r="D2" s="13"/>
      <c r="E2" s="13"/>
      <c r="F2" s="13"/>
      <c r="G2" s="13"/>
      <c r="H2" s="13"/>
      <c r="I2" s="13"/>
      <c r="J2" s="13"/>
      <c r="K2" s="13"/>
      <c r="L2" s="13"/>
      <c r="M2" s="13"/>
      <c r="N2" s="13"/>
      <c r="O2" s="13"/>
      <c r="P2" s="13"/>
      <c r="Q2" s="14"/>
      <c r="R2" s="14"/>
      <c r="S2" s="14"/>
      <c r="T2" s="14"/>
      <c r="U2" s="14"/>
      <c r="V2" s="14"/>
      <c r="W2" s="14"/>
      <c r="X2" s="14"/>
      <c r="Y2" s="14"/>
      <c r="Z2" s="14"/>
      <c r="AA2" s="14"/>
      <c r="AB2" s="14"/>
      <c r="AC2" s="14"/>
      <c r="AD2" s="14"/>
      <c r="AE2" s="14"/>
      <c r="AF2" s="14"/>
      <c r="AG2" s="15"/>
      <c r="AH2" s="3740" t="s">
        <v>701</v>
      </c>
      <c r="AI2" s="3740"/>
      <c r="AJ2" s="16"/>
      <c r="AK2" s="3985" t="s">
        <v>6715</v>
      </c>
      <c r="AL2" s="17"/>
      <c r="AM2" s="3636" t="s">
        <v>6</v>
      </c>
      <c r="AN2" s="3989"/>
      <c r="AO2" s="3990"/>
      <c r="AP2" s="7"/>
      <c r="AQ2" s="17"/>
      <c r="AR2" s="17"/>
      <c r="AS2" s="17"/>
      <c r="AT2" s="9">
        <v>30</v>
      </c>
    </row>
    <row r="3" spans="1:46" ht="30" customHeight="1">
      <c r="A3" s="3747" t="str">
        <f>C2</f>
        <v>AUBERGINES A L'EGYPTIENNE</v>
      </c>
      <c r="B3" s="18" t="s">
        <v>7</v>
      </c>
      <c r="C3" s="19" t="s">
        <v>6716</v>
      </c>
      <c r="D3" s="20"/>
      <c r="E3" s="20"/>
      <c r="F3" s="21"/>
      <c r="G3" s="21"/>
      <c r="H3" s="21"/>
      <c r="I3" s="21"/>
      <c r="J3" s="21"/>
      <c r="K3" s="21"/>
      <c r="L3" s="21"/>
      <c r="M3" s="21"/>
      <c r="N3" s="21"/>
      <c r="O3" s="21"/>
      <c r="P3" s="21"/>
      <c r="Q3" s="21"/>
      <c r="R3" s="21"/>
      <c r="S3" s="21"/>
      <c r="T3" s="21"/>
      <c r="U3" s="21"/>
      <c r="V3" s="21"/>
      <c r="W3" s="21"/>
      <c r="X3" s="21"/>
      <c r="Y3" s="21"/>
      <c r="Z3" s="21"/>
      <c r="AA3" s="21"/>
      <c r="AB3" s="21"/>
      <c r="AC3" s="21"/>
      <c r="AD3" s="21"/>
      <c r="AE3" s="21"/>
      <c r="AF3" s="21"/>
      <c r="AG3" s="22"/>
      <c r="AH3" s="22"/>
      <c r="AI3" s="23"/>
      <c r="AJ3" s="3343" t="s">
        <v>9</v>
      </c>
      <c r="AK3" s="3986"/>
      <c r="AL3" s="17"/>
      <c r="AM3" s="3639"/>
      <c r="AN3" s="3640"/>
      <c r="AO3" s="3746"/>
      <c r="AP3" s="7"/>
      <c r="AQ3" s="17"/>
      <c r="AR3" s="17"/>
      <c r="AS3" s="17"/>
      <c r="AT3" s="9">
        <v>30</v>
      </c>
    </row>
    <row r="4" spans="1:46" ht="15.75" customHeight="1">
      <c r="A4" s="3747"/>
      <c r="B4" s="25"/>
      <c r="C4" s="25"/>
      <c r="D4" s="25"/>
      <c r="E4" s="25"/>
      <c r="F4" s="17"/>
      <c r="G4" s="17"/>
      <c r="H4" s="17"/>
      <c r="I4" s="17"/>
      <c r="J4" s="17"/>
      <c r="K4" s="17"/>
      <c r="L4" s="17"/>
      <c r="M4" s="17"/>
      <c r="N4" s="17"/>
      <c r="O4" s="17"/>
      <c r="P4" s="17"/>
      <c r="Q4" s="26"/>
      <c r="R4" s="26"/>
      <c r="S4" s="26"/>
      <c r="T4" s="26"/>
      <c r="U4" s="21"/>
      <c r="V4" s="21"/>
      <c r="W4" s="21"/>
      <c r="X4" s="21"/>
      <c r="Y4" s="21"/>
      <c r="Z4" s="21"/>
      <c r="AA4" s="21"/>
      <c r="AB4" s="21"/>
      <c r="AC4" s="21"/>
      <c r="AD4" s="21"/>
      <c r="AE4" s="21"/>
      <c r="AF4" s="21"/>
      <c r="AG4" s="27"/>
      <c r="AH4" s="3749" t="s">
        <v>10</v>
      </c>
      <c r="AI4" s="3750">
        <v>7</v>
      </c>
      <c r="AJ4" s="3751"/>
      <c r="AK4" s="3987"/>
      <c r="AL4" s="17"/>
      <c r="AM4" s="3720" t="s">
        <v>11</v>
      </c>
      <c r="AN4" s="3721"/>
      <c r="AO4" s="3722"/>
      <c r="AP4" s="7"/>
      <c r="AQ4" s="17"/>
      <c r="AR4" s="17"/>
      <c r="AS4" s="17"/>
      <c r="AT4" s="9">
        <v>15.75</v>
      </c>
    </row>
    <row r="5" spans="1:46" ht="15.75" customHeight="1">
      <c r="A5" s="3747"/>
      <c r="B5" s="28" t="s">
        <v>12</v>
      </c>
      <c r="C5" s="29" t="s">
        <v>701</v>
      </c>
      <c r="D5" s="29"/>
      <c r="E5" s="29" t="s">
        <v>6715</v>
      </c>
      <c r="F5" s="30"/>
      <c r="G5" s="25"/>
      <c r="H5" s="25"/>
      <c r="I5" s="25"/>
      <c r="J5" s="25"/>
      <c r="K5" s="26"/>
      <c r="L5" s="26"/>
      <c r="M5" s="26"/>
      <c r="N5" s="26"/>
      <c r="O5" s="26"/>
      <c r="P5" s="26"/>
      <c r="Q5" s="26"/>
      <c r="R5" s="26"/>
      <c r="S5" s="26"/>
      <c r="T5" s="26"/>
      <c r="U5" s="21"/>
      <c r="V5" s="21"/>
      <c r="W5" s="21"/>
      <c r="X5" s="21"/>
      <c r="Y5" s="21"/>
      <c r="Z5" s="21"/>
      <c r="AA5" s="21"/>
      <c r="AB5" s="21"/>
      <c r="AC5" s="21"/>
      <c r="AD5" s="21"/>
      <c r="AE5" s="21"/>
      <c r="AF5" s="21"/>
      <c r="AG5" s="31"/>
      <c r="AH5" s="3749"/>
      <c r="AI5" s="3750"/>
      <c r="AJ5" s="3751"/>
      <c r="AK5" s="3987"/>
      <c r="AL5" s="17"/>
      <c r="AM5" s="3732" t="s">
        <v>13</v>
      </c>
      <c r="AN5" s="3733"/>
      <c r="AO5" s="3734"/>
      <c r="AP5" s="7"/>
      <c r="AQ5" s="17"/>
      <c r="AR5" s="17"/>
      <c r="AS5" s="17"/>
      <c r="AT5" s="9">
        <v>15.75</v>
      </c>
    </row>
    <row r="6" spans="1:46" ht="15.75" customHeight="1">
      <c r="A6" s="3747"/>
      <c r="B6" s="25"/>
      <c r="C6" s="25"/>
      <c r="D6" s="25"/>
      <c r="E6" s="25"/>
      <c r="F6" s="32"/>
      <c r="G6" s="32"/>
      <c r="H6" s="26"/>
      <c r="I6" s="26"/>
      <c r="J6" s="26"/>
      <c r="K6" s="26"/>
      <c r="L6" s="26"/>
      <c r="M6" s="26"/>
      <c r="N6" s="26"/>
      <c r="O6" s="26"/>
      <c r="P6" s="26"/>
      <c r="Q6" s="26"/>
      <c r="R6" s="26"/>
      <c r="S6" s="26"/>
      <c r="T6" s="26"/>
      <c r="U6" s="21"/>
      <c r="V6" s="21"/>
      <c r="W6" s="21"/>
      <c r="X6" s="21"/>
      <c r="Y6" s="21"/>
      <c r="Z6" s="33"/>
      <c r="AA6" s="21"/>
      <c r="AB6" s="21"/>
      <c r="AC6" s="21"/>
      <c r="AD6" s="21"/>
      <c r="AE6" s="21"/>
      <c r="AF6" s="21"/>
      <c r="AG6" s="31"/>
      <c r="AH6" s="31"/>
      <c r="AI6" s="31"/>
      <c r="AJ6" s="3342"/>
      <c r="AK6" s="3987"/>
      <c r="AL6" s="17"/>
      <c r="AM6" s="35" t="s">
        <v>14</v>
      </c>
      <c r="AN6" s="3753" t="s">
        <v>15</v>
      </c>
      <c r="AO6" s="3880"/>
      <c r="AP6" s="7"/>
      <c r="AQ6" s="17"/>
      <c r="AR6" s="17"/>
      <c r="AS6" s="17"/>
      <c r="AT6" s="9">
        <v>15.75</v>
      </c>
    </row>
    <row r="7" spans="1:46" ht="15.75" customHeight="1">
      <c r="A7" s="3747"/>
      <c r="B7" s="25"/>
      <c r="C7" s="25"/>
      <c r="D7" s="25"/>
      <c r="E7" s="25"/>
      <c r="F7" s="36"/>
      <c r="G7" s="36"/>
      <c r="H7" s="21"/>
      <c r="I7" s="21"/>
      <c r="J7" s="21"/>
      <c r="K7" s="21"/>
      <c r="L7" s="21"/>
      <c r="M7" s="21"/>
      <c r="N7" s="21"/>
      <c r="O7" s="21"/>
      <c r="P7" s="21"/>
      <c r="Q7" s="21"/>
      <c r="R7" s="21"/>
      <c r="S7" s="21"/>
      <c r="T7" s="21"/>
      <c r="U7" s="21"/>
      <c r="V7" s="21"/>
      <c r="W7" s="37">
        <f>AC8</f>
        <v>722</v>
      </c>
      <c r="X7" s="38" t="s">
        <v>16</v>
      </c>
      <c r="Y7" s="21"/>
      <c r="Z7" s="33"/>
      <c r="AA7" s="21"/>
      <c r="AB7" s="21"/>
      <c r="AC7" s="21"/>
      <c r="AD7" s="21"/>
      <c r="AE7" s="21"/>
      <c r="AF7" s="21"/>
      <c r="AG7" s="31"/>
      <c r="AH7" s="31"/>
      <c r="AI7" s="31"/>
      <c r="AJ7" s="3341"/>
      <c r="AK7" s="3987"/>
      <c r="AL7" s="17"/>
      <c r="AM7" s="3755" t="s">
        <v>17</v>
      </c>
      <c r="AN7" s="3756"/>
      <c r="AO7" s="3890" t="str">
        <f>LEFT(ADDRESS(1,COLUMN(G14),4),LEN(ADDRESS(1,COLUMN(G14),4))-1)</f>
        <v>G</v>
      </c>
      <c r="AP7" s="7"/>
      <c r="AQ7" s="17"/>
      <c r="AR7" s="17"/>
      <c r="AS7" s="17"/>
      <c r="AT7" s="9">
        <v>15.75</v>
      </c>
    </row>
    <row r="8" spans="1:46" ht="15.75" customHeight="1">
      <c r="A8" s="3747"/>
      <c r="B8" s="40" t="s">
        <v>19</v>
      </c>
      <c r="C8" s="40"/>
      <c r="D8" s="41"/>
      <c r="E8" s="42" t="s">
        <v>20</v>
      </c>
      <c r="F8" s="36"/>
      <c r="G8" s="36"/>
      <c r="H8" s="21"/>
      <c r="I8" s="21"/>
      <c r="J8" s="21"/>
      <c r="K8" s="21"/>
      <c r="L8" s="21"/>
      <c r="M8" s="21"/>
      <c r="N8" s="21"/>
      <c r="O8" s="21"/>
      <c r="P8" s="21"/>
      <c r="Q8" s="21"/>
      <c r="R8" s="21"/>
      <c r="S8" s="21"/>
      <c r="T8" s="3758" t="s">
        <v>21</v>
      </c>
      <c r="U8" s="3758"/>
      <c r="V8" s="3758"/>
      <c r="W8" s="3759">
        <f>AJ18</f>
        <v>59.339999999999996</v>
      </c>
      <c r="X8" s="3759"/>
      <c r="Y8" s="3760" t="str">
        <f>C9</f>
        <v>Kg</v>
      </c>
      <c r="Z8" s="3761"/>
      <c r="AA8" s="3992" t="s">
        <v>23</v>
      </c>
      <c r="AB8" s="3993"/>
      <c r="AC8" s="3994">
        <f>AJ13</f>
        <v>722</v>
      </c>
      <c r="AD8" s="3995" t="s">
        <v>16</v>
      </c>
      <c r="AE8" s="3995"/>
      <c r="AF8" s="3996" t="s">
        <v>24</v>
      </c>
      <c r="AG8" s="3996"/>
      <c r="AH8" s="3997">
        <f>AJ18</f>
        <v>59.339999999999996</v>
      </c>
      <c r="AI8" s="3998"/>
      <c r="AJ8" s="3340"/>
      <c r="AK8" s="3987"/>
      <c r="AL8" s="17"/>
      <c r="AM8" s="3755"/>
      <c r="AN8" s="3756"/>
      <c r="AO8" s="3890"/>
      <c r="AP8" s="7"/>
      <c r="AQ8" s="17"/>
      <c r="AR8" s="17"/>
      <c r="AS8" s="17"/>
      <c r="AT8" s="9">
        <v>15.75</v>
      </c>
    </row>
    <row r="9" spans="1:46" ht="15.75" customHeight="1">
      <c r="A9" s="3747"/>
      <c r="B9" s="3776">
        <f>E54</f>
        <v>2.5799999999999996</v>
      </c>
      <c r="C9" s="3777" t="s">
        <v>22</v>
      </c>
      <c r="D9" s="367">
        <v>10</v>
      </c>
      <c r="E9" s="44" t="s">
        <v>25</v>
      </c>
      <c r="F9" s="36"/>
      <c r="G9" s="36"/>
      <c r="H9" s="21"/>
      <c r="I9" s="21"/>
      <c r="J9" s="21"/>
      <c r="K9" s="21"/>
      <c r="L9" s="21"/>
      <c r="M9" s="21"/>
      <c r="N9" s="21"/>
      <c r="O9" s="21"/>
      <c r="P9" s="21"/>
      <c r="Q9" s="21"/>
      <c r="R9" s="21"/>
      <c r="S9" s="21"/>
      <c r="T9" s="3758"/>
      <c r="U9" s="3758"/>
      <c r="V9" s="3758"/>
      <c r="W9" s="3759"/>
      <c r="X9" s="3759"/>
      <c r="Y9" s="3760"/>
      <c r="Z9" s="3761"/>
      <c r="AA9" s="3764"/>
      <c r="AB9" s="3765"/>
      <c r="AC9" s="3767"/>
      <c r="AD9" s="3769"/>
      <c r="AE9" s="3769"/>
      <c r="AF9" s="3771"/>
      <c r="AG9" s="3771"/>
      <c r="AH9" s="3999"/>
      <c r="AI9" s="3775"/>
      <c r="AJ9" s="3339"/>
      <c r="AK9" s="3987"/>
      <c r="AL9" s="17"/>
      <c r="AM9" s="46"/>
      <c r="AN9" s="47" t="s">
        <v>26</v>
      </c>
      <c r="AO9" s="455" t="str">
        <f>LEFT(ADDRESS(1,COLUMN(B11),4),LEN(ADDRESS(1,COLUMN(B11),4))-1)</f>
        <v>B</v>
      </c>
      <c r="AP9" s="7"/>
      <c r="AQ9" s="17"/>
      <c r="AR9" s="17"/>
      <c r="AS9" s="17"/>
      <c r="AT9" s="9">
        <v>15.75</v>
      </c>
    </row>
    <row r="10" spans="1:46" ht="15.75" customHeight="1">
      <c r="A10" s="3747"/>
      <c r="B10" s="3776"/>
      <c r="C10" s="3777"/>
      <c r="D10" s="368" t="s">
        <v>28</v>
      </c>
      <c r="E10" s="49">
        <f>(B9/D9)*1000</f>
        <v>257.99999999999994</v>
      </c>
      <c r="F10" s="50" t="s">
        <v>29</v>
      </c>
      <c r="G10" s="51"/>
      <c r="H10" s="52" t="str">
        <f>SUBSTITUTE(ADDRESS(1,COLUMN(),4),"1","")</f>
        <v>H</v>
      </c>
      <c r="I10" s="21"/>
      <c r="J10" s="21"/>
      <c r="K10" s="21"/>
      <c r="L10" s="21"/>
      <c r="M10" s="21"/>
      <c r="N10" s="21"/>
      <c r="O10" s="21"/>
      <c r="P10" s="21"/>
      <c r="Q10" s="21"/>
      <c r="R10" s="21"/>
      <c r="S10" s="52" t="str">
        <f>SUBSTITUTE(ADDRESS(1,COLUMN(),4),"1","")</f>
        <v>S</v>
      </c>
      <c r="T10" s="3778" t="s">
        <v>32</v>
      </c>
      <c r="U10" s="3778"/>
      <c r="V10" s="51" t="str">
        <f>H10</f>
        <v>H</v>
      </c>
      <c r="W10" s="51" t="s">
        <v>33</v>
      </c>
      <c r="X10" s="51" t="str">
        <f>S10</f>
        <v>S</v>
      </c>
      <c r="Y10" s="51" t="s">
        <v>34</v>
      </c>
      <c r="Z10" s="51"/>
      <c r="AA10" s="53"/>
      <c r="AB10" s="17"/>
      <c r="AC10" s="17"/>
      <c r="AD10" s="17"/>
      <c r="AE10" s="54" t="s">
        <v>35</v>
      </c>
      <c r="AF10" s="55">
        <f>(AJ15/AC8)*1000</f>
        <v>82.18836565096953</v>
      </c>
      <c r="AG10" s="56" t="s">
        <v>36</v>
      </c>
      <c r="AH10" s="55">
        <f>(AJ18/AC8)*1000</f>
        <v>82.18836565096953</v>
      </c>
      <c r="AI10" s="57" t="s">
        <v>37</v>
      </c>
      <c r="AJ10" s="3338"/>
      <c r="AK10" s="3987"/>
      <c r="AL10" s="17"/>
      <c r="AM10" s="59"/>
      <c r="AN10" s="60" t="s">
        <v>38</v>
      </c>
      <c r="AO10" s="455" t="str">
        <f>LEFT(ADDRESS(1,COLUMN(C11),4),LEN(ADDRESS(1,COLUMN(C11),4))-1)</f>
        <v>C</v>
      </c>
      <c r="AP10" s="7"/>
      <c r="AQ10" s="17"/>
      <c r="AR10" s="17"/>
      <c r="AS10" s="17"/>
      <c r="AT10" s="9">
        <v>15.75</v>
      </c>
    </row>
    <row r="11" spans="1:46" ht="15.75" customHeight="1">
      <c r="A11" s="3747"/>
      <c r="B11" s="3779" t="s">
        <v>40</v>
      </c>
      <c r="C11" s="3779" t="s">
        <v>41</v>
      </c>
      <c r="D11" s="3780" t="s">
        <v>42</v>
      </c>
      <c r="E11" s="4000" t="s">
        <v>43</v>
      </c>
      <c r="F11" s="61"/>
      <c r="G11" s="3784" t="s">
        <v>44</v>
      </c>
      <c r="H11" s="62" t="s">
        <v>45</v>
      </c>
      <c r="I11" s="62"/>
      <c r="J11" s="62"/>
      <c r="K11" s="62"/>
      <c r="L11" s="62"/>
      <c r="M11" s="62"/>
      <c r="N11" s="62"/>
      <c r="O11" s="62"/>
      <c r="P11" s="62"/>
      <c r="Q11" s="62"/>
      <c r="R11" s="62"/>
      <c r="S11" s="3337"/>
      <c r="T11" s="3785" t="s">
        <v>46</v>
      </c>
      <c r="U11" s="4002" t="s">
        <v>47</v>
      </c>
      <c r="V11" s="3793" t="s">
        <v>48</v>
      </c>
      <c r="W11" s="3794"/>
      <c r="X11" s="3794"/>
      <c r="Y11" s="3793" t="s">
        <v>49</v>
      </c>
      <c r="Z11" s="3795"/>
      <c r="AA11" s="3796" t="s">
        <v>50</v>
      </c>
      <c r="AB11" s="3797"/>
      <c r="AC11" s="3797"/>
      <c r="AD11" s="3797"/>
      <c r="AE11" s="3797"/>
      <c r="AF11" s="3797"/>
      <c r="AG11" s="3797"/>
      <c r="AH11" s="3797"/>
      <c r="AI11" s="3797"/>
      <c r="AJ11" s="4003"/>
      <c r="AK11" s="3987"/>
      <c r="AL11" s="17"/>
      <c r="AM11" s="59"/>
      <c r="AN11" s="60" t="s">
        <v>51</v>
      </c>
      <c r="AO11" s="455" t="str">
        <f>LEFT(ADDRESS(1,COLUMN(D11),4),LEN(ADDRESS(1,COLUMN(D11),4))-1)</f>
        <v>D</v>
      </c>
      <c r="AP11" s="7"/>
      <c r="AQ11" s="17"/>
      <c r="AR11" s="17"/>
      <c r="AS11" s="17"/>
      <c r="AT11" s="9">
        <v>15.75</v>
      </c>
    </row>
    <row r="12" spans="1:46" ht="18.75" customHeight="1">
      <c r="A12" s="3747"/>
      <c r="B12" s="3779"/>
      <c r="C12" s="3779"/>
      <c r="D12" s="3780"/>
      <c r="E12" s="3782"/>
      <c r="F12" s="61"/>
      <c r="G12" s="3784"/>
      <c r="H12" s="64" t="s">
        <v>53</v>
      </c>
      <c r="I12" s="65">
        <f>AD13</f>
        <v>250</v>
      </c>
      <c r="J12" s="66" t="s">
        <v>54</v>
      </c>
      <c r="K12" s="67">
        <f>AE13</f>
        <v>260</v>
      </c>
      <c r="L12" s="66" t="s">
        <v>2</v>
      </c>
      <c r="M12" s="67">
        <f>AF13</f>
        <v>120</v>
      </c>
      <c r="N12" s="66" t="s">
        <v>55</v>
      </c>
      <c r="O12" s="67">
        <f>AG13</f>
        <v>60</v>
      </c>
      <c r="P12" s="66" t="s">
        <v>56</v>
      </c>
      <c r="Q12" s="67">
        <f>AH13</f>
        <v>20</v>
      </c>
      <c r="R12" s="66" t="s">
        <v>57</v>
      </c>
      <c r="S12" s="3336">
        <f>AI13</f>
        <v>12</v>
      </c>
      <c r="T12" s="3785"/>
      <c r="U12" s="4002"/>
      <c r="V12" s="3793" t="s">
        <v>40</v>
      </c>
      <c r="W12" s="3794" t="s">
        <v>41</v>
      </c>
      <c r="X12" s="3794" t="s">
        <v>20</v>
      </c>
      <c r="Y12" s="3801">
        <f>SUM(Z15:Z53)</f>
        <v>59.339999999999996</v>
      </c>
      <c r="Z12" s="3802"/>
      <c r="AA12" s="53"/>
      <c r="AB12" s="17"/>
      <c r="AC12" s="69" t="s">
        <v>58</v>
      </c>
      <c r="AD12" s="3335" t="s">
        <v>53</v>
      </c>
      <c r="AE12" s="71" t="s">
        <v>54</v>
      </c>
      <c r="AF12" s="72" t="s">
        <v>2</v>
      </c>
      <c r="AG12" s="72" t="s">
        <v>55</v>
      </c>
      <c r="AH12" s="71" t="s">
        <v>56</v>
      </c>
      <c r="AI12" s="71" t="s">
        <v>57</v>
      </c>
      <c r="AJ12" s="3334" t="s">
        <v>23</v>
      </c>
      <c r="AK12" s="3987"/>
      <c r="AL12" s="17"/>
      <c r="AM12" s="74" t="s">
        <v>59</v>
      </c>
      <c r="AN12" s="75" t="s">
        <v>60</v>
      </c>
      <c r="AO12" s="663" t="s">
        <v>61</v>
      </c>
      <c r="AP12" s="7"/>
      <c r="AQ12" s="17"/>
      <c r="AR12" s="17"/>
      <c r="AS12" s="17"/>
      <c r="AT12" s="9">
        <v>18.75</v>
      </c>
    </row>
    <row r="13" spans="1:46" ht="18" customHeight="1">
      <c r="A13" s="3747"/>
      <c r="B13" s="3779"/>
      <c r="C13" s="3779"/>
      <c r="D13" s="3780"/>
      <c r="E13" s="4001"/>
      <c r="F13" s="61"/>
      <c r="G13" s="3784"/>
      <c r="H13" s="77">
        <f>I13/I12</f>
        <v>0.05</v>
      </c>
      <c r="I13" s="78">
        <f>(Y12/W8)*AD18</f>
        <v>12.5</v>
      </c>
      <c r="J13" s="79">
        <f>K13/K12</f>
        <v>0.08</v>
      </c>
      <c r="K13" s="80">
        <f>(Y12/W8)*AE18</f>
        <v>20.8</v>
      </c>
      <c r="L13" s="79">
        <f>M13/M12</f>
        <v>0.125</v>
      </c>
      <c r="M13" s="80">
        <f>(Y12/W8)*AF18</f>
        <v>15</v>
      </c>
      <c r="N13" s="79">
        <f>O13/O12</f>
        <v>0.14000000000000001</v>
      </c>
      <c r="O13" s="80">
        <f>(Y12/W8)*AG18</f>
        <v>8.4</v>
      </c>
      <c r="P13" s="79">
        <f>Q13/Q12</f>
        <v>9.0000000000000011E-2</v>
      </c>
      <c r="Q13" s="80">
        <f>(Y12/W8)*AH18</f>
        <v>1.8000000000000003</v>
      </c>
      <c r="R13" s="79">
        <f>S13/S12</f>
        <v>6.9999999999999993E-2</v>
      </c>
      <c r="S13" s="81">
        <f>(Y12/W8)*AI18</f>
        <v>0.84</v>
      </c>
      <c r="T13" s="3785"/>
      <c r="U13" s="4002"/>
      <c r="V13" s="3799"/>
      <c r="W13" s="3800"/>
      <c r="X13" s="3800"/>
      <c r="Y13" s="82" t="s">
        <v>62</v>
      </c>
      <c r="Z13" s="371">
        <f>(Y12/W8)*1</f>
        <v>1</v>
      </c>
      <c r="AA13" s="53"/>
      <c r="AB13" s="17"/>
      <c r="AC13" s="69" t="s">
        <v>63</v>
      </c>
      <c r="AD13" s="83">
        <v>250</v>
      </c>
      <c r="AE13" s="84">
        <v>260</v>
      </c>
      <c r="AF13" s="85">
        <v>120</v>
      </c>
      <c r="AG13" s="85">
        <v>60</v>
      </c>
      <c r="AH13" s="86">
        <v>20</v>
      </c>
      <c r="AI13" s="84">
        <v>12</v>
      </c>
      <c r="AJ13" s="87">
        <f>SUM(AD13:AI13)</f>
        <v>722</v>
      </c>
      <c r="AK13" s="3987"/>
      <c r="AL13" s="17"/>
      <c r="AM13" s="3718" t="s">
        <v>64</v>
      </c>
      <c r="AN13" s="3650" t="s">
        <v>41</v>
      </c>
      <c r="AO13" s="3652" t="s">
        <v>65</v>
      </c>
      <c r="AP13" s="7"/>
      <c r="AQ13" s="17"/>
      <c r="AR13" s="17"/>
      <c r="AS13" s="17"/>
      <c r="AT13" s="9">
        <v>18</v>
      </c>
    </row>
    <row r="14" spans="1:46" ht="18" customHeight="1">
      <c r="A14" s="3747"/>
      <c r="B14" s="3333"/>
      <c r="C14" s="3332"/>
      <c r="D14" s="3331"/>
      <c r="E14" s="3331"/>
      <c r="F14" s="91">
        <v>0</v>
      </c>
      <c r="G14" s="92" t="s">
        <v>66</v>
      </c>
      <c r="H14" s="93" t="s">
        <v>36</v>
      </c>
      <c r="I14" s="94" t="s">
        <v>37</v>
      </c>
      <c r="J14" s="95" t="s">
        <v>36</v>
      </c>
      <c r="K14" s="94" t="s">
        <v>37</v>
      </c>
      <c r="L14" s="95" t="s">
        <v>36</v>
      </c>
      <c r="M14" s="94" t="s">
        <v>37</v>
      </c>
      <c r="N14" s="95" t="s">
        <v>36</v>
      </c>
      <c r="O14" s="94" t="s">
        <v>37</v>
      </c>
      <c r="P14" s="95" t="s">
        <v>36</v>
      </c>
      <c r="Q14" s="94" t="s">
        <v>37</v>
      </c>
      <c r="R14" s="95" t="s">
        <v>36</v>
      </c>
      <c r="S14" s="96" t="s">
        <v>37</v>
      </c>
      <c r="T14" s="97"/>
      <c r="U14" s="98"/>
      <c r="V14" s="99"/>
      <c r="W14" s="100"/>
      <c r="X14" s="101"/>
      <c r="Y14" s="102"/>
      <c r="Z14" s="102"/>
      <c r="AA14" s="53"/>
      <c r="AB14" s="17"/>
      <c r="AC14" s="103" t="s">
        <v>67</v>
      </c>
      <c r="AD14" s="104">
        <v>50</v>
      </c>
      <c r="AE14" s="104">
        <v>80</v>
      </c>
      <c r="AF14" s="104">
        <v>125</v>
      </c>
      <c r="AG14" s="104">
        <v>140</v>
      </c>
      <c r="AH14" s="104">
        <v>90</v>
      </c>
      <c r="AI14" s="104">
        <v>70</v>
      </c>
      <c r="AJ14" s="3330" t="s">
        <v>68</v>
      </c>
      <c r="AK14" s="3987"/>
      <c r="AL14" s="17"/>
      <c r="AM14" s="3935"/>
      <c r="AN14" s="3936"/>
      <c r="AO14" s="3937"/>
      <c r="AP14" s="7"/>
      <c r="AQ14" s="17"/>
      <c r="AR14" s="17"/>
      <c r="AS14" s="17"/>
      <c r="AT14" s="9">
        <v>18</v>
      </c>
    </row>
    <row r="15" spans="1:46" ht="15.95" customHeight="1">
      <c r="A15" s="3747"/>
      <c r="B15" s="106"/>
      <c r="C15" s="3301"/>
      <c r="D15" s="107">
        <v>1.7</v>
      </c>
      <c r="E15" s="108">
        <f t="shared" ref="E15:E52" si="0">IF(ISTEXT(B15),0,IF(ISBLANK(B15),D15,(D15*B15)))</f>
        <v>1.7</v>
      </c>
      <c r="F15" s="109">
        <f>IF(ISBLANK(G15),"",LARGE(F14:F14,1)+1)</f>
        <v>1</v>
      </c>
      <c r="G15" s="110" t="s">
        <v>6714</v>
      </c>
      <c r="H15" s="111">
        <f>(U15/AJ15)*AD15</f>
        <v>6.5891472868217065</v>
      </c>
      <c r="I15" s="112">
        <f>(X15/AJ18)*AD18</f>
        <v>8.2364341085271331</v>
      </c>
      <c r="J15" s="113">
        <f>(U15/AJ15)*AE15</f>
        <v>10.96434108527132</v>
      </c>
      <c r="K15" s="114">
        <f>(X15/AJ18)*AE18</f>
        <v>13.705426356589149</v>
      </c>
      <c r="L15" s="113">
        <f>(U15/AJ15)*AF15</f>
        <v>7.9069767441860472</v>
      </c>
      <c r="M15" s="114">
        <f>(X15/AJ18)*AF18</f>
        <v>9.8837209302325597</v>
      </c>
      <c r="N15" s="113">
        <f>(U15/AJ15)*AG15</f>
        <v>4.427906976744187</v>
      </c>
      <c r="O15" s="114">
        <f>(X15/AJ18)*AG18</f>
        <v>5.5348837209302335</v>
      </c>
      <c r="P15" s="113">
        <f>(U15/AJ15)*AH15</f>
        <v>0.94883720930232573</v>
      </c>
      <c r="Q15" s="114">
        <f>(X15/AJ18)*AH18</f>
        <v>1.1860465116279073</v>
      </c>
      <c r="R15" s="112">
        <f>(U15/AJ15)*AI15</f>
        <v>0.44279069767441864</v>
      </c>
      <c r="S15" s="115">
        <f>(X15/AJ18)*AI18</f>
        <v>0.55348837209302326</v>
      </c>
      <c r="T15" s="116">
        <v>20</v>
      </c>
      <c r="U15" s="369">
        <f t="shared" ref="U15:U52" si="1">IF(E15=0,0,((X15-(X15*T15%))))</f>
        <v>31.28</v>
      </c>
      <c r="V15" s="148">
        <f>IF(ISTEXT(B15),B15,(B15/B9)*W8)</f>
        <v>0</v>
      </c>
      <c r="W15" s="119">
        <f t="shared" ref="W15:W52" si="2">C15</f>
        <v>0</v>
      </c>
      <c r="X15" s="117">
        <f>(E15/B9)*W8</f>
        <v>39.1</v>
      </c>
      <c r="Y15" s="120">
        <v>1</v>
      </c>
      <c r="Z15" s="372">
        <f t="shared" ref="Z15:Z52" si="3">IF(ISBLANK(D15),V15*Y15,X15*Y15)</f>
        <v>39.1</v>
      </c>
      <c r="AA15" s="122"/>
      <c r="AB15" s="110"/>
      <c r="AC15" s="123" t="s">
        <v>70</v>
      </c>
      <c r="AD15" s="124">
        <f t="shared" ref="AD15:AI15" si="4">(AD14*AD13)/1000</f>
        <v>12.5</v>
      </c>
      <c r="AE15" s="124">
        <f t="shared" si="4"/>
        <v>20.8</v>
      </c>
      <c r="AF15" s="124">
        <f t="shared" si="4"/>
        <v>15</v>
      </c>
      <c r="AG15" s="124">
        <f t="shared" si="4"/>
        <v>8.4</v>
      </c>
      <c r="AH15" s="124">
        <f t="shared" si="4"/>
        <v>1.8</v>
      </c>
      <c r="AI15" s="124">
        <f t="shared" si="4"/>
        <v>0.84</v>
      </c>
      <c r="AJ15" s="1628">
        <f>SUM(AD15:AI15)</f>
        <v>59.339999999999996</v>
      </c>
      <c r="AK15" s="3987"/>
      <c r="AL15" s="17"/>
      <c r="AM15" s="126">
        <v>2</v>
      </c>
      <c r="AN15" s="127" t="s">
        <v>71</v>
      </c>
      <c r="AO15" s="633">
        <v>0.05</v>
      </c>
      <c r="AP15" s="7"/>
      <c r="AQ15" s="17"/>
      <c r="AR15" s="17"/>
      <c r="AS15" s="17"/>
      <c r="AT15" s="9">
        <v>16</v>
      </c>
    </row>
    <row r="16" spans="1:46" ht="15.95" customHeight="1">
      <c r="A16" s="3747"/>
      <c r="B16" s="364"/>
      <c r="C16" s="3300"/>
      <c r="D16" s="129">
        <v>0.15</v>
      </c>
      <c r="E16" s="130">
        <f t="shared" si="0"/>
        <v>0.15</v>
      </c>
      <c r="F16" s="131">
        <f>IF(ISBLANK(G16),"",LARGE(F14:F15,1)+1)</f>
        <v>2</v>
      </c>
      <c r="G16" s="110" t="s">
        <v>6682</v>
      </c>
      <c r="H16" s="132">
        <f>(U16/AJ15)*AD15</f>
        <v>0.5450581395348838</v>
      </c>
      <c r="I16" s="133">
        <f>(X16/AJ18)*AD18</f>
        <v>0.7267441860465117</v>
      </c>
      <c r="J16" s="134">
        <f>(U16/AJ15)*AE15</f>
        <v>0.90697674418604668</v>
      </c>
      <c r="K16" s="135">
        <f>(X16/AJ18)*AE18</f>
        <v>1.2093023255813955</v>
      </c>
      <c r="L16" s="134">
        <f>(U16/AJ15)*AF15</f>
        <v>0.65406976744186063</v>
      </c>
      <c r="M16" s="135">
        <f>(X16/AJ18)*AF18</f>
        <v>0.87209302325581406</v>
      </c>
      <c r="N16" s="134">
        <f>(U16/AJ15)*AG15</f>
        <v>0.36627906976744196</v>
      </c>
      <c r="O16" s="135">
        <f>(X16/AJ18)*AG18</f>
        <v>0.4883720930232559</v>
      </c>
      <c r="P16" s="134">
        <f>(U16/AJ15)*AH15</f>
        <v>7.848837209302327E-2</v>
      </c>
      <c r="Q16" s="135">
        <f>(X16/AJ18)*AH18</f>
        <v>0.10465116279069771</v>
      </c>
      <c r="R16" s="133">
        <f>(U16/AJ15)*AI15</f>
        <v>3.6627906976744194E-2</v>
      </c>
      <c r="S16" s="136">
        <f>(X16/AJ18)*AI18</f>
        <v>4.8837209302325588E-2</v>
      </c>
      <c r="T16" s="116">
        <v>25</v>
      </c>
      <c r="U16" s="370">
        <f t="shared" si="1"/>
        <v>2.5875000000000004</v>
      </c>
      <c r="V16" s="138">
        <f>IF(ISTEXT(B16),B16,(B16/B9)*W8)</f>
        <v>0</v>
      </c>
      <c r="W16" s="139">
        <f t="shared" si="2"/>
        <v>0</v>
      </c>
      <c r="X16" s="137">
        <f>(E16/B9)*W8</f>
        <v>3.45</v>
      </c>
      <c r="Y16" s="120">
        <v>1</v>
      </c>
      <c r="Z16" s="372">
        <f t="shared" si="3"/>
        <v>3.45</v>
      </c>
      <c r="AA16" s="140"/>
      <c r="AB16" s="141">
        <v>0</v>
      </c>
      <c r="AC16" s="142" t="s">
        <v>72</v>
      </c>
      <c r="AD16" s="143"/>
      <c r="AE16" s="17"/>
      <c r="AF16" s="17"/>
      <c r="AG16" s="17"/>
      <c r="AH16" s="17"/>
      <c r="AI16" s="17"/>
      <c r="AJ16" s="3329"/>
      <c r="AK16" s="3987"/>
      <c r="AL16" s="17"/>
      <c r="AM16" s="145"/>
      <c r="AN16" s="146" t="s">
        <v>73</v>
      </c>
      <c r="AO16" s="635"/>
      <c r="AP16" s="7"/>
      <c r="AQ16" s="17"/>
      <c r="AR16" s="17"/>
      <c r="AS16" s="17"/>
      <c r="AT16" s="9">
        <v>16</v>
      </c>
    </row>
    <row r="17" spans="1:46" ht="15.95" customHeight="1">
      <c r="A17" s="3747"/>
      <c r="B17" s="106"/>
      <c r="C17" s="3301"/>
      <c r="D17" s="107">
        <v>0.5</v>
      </c>
      <c r="E17" s="108">
        <f t="shared" si="0"/>
        <v>0.5</v>
      </c>
      <c r="F17" s="109">
        <f>IF(ISBLANK(G17),"",LARGE(F14:F16,1)+1)</f>
        <v>3</v>
      </c>
      <c r="G17" s="110" t="s">
        <v>6713</v>
      </c>
      <c r="H17" s="111">
        <f>(U17/AJ15)*AD15</f>
        <v>1.2112403100775195</v>
      </c>
      <c r="I17" s="112">
        <f>(X17/AJ18)*AD18</f>
        <v>2.4224806201550391</v>
      </c>
      <c r="J17" s="113">
        <f>(U17/AJ15)*AE15</f>
        <v>2.0155038759689927</v>
      </c>
      <c r="K17" s="114">
        <f>(X17/AJ18)*AE18</f>
        <v>4.0310077519379854</v>
      </c>
      <c r="L17" s="113">
        <f>(U17/AJ15)*AF15</f>
        <v>1.4534883720930236</v>
      </c>
      <c r="M17" s="114">
        <f>(X17/AJ18)*AF18</f>
        <v>2.9069767441860472</v>
      </c>
      <c r="N17" s="113">
        <f>(U17/AJ15)*AG15</f>
        <v>0.81395348837209325</v>
      </c>
      <c r="O17" s="114">
        <f>(X17/AJ18)*AG18</f>
        <v>1.6279069767441865</v>
      </c>
      <c r="P17" s="113">
        <f>(U17/AJ15)*AH15</f>
        <v>0.17441860465116282</v>
      </c>
      <c r="Q17" s="114">
        <f>(X17/AJ18)*AH18</f>
        <v>0.3488372093023257</v>
      </c>
      <c r="R17" s="112">
        <f>(U17/AJ15)*AI15</f>
        <v>8.1395348837209322E-2</v>
      </c>
      <c r="S17" s="115">
        <f>(X17/AJ18)*AI18</f>
        <v>0.16279069767441864</v>
      </c>
      <c r="T17" s="116">
        <v>50</v>
      </c>
      <c r="U17" s="369">
        <f t="shared" si="1"/>
        <v>5.7500000000000009</v>
      </c>
      <c r="V17" s="148">
        <f>IF(ISTEXT(B17),B17,(B17/B9)*W8)</f>
        <v>0</v>
      </c>
      <c r="W17" s="119">
        <f t="shared" si="2"/>
        <v>0</v>
      </c>
      <c r="X17" s="117">
        <f>(E17/B9)*W8</f>
        <v>11.500000000000002</v>
      </c>
      <c r="Y17" s="120">
        <v>1</v>
      </c>
      <c r="Z17" s="372">
        <f t="shared" si="3"/>
        <v>11.500000000000002</v>
      </c>
      <c r="AA17" s="53"/>
      <c r="AB17" s="17"/>
      <c r="AC17" s="123" t="s">
        <v>74</v>
      </c>
      <c r="AD17" s="149">
        <f>AD14/(100-AB16)*100</f>
        <v>50</v>
      </c>
      <c r="AE17" s="149">
        <f>AE14/(100-AB16)*100</f>
        <v>80</v>
      </c>
      <c r="AF17" s="149">
        <f>AF14/(100-AB16)*100</f>
        <v>125</v>
      </c>
      <c r="AG17" s="149">
        <f>AG14/(100-AB16)*100</f>
        <v>140</v>
      </c>
      <c r="AH17" s="149">
        <f>AH14/(100-AB16)*100</f>
        <v>90</v>
      </c>
      <c r="AI17" s="149">
        <f>AI14/(100-AB16)*100</f>
        <v>70</v>
      </c>
      <c r="AJ17" s="3328" t="s">
        <v>75</v>
      </c>
      <c r="AK17" s="3987"/>
      <c r="AL17" s="17"/>
      <c r="AM17" s="126"/>
      <c r="AN17" s="127"/>
      <c r="AO17" s="633">
        <v>0.15</v>
      </c>
      <c r="AP17" s="151"/>
      <c r="AQ17" s="17"/>
      <c r="AR17" s="17"/>
      <c r="AS17" s="17"/>
      <c r="AT17" s="9">
        <v>16</v>
      </c>
    </row>
    <row r="18" spans="1:46" ht="15.95" customHeight="1">
      <c r="A18" s="3747"/>
      <c r="B18" s="364"/>
      <c r="C18" s="3300"/>
      <c r="D18" s="129">
        <v>0.03</v>
      </c>
      <c r="E18" s="130">
        <f t="shared" si="0"/>
        <v>0.03</v>
      </c>
      <c r="F18" s="131">
        <f>IF(ISBLANK(G18),"",LARGE(F14:F17,1)+1)</f>
        <v>4</v>
      </c>
      <c r="G18" s="110" t="s">
        <v>6712</v>
      </c>
      <c r="H18" s="132">
        <f>(U18/AJ15)*AD15</f>
        <v>0.14534883720930233</v>
      </c>
      <c r="I18" s="133">
        <f>(X18/AJ18)*AD18</f>
        <v>0.14534883720930233</v>
      </c>
      <c r="J18" s="134">
        <f>(U18/AJ15)*AE15</f>
        <v>0.24186046511627912</v>
      </c>
      <c r="K18" s="135">
        <f>(X18/AJ18)*AE18</f>
        <v>0.24186046511627912</v>
      </c>
      <c r="L18" s="134">
        <f>(U18/AJ15)*AF15</f>
        <v>0.17441860465116282</v>
      </c>
      <c r="M18" s="135">
        <f>(X18/AJ18)*AF18</f>
        <v>0.17441860465116282</v>
      </c>
      <c r="N18" s="134">
        <f>(U18/AJ15)*AG15</f>
        <v>9.7674418604651175E-2</v>
      </c>
      <c r="O18" s="135">
        <f>(X18/AJ18)*AG18</f>
        <v>9.7674418604651175E-2</v>
      </c>
      <c r="P18" s="134">
        <f>(U18/AJ15)*AH15</f>
        <v>2.0930232558139538E-2</v>
      </c>
      <c r="Q18" s="135">
        <f>(X18/AJ18)*AH18</f>
        <v>2.0930232558139542E-2</v>
      </c>
      <c r="R18" s="133">
        <f>(U18/AJ15)*AI15</f>
        <v>9.7674418604651175E-3</v>
      </c>
      <c r="S18" s="136">
        <f>(X18/AJ18)*AI18</f>
        <v>9.7674418604651175E-3</v>
      </c>
      <c r="T18" s="116"/>
      <c r="U18" s="370">
        <f t="shared" si="1"/>
        <v>0.69000000000000006</v>
      </c>
      <c r="V18" s="138">
        <f>IF(ISTEXT(B18),B18,(B18/B9)*W8)</f>
        <v>0</v>
      </c>
      <c r="W18" s="139">
        <f t="shared" si="2"/>
        <v>0</v>
      </c>
      <c r="X18" s="137">
        <f>(E18/B9)*W8</f>
        <v>0.69000000000000006</v>
      </c>
      <c r="Y18" s="120">
        <v>1</v>
      </c>
      <c r="Z18" s="372">
        <f t="shared" si="3"/>
        <v>0.69000000000000006</v>
      </c>
      <c r="AA18" s="53"/>
      <c r="AB18" s="17"/>
      <c r="AC18" s="123" t="s">
        <v>76</v>
      </c>
      <c r="AD18" s="153">
        <f>AD15/(100-AB16)*100</f>
        <v>12.5</v>
      </c>
      <c r="AE18" s="153">
        <f>AE15/(100-AB16)*100</f>
        <v>20.8</v>
      </c>
      <c r="AF18" s="153">
        <f>AF15/(100-AB16)*100</f>
        <v>15</v>
      </c>
      <c r="AG18" s="153">
        <f>AG15/(100-AB16)*100</f>
        <v>8.4</v>
      </c>
      <c r="AH18" s="153">
        <f>AH15/(100-AB16)*100</f>
        <v>1.8000000000000003</v>
      </c>
      <c r="AI18" s="153">
        <f>AI15/(100-AB16)*100</f>
        <v>0.84</v>
      </c>
      <c r="AJ18" s="3327">
        <f>SUM(AD18:AI18)</f>
        <v>59.339999999999996</v>
      </c>
      <c r="AK18" s="3987"/>
      <c r="AL18" s="17"/>
      <c r="AM18" s="145"/>
      <c r="AN18" s="146" t="s">
        <v>77</v>
      </c>
      <c r="AO18" s="635"/>
      <c r="AP18" s="151"/>
      <c r="AQ18" s="17"/>
      <c r="AR18" s="17"/>
      <c r="AS18" s="17"/>
      <c r="AT18" s="9">
        <v>16</v>
      </c>
    </row>
    <row r="19" spans="1:46" ht="15.95" customHeight="1">
      <c r="A19" s="3747"/>
      <c r="B19" s="106"/>
      <c r="C19" s="3301"/>
      <c r="D19" s="107"/>
      <c r="E19" s="108">
        <f t="shared" si="0"/>
        <v>0</v>
      </c>
      <c r="F19" s="109" t="str">
        <f>IF(ISBLANK(G19),"",LARGE(F14:F18,1)+1)</f>
        <v/>
      </c>
      <c r="G19" s="110"/>
      <c r="H19" s="111">
        <f>(U19/AJ15)*AD15</f>
        <v>0</v>
      </c>
      <c r="I19" s="112">
        <f>(X19/AJ18)*AD18</f>
        <v>0</v>
      </c>
      <c r="J19" s="113">
        <f>(U19/AJ15)*AE15</f>
        <v>0</v>
      </c>
      <c r="K19" s="114">
        <f>(X19/AJ18)*AE18</f>
        <v>0</v>
      </c>
      <c r="L19" s="113">
        <f>(U19/AJ15)*AF15</f>
        <v>0</v>
      </c>
      <c r="M19" s="114">
        <f>(X19/AJ18)*AF18</f>
        <v>0</v>
      </c>
      <c r="N19" s="113">
        <f>(U19/AJ15)*AG15</f>
        <v>0</v>
      </c>
      <c r="O19" s="114">
        <f>(X19/AJ18)*AG18</f>
        <v>0</v>
      </c>
      <c r="P19" s="113">
        <f>(U19/AJ15)*AH15</f>
        <v>0</v>
      </c>
      <c r="Q19" s="114">
        <f>(X19/AJ18)*AH18</f>
        <v>0</v>
      </c>
      <c r="R19" s="112">
        <f>(U19/AJ15)*AI15</f>
        <v>0</v>
      </c>
      <c r="S19" s="115">
        <f>(X19/AJ18)*AI18</f>
        <v>0</v>
      </c>
      <c r="T19" s="116"/>
      <c r="U19" s="369">
        <f t="shared" si="1"/>
        <v>0</v>
      </c>
      <c r="V19" s="148">
        <f>IF(ISTEXT(B19),B19,(B19/B9)*W8)</f>
        <v>0</v>
      </c>
      <c r="W19" s="119">
        <f t="shared" si="2"/>
        <v>0</v>
      </c>
      <c r="X19" s="117">
        <f>(E19/B9)*W8</f>
        <v>0</v>
      </c>
      <c r="Y19" s="120"/>
      <c r="Z19" s="372">
        <f t="shared" si="3"/>
        <v>0</v>
      </c>
      <c r="AA19" s="122"/>
      <c r="AB19" s="110"/>
      <c r="AC19" s="123" t="s">
        <v>78</v>
      </c>
      <c r="AD19" s="155">
        <f t="shared" ref="AD19:AI19" si="5">IF(ISBLANK(AD17),0,1/AD17*1000)</f>
        <v>20</v>
      </c>
      <c r="AE19" s="155">
        <f t="shared" si="5"/>
        <v>12.5</v>
      </c>
      <c r="AF19" s="155">
        <f t="shared" si="5"/>
        <v>8</v>
      </c>
      <c r="AG19" s="155">
        <f t="shared" si="5"/>
        <v>7.1428571428571423</v>
      </c>
      <c r="AH19" s="155">
        <f t="shared" si="5"/>
        <v>11.111111111111111</v>
      </c>
      <c r="AI19" s="155">
        <f t="shared" si="5"/>
        <v>14.285714285714285</v>
      </c>
      <c r="AJ19" s="3326" t="str">
        <f>ADDRESS(ROW(AJ18),COLUMN(AJ18),4)</f>
        <v>AJ18</v>
      </c>
      <c r="AK19" s="3987"/>
      <c r="AL19" s="17"/>
      <c r="AM19" s="126">
        <v>3</v>
      </c>
      <c r="AN19" s="127" t="s">
        <v>79</v>
      </c>
      <c r="AO19" s="633">
        <v>0.02</v>
      </c>
      <c r="AP19" s="151"/>
      <c r="AQ19" s="17"/>
      <c r="AR19" s="17"/>
      <c r="AS19" s="17"/>
      <c r="AT19" s="9">
        <v>16</v>
      </c>
    </row>
    <row r="20" spans="1:46" ht="15.95" customHeight="1">
      <c r="A20" s="3747"/>
      <c r="B20" s="364"/>
      <c r="C20" s="3300"/>
      <c r="D20" s="129">
        <v>0.1</v>
      </c>
      <c r="E20" s="130">
        <f t="shared" si="0"/>
        <v>0.1</v>
      </c>
      <c r="F20" s="131">
        <f>IF(ISBLANK(G20),"",LARGE(F14:F19,1)+1)</f>
        <v>5</v>
      </c>
      <c r="G20" s="110" t="s">
        <v>6711</v>
      </c>
      <c r="H20" s="132">
        <f>(U20/AJ15)*AD15</f>
        <v>0.48449612403100784</v>
      </c>
      <c r="I20" s="133">
        <f>(X20/AJ18)*AD18</f>
        <v>0.48449612403100784</v>
      </c>
      <c r="J20" s="134">
        <f>(U20/AJ15)*AE15</f>
        <v>0.80620155038759711</v>
      </c>
      <c r="K20" s="135">
        <f>(X20/AJ18)*AE18</f>
        <v>0.80620155038759711</v>
      </c>
      <c r="L20" s="134">
        <f>(U20/AJ15)*AF15</f>
        <v>0.58139534883720945</v>
      </c>
      <c r="M20" s="135">
        <f>(X20/AJ18)*AF18</f>
        <v>0.58139534883720945</v>
      </c>
      <c r="N20" s="134">
        <f>(U20/AJ15)*AG15</f>
        <v>0.32558139534883729</v>
      </c>
      <c r="O20" s="135">
        <f>(X20/AJ18)*AG18</f>
        <v>0.32558139534883729</v>
      </c>
      <c r="P20" s="134">
        <f>(U20/AJ15)*AH15</f>
        <v>6.9767441860465129E-2</v>
      </c>
      <c r="Q20" s="135">
        <f>(X20/AJ18)*AH18</f>
        <v>6.9767441860465143E-2</v>
      </c>
      <c r="R20" s="133">
        <f>(U20/AJ15)*AI15</f>
        <v>3.2558139534883727E-2</v>
      </c>
      <c r="S20" s="136">
        <f>(X20/AJ18)*AI18</f>
        <v>3.2558139534883727E-2</v>
      </c>
      <c r="T20" s="116"/>
      <c r="U20" s="370">
        <f t="shared" si="1"/>
        <v>2.3000000000000003</v>
      </c>
      <c r="V20" s="138">
        <f>IF(ISTEXT(B20),B20,(B20/B9)*W8)</f>
        <v>0</v>
      </c>
      <c r="W20" s="139">
        <f t="shared" si="2"/>
        <v>0</v>
      </c>
      <c r="X20" s="137">
        <f>(E20/B9)*W8</f>
        <v>2.3000000000000003</v>
      </c>
      <c r="Y20" s="120">
        <v>1</v>
      </c>
      <c r="Z20" s="372">
        <f t="shared" si="3"/>
        <v>2.3000000000000003</v>
      </c>
      <c r="AA20" s="157"/>
      <c r="AB20" s="3325"/>
      <c r="AC20" s="3324" t="s">
        <v>80</v>
      </c>
      <c r="AD20" s="3323">
        <f>(AJ20/AJ18)*AD18</f>
        <v>12.5</v>
      </c>
      <c r="AE20" s="3323">
        <f>(AJ20/AJ18)*AE18</f>
        <v>20.8</v>
      </c>
      <c r="AF20" s="3323">
        <f>(AJ20/AJ18)*AF18</f>
        <v>15</v>
      </c>
      <c r="AG20" s="3323">
        <f>(AJ20/AJ18)*AG18</f>
        <v>8.4</v>
      </c>
      <c r="AH20" s="3323">
        <f>(AJ20/AJ18)*AH18</f>
        <v>1.8000000000000003</v>
      </c>
      <c r="AI20" s="3323">
        <f>(AJ20/AJ18)*AI18</f>
        <v>0.84</v>
      </c>
      <c r="AJ20" s="3322">
        <f>Y12</f>
        <v>59.339999999999996</v>
      </c>
      <c r="AK20" s="3987"/>
      <c r="AL20" s="17"/>
      <c r="AM20" s="145"/>
      <c r="AN20" s="146" t="s">
        <v>81</v>
      </c>
      <c r="AO20" s="635"/>
      <c r="AP20" s="151"/>
      <c r="AQ20" s="17"/>
      <c r="AR20" s="17"/>
      <c r="AS20" s="17"/>
      <c r="AT20" s="9">
        <v>16</v>
      </c>
    </row>
    <row r="21" spans="1:46" ht="15.95" customHeight="1">
      <c r="A21" s="3747"/>
      <c r="B21" s="106"/>
      <c r="C21" s="3301" t="s">
        <v>6709</v>
      </c>
      <c r="D21" s="107"/>
      <c r="E21" s="108">
        <f t="shared" si="0"/>
        <v>0</v>
      </c>
      <c r="F21" s="109">
        <f>IF(ISBLANK(G21),"",LARGE(F14:F20,1)+1)</f>
        <v>6</v>
      </c>
      <c r="G21" s="110" t="s">
        <v>6710</v>
      </c>
      <c r="H21" s="111">
        <f>(U21/AJ15)*AD15</f>
        <v>0</v>
      </c>
      <c r="I21" s="112">
        <f>(X21/AJ18)*AD18</f>
        <v>0</v>
      </c>
      <c r="J21" s="113">
        <f>(U21/AJ15)*AE15</f>
        <v>0</v>
      </c>
      <c r="K21" s="114">
        <f>(X21/AJ18)*AE18</f>
        <v>0</v>
      </c>
      <c r="L21" s="113">
        <f>(U21/AJ15)*AF15</f>
        <v>0</v>
      </c>
      <c r="M21" s="114">
        <f>(X21/AJ18)*AF18</f>
        <v>0</v>
      </c>
      <c r="N21" s="113">
        <f>(U21/AJ15)*AG15</f>
        <v>0</v>
      </c>
      <c r="O21" s="114">
        <f>(X21/AJ18)*AG18</f>
        <v>0</v>
      </c>
      <c r="P21" s="113">
        <f>(U21/AJ15)*AH15</f>
        <v>0</v>
      </c>
      <c r="Q21" s="114">
        <f>(X21/AJ18)*AH18</f>
        <v>0</v>
      </c>
      <c r="R21" s="112">
        <f>(U21/AJ15)*AI15</f>
        <v>0</v>
      </c>
      <c r="S21" s="115">
        <f>(X21/AJ18)*AI18</f>
        <v>0</v>
      </c>
      <c r="T21" s="116"/>
      <c r="U21" s="369">
        <f t="shared" si="1"/>
        <v>0</v>
      </c>
      <c r="V21" s="148">
        <f>IF(ISTEXT(B21),B21,(B21/B9)*W8)</f>
        <v>0</v>
      </c>
      <c r="W21" s="119" t="str">
        <f t="shared" si="2"/>
        <v>Pm</v>
      </c>
      <c r="X21" s="117">
        <f>(E21/B9)*W8</f>
        <v>0</v>
      </c>
      <c r="Y21" s="120"/>
      <c r="Z21" s="372">
        <f t="shared" si="3"/>
        <v>0</v>
      </c>
      <c r="AA21" s="3321">
        <v>0</v>
      </c>
      <c r="AB21" s="3232" t="s">
        <v>82</v>
      </c>
      <c r="AC21" s="3320"/>
      <c r="AD21" s="3320"/>
      <c r="AE21" s="3320"/>
      <c r="AF21" s="3320"/>
      <c r="AG21" s="3320"/>
      <c r="AH21" s="3320"/>
      <c r="AI21" s="3320"/>
      <c r="AJ21" s="3319"/>
      <c r="AK21" s="3987"/>
      <c r="AL21" s="17"/>
      <c r="AM21" s="126">
        <v>5</v>
      </c>
      <c r="AN21" s="127" t="s">
        <v>83</v>
      </c>
      <c r="AO21" s="633">
        <v>0.05</v>
      </c>
      <c r="AP21" s="151"/>
      <c r="AQ21" s="17"/>
      <c r="AR21" s="17"/>
      <c r="AS21" s="17"/>
      <c r="AT21" s="9">
        <v>16</v>
      </c>
    </row>
    <row r="22" spans="1:46" ht="15.95" customHeight="1">
      <c r="A22" s="3747"/>
      <c r="B22" s="364"/>
      <c r="C22" s="3300" t="s">
        <v>6709</v>
      </c>
      <c r="D22" s="129"/>
      <c r="E22" s="130">
        <f t="shared" si="0"/>
        <v>0</v>
      </c>
      <c r="F22" s="131">
        <f>IF(ISBLANK(G22),"",LARGE(F14:F21,1)+1)</f>
        <v>7</v>
      </c>
      <c r="G22" s="110" t="s">
        <v>6708</v>
      </c>
      <c r="H22" s="132">
        <f>(U22/AJ15)*AD15</f>
        <v>0</v>
      </c>
      <c r="I22" s="133">
        <f>(X22/AJ18)*AD18</f>
        <v>0</v>
      </c>
      <c r="J22" s="134">
        <f>(U22/AJ15)*AE15</f>
        <v>0</v>
      </c>
      <c r="K22" s="135">
        <f>(X22/AJ18)*AE18</f>
        <v>0</v>
      </c>
      <c r="L22" s="134">
        <f>(U22/AJ15)*AF15</f>
        <v>0</v>
      </c>
      <c r="M22" s="135">
        <f>(X22/AJ18)*AF18</f>
        <v>0</v>
      </c>
      <c r="N22" s="134">
        <f>(U22/AJ15)*AG15</f>
        <v>0</v>
      </c>
      <c r="O22" s="135">
        <f>(X22/AJ18)*AG18</f>
        <v>0</v>
      </c>
      <c r="P22" s="134">
        <f>(U22/AJ15)*AH15</f>
        <v>0</v>
      </c>
      <c r="Q22" s="135">
        <f>(X22/AJ18)*AH18</f>
        <v>0</v>
      </c>
      <c r="R22" s="133">
        <f>(U22/AJ15)*AI15</f>
        <v>0</v>
      </c>
      <c r="S22" s="136">
        <f>(X22/AJ18)*AI18</f>
        <v>0</v>
      </c>
      <c r="T22" s="116"/>
      <c r="U22" s="370">
        <f t="shared" si="1"/>
        <v>0</v>
      </c>
      <c r="V22" s="138">
        <f>IF(ISTEXT(B22),B22,(B22/B9)*W8)</f>
        <v>0</v>
      </c>
      <c r="W22" s="139" t="str">
        <f t="shared" si="2"/>
        <v>Pm</v>
      </c>
      <c r="X22" s="137">
        <f>(E22/B9)*W8</f>
        <v>0</v>
      </c>
      <c r="Y22" s="120"/>
      <c r="Z22" s="372">
        <f t="shared" si="3"/>
        <v>0</v>
      </c>
      <c r="AA22" s="3228" t="str">
        <f>IF(ISBLANK(AB22),"",LARGE(AA21:AA21,1)+1)</f>
        <v/>
      </c>
      <c r="AB22" s="110"/>
      <c r="AC22" s="3309" t="s">
        <v>6707</v>
      </c>
      <c r="AD22" s="110"/>
      <c r="AE22" s="110"/>
      <c r="AF22" s="110"/>
      <c r="AG22" s="110"/>
      <c r="AH22" s="110"/>
      <c r="AI22" s="110"/>
      <c r="AJ22" s="1366"/>
      <c r="AK22" s="3987"/>
      <c r="AL22" s="17"/>
      <c r="AM22" s="168"/>
      <c r="AN22" s="169"/>
      <c r="AO22" s="447"/>
      <c r="AP22" s="151"/>
      <c r="AQ22" s="17"/>
      <c r="AR22" s="17"/>
      <c r="AS22" s="17"/>
      <c r="AT22" s="9">
        <v>16</v>
      </c>
    </row>
    <row r="23" spans="1:46" ht="15.95" customHeight="1">
      <c r="A23" s="3747"/>
      <c r="B23" s="106"/>
      <c r="C23" s="3301"/>
      <c r="D23" s="107">
        <v>0.1</v>
      </c>
      <c r="E23" s="108">
        <f t="shared" si="0"/>
        <v>0.1</v>
      </c>
      <c r="F23" s="109">
        <f>IF(ISBLANK(G23),"",LARGE(F14:F22,1)+1)</f>
        <v>8</v>
      </c>
      <c r="G23" s="110" t="s">
        <v>6706</v>
      </c>
      <c r="H23" s="111">
        <f>(U23/AJ15)*AD15</f>
        <v>0.48449612403100784</v>
      </c>
      <c r="I23" s="112">
        <f>(X23/AJ18)*AD18</f>
        <v>0.48449612403100784</v>
      </c>
      <c r="J23" s="113">
        <f>(U23/AJ15)*AE15</f>
        <v>0.80620155038759711</v>
      </c>
      <c r="K23" s="114">
        <f>(X23/AJ18)*AE18</f>
        <v>0.80620155038759711</v>
      </c>
      <c r="L23" s="113">
        <f>(U23/AJ15)*AF15</f>
        <v>0.58139534883720945</v>
      </c>
      <c r="M23" s="114">
        <f>(X23/AJ18)*AF18</f>
        <v>0.58139534883720945</v>
      </c>
      <c r="N23" s="113">
        <f>(U23/AJ15)*AG15</f>
        <v>0.32558139534883729</v>
      </c>
      <c r="O23" s="114">
        <f>(X23/AJ18)*AG18</f>
        <v>0.32558139534883729</v>
      </c>
      <c r="P23" s="113">
        <f>(U23/AJ15)*AH15</f>
        <v>6.9767441860465129E-2</v>
      </c>
      <c r="Q23" s="114">
        <f>(X23/AJ18)*AH18</f>
        <v>6.9767441860465143E-2</v>
      </c>
      <c r="R23" s="112">
        <f>(U23/AJ15)*AI15</f>
        <v>3.2558139534883727E-2</v>
      </c>
      <c r="S23" s="115">
        <f>(X23/AJ18)*AI18</f>
        <v>3.2558139534883727E-2</v>
      </c>
      <c r="T23" s="116"/>
      <c r="U23" s="369">
        <f t="shared" si="1"/>
        <v>2.3000000000000003</v>
      </c>
      <c r="V23" s="148">
        <f>IF(ISTEXT(B23),B23,(B23/B9)*W8)</f>
        <v>0</v>
      </c>
      <c r="W23" s="119">
        <f t="shared" si="2"/>
        <v>0</v>
      </c>
      <c r="X23" s="117">
        <f>(E23/B9)*W8</f>
        <v>2.3000000000000003</v>
      </c>
      <c r="Y23" s="120">
        <v>1</v>
      </c>
      <c r="Z23" s="372">
        <f t="shared" si="3"/>
        <v>2.3000000000000003</v>
      </c>
      <c r="AA23" s="3228">
        <f>IF(ISBLANK(AB23),"",LARGE(AA21:AA22,1)+1)</f>
        <v>1</v>
      </c>
      <c r="AB23" s="110" t="s">
        <v>6705</v>
      </c>
      <c r="AC23" s="110"/>
      <c r="AD23" s="110"/>
      <c r="AE23" s="110"/>
      <c r="AF23" s="110"/>
      <c r="AG23" s="110"/>
      <c r="AH23" s="110"/>
      <c r="AI23" s="110"/>
      <c r="AJ23" s="1366"/>
      <c r="AK23" s="3987"/>
      <c r="AL23" s="17"/>
      <c r="AM23" s="171"/>
      <c r="AN23" s="172" t="s">
        <v>19</v>
      </c>
      <c r="AO23" s="581" t="str">
        <f>ADDRESS(ROW(D9),COLUMN(D9),4)</f>
        <v>D9</v>
      </c>
      <c r="AP23" s="151"/>
      <c r="AQ23" s="17"/>
      <c r="AR23" s="17"/>
      <c r="AS23" s="17"/>
      <c r="AT23" s="9">
        <v>16</v>
      </c>
    </row>
    <row r="24" spans="1:46" ht="15.95" customHeight="1">
      <c r="A24" s="3747"/>
      <c r="B24" s="364"/>
      <c r="C24" s="3300"/>
      <c r="D24" s="129"/>
      <c r="E24" s="130">
        <f t="shared" si="0"/>
        <v>0</v>
      </c>
      <c r="F24" s="131" t="str">
        <f>IF(ISBLANK(G24),"",LARGE(F14:F23,1)+1)</f>
        <v/>
      </c>
      <c r="G24" s="110"/>
      <c r="H24" s="132">
        <f>(U24/AJ15)*AD15</f>
        <v>0</v>
      </c>
      <c r="I24" s="133">
        <f>(X24/AJ18)*AD18</f>
        <v>0</v>
      </c>
      <c r="J24" s="134">
        <f>(U24/AJ15)*AE15</f>
        <v>0</v>
      </c>
      <c r="K24" s="135">
        <f>(X24/AJ18)*AE18</f>
        <v>0</v>
      </c>
      <c r="L24" s="134">
        <f>(U24/AJ15)*AF15</f>
        <v>0</v>
      </c>
      <c r="M24" s="135">
        <f>(X24/AJ18)*AF18</f>
        <v>0</v>
      </c>
      <c r="N24" s="134">
        <f>(U24/AJ15)*AG15</f>
        <v>0</v>
      </c>
      <c r="O24" s="135">
        <f>(X24/AJ18)*AG18</f>
        <v>0</v>
      </c>
      <c r="P24" s="134">
        <f>(U24/AJ15)*AH15</f>
        <v>0</v>
      </c>
      <c r="Q24" s="135">
        <f>(X24/AJ18)*AH18</f>
        <v>0</v>
      </c>
      <c r="R24" s="133">
        <f>(U24/AJ15)*AI15</f>
        <v>0</v>
      </c>
      <c r="S24" s="136">
        <f>(X24/AJ18)*AI18</f>
        <v>0</v>
      </c>
      <c r="T24" s="116"/>
      <c r="U24" s="370">
        <f t="shared" si="1"/>
        <v>0</v>
      </c>
      <c r="V24" s="138">
        <f>IF(ISTEXT(B24),B24,(B24/B9)*W8)</f>
        <v>0</v>
      </c>
      <c r="W24" s="139">
        <f t="shared" si="2"/>
        <v>0</v>
      </c>
      <c r="X24" s="137">
        <f>(E24/B9)*W8</f>
        <v>0</v>
      </c>
      <c r="Y24" s="120"/>
      <c r="Z24" s="372">
        <f t="shared" si="3"/>
        <v>0</v>
      </c>
      <c r="AA24" s="3228">
        <f>IF(ISBLANK(AB24),"",LARGE(AA21:AA23,1)+1)</f>
        <v>2</v>
      </c>
      <c r="AB24" s="110" t="s">
        <v>6704</v>
      </c>
      <c r="AC24" s="110"/>
      <c r="AD24" s="110"/>
      <c r="AE24" s="110"/>
      <c r="AF24" s="110"/>
      <c r="AG24" s="110"/>
      <c r="AH24" s="110"/>
      <c r="AI24" s="110"/>
      <c r="AJ24" s="1366"/>
      <c r="AK24" s="3987"/>
      <c r="AL24" s="17"/>
      <c r="AM24" s="168"/>
      <c r="AN24" s="169"/>
      <c r="AO24" s="3318" t="str">
        <f>D10</f>
        <v>Adultes</v>
      </c>
      <c r="AP24" s="151"/>
      <c r="AQ24" s="17"/>
      <c r="AR24" s="17"/>
      <c r="AS24" s="17"/>
      <c r="AT24" s="9">
        <v>16</v>
      </c>
    </row>
    <row r="25" spans="1:46" ht="15.95" customHeight="1" thickBot="1">
      <c r="A25" s="3747"/>
      <c r="B25" s="106"/>
      <c r="C25" s="3301"/>
      <c r="D25" s="107"/>
      <c r="E25" s="108">
        <f t="shared" si="0"/>
        <v>0</v>
      </c>
      <c r="F25" s="109" t="str">
        <f>IF(ISBLANK(G25),"",LARGE(F14:F24,1)+1)</f>
        <v/>
      </c>
      <c r="G25" s="110"/>
      <c r="H25" s="111">
        <f>(U25/AJ15)*AD15</f>
        <v>0</v>
      </c>
      <c r="I25" s="112">
        <f>(X25/AJ18)*AD18</f>
        <v>0</v>
      </c>
      <c r="J25" s="113">
        <f>(U25/AJ15)*AE15</f>
        <v>0</v>
      </c>
      <c r="K25" s="114">
        <f>(X25/AJ18)*AE18</f>
        <v>0</v>
      </c>
      <c r="L25" s="113">
        <f>(U25/AJ15)*AF15</f>
        <v>0</v>
      </c>
      <c r="M25" s="114">
        <f>(X25/AJ18)*AF18</f>
        <v>0</v>
      </c>
      <c r="N25" s="113">
        <f>(U25/AJ15)*AG15</f>
        <v>0</v>
      </c>
      <c r="O25" s="114">
        <f>(X25/AJ18)*AG18</f>
        <v>0</v>
      </c>
      <c r="P25" s="113">
        <f>(U25/AJ15)*AH15</f>
        <v>0</v>
      </c>
      <c r="Q25" s="114">
        <f>(X25/AJ18)*AH18</f>
        <v>0</v>
      </c>
      <c r="R25" s="112">
        <f>(U25/AJ15)*AI15</f>
        <v>0</v>
      </c>
      <c r="S25" s="115">
        <f>(X25/AJ18)*AI18</f>
        <v>0</v>
      </c>
      <c r="T25" s="116"/>
      <c r="U25" s="369">
        <f t="shared" si="1"/>
        <v>0</v>
      </c>
      <c r="V25" s="148">
        <f>IF(ISTEXT(B25),B25,(B25/B9)*W8)</f>
        <v>0</v>
      </c>
      <c r="W25" s="119">
        <f t="shared" si="2"/>
        <v>0</v>
      </c>
      <c r="X25" s="117">
        <f>(E25/B9)*W8</f>
        <v>0</v>
      </c>
      <c r="Y25" s="120"/>
      <c r="Z25" s="372">
        <f t="shared" si="3"/>
        <v>0</v>
      </c>
      <c r="AA25" s="3228">
        <f>IF(ISBLANK(AB25),"",LARGE(AA21:AA24,1)+1)</f>
        <v>3</v>
      </c>
      <c r="AB25" s="110" t="s">
        <v>6703</v>
      </c>
      <c r="AC25" s="110"/>
      <c r="AD25" s="110"/>
      <c r="AE25" s="110"/>
      <c r="AF25" s="110"/>
      <c r="AG25" s="110"/>
      <c r="AH25" s="110"/>
      <c r="AI25" s="110"/>
      <c r="AJ25" s="1366"/>
      <c r="AK25" s="3987"/>
      <c r="AL25" s="17"/>
      <c r="AM25" s="3317"/>
      <c r="AN25" s="3316"/>
      <c r="AO25" s="3315"/>
      <c r="AP25" s="151"/>
      <c r="AQ25" s="17"/>
      <c r="AR25" s="17"/>
      <c r="AS25" s="17"/>
      <c r="AT25" s="9">
        <v>16</v>
      </c>
    </row>
    <row r="26" spans="1:46" ht="15.95" customHeight="1">
      <c r="A26" s="3747"/>
      <c r="B26" s="364"/>
      <c r="C26" s="3300"/>
      <c r="D26" s="129"/>
      <c r="E26" s="130">
        <f t="shared" si="0"/>
        <v>0</v>
      </c>
      <c r="F26" s="131" t="str">
        <f>IF(ISBLANK(G26),"",LARGE(F14:F25,1)+1)</f>
        <v/>
      </c>
      <c r="G26" s="110"/>
      <c r="H26" s="132">
        <f>(U26/AJ15)*AD15</f>
        <v>0</v>
      </c>
      <c r="I26" s="133">
        <f>(X26/AJ18)*AD18</f>
        <v>0</v>
      </c>
      <c r="J26" s="134">
        <f>(U26/AJ15)*AE15</f>
        <v>0</v>
      </c>
      <c r="K26" s="135">
        <f>(X26/AJ18)*AE18</f>
        <v>0</v>
      </c>
      <c r="L26" s="134">
        <f>(U26/AJ15)*AF15</f>
        <v>0</v>
      </c>
      <c r="M26" s="135">
        <f>(X26/AJ18)*AF18</f>
        <v>0</v>
      </c>
      <c r="N26" s="134">
        <f>(U26/AJ15)*AG15</f>
        <v>0</v>
      </c>
      <c r="O26" s="135">
        <f>(X26/AJ18)*AG18</f>
        <v>0</v>
      </c>
      <c r="P26" s="134">
        <f>(U26/AJ15)*AH15</f>
        <v>0</v>
      </c>
      <c r="Q26" s="135">
        <f>(X26/AJ18)*AH18</f>
        <v>0</v>
      </c>
      <c r="R26" s="133">
        <f>(U26/AJ15)*AI15</f>
        <v>0</v>
      </c>
      <c r="S26" s="136">
        <f>(X26/AJ18)*AI18</f>
        <v>0</v>
      </c>
      <c r="T26" s="116"/>
      <c r="U26" s="370">
        <f t="shared" si="1"/>
        <v>0</v>
      </c>
      <c r="V26" s="138">
        <f>IF(ISTEXT(B26),B26,(B26/B9)*W8)</f>
        <v>0</v>
      </c>
      <c r="W26" s="139">
        <f t="shared" si="2"/>
        <v>0</v>
      </c>
      <c r="X26" s="137">
        <f>(E26/B9)*W8</f>
        <v>0</v>
      </c>
      <c r="Y26" s="120"/>
      <c r="Z26" s="372">
        <f t="shared" si="3"/>
        <v>0</v>
      </c>
      <c r="AA26" s="3228" t="str">
        <f>IF(ISBLANK(AB26),"",LARGE(AA21:AA25,1)+1)</f>
        <v/>
      </c>
      <c r="AB26" s="110"/>
      <c r="AC26" s="110" t="s">
        <v>6702</v>
      </c>
      <c r="AD26" s="110"/>
      <c r="AE26" s="110"/>
      <c r="AF26" s="110"/>
      <c r="AG26" s="110"/>
      <c r="AH26" s="110"/>
      <c r="AI26" s="110"/>
      <c r="AJ26" s="1366"/>
      <c r="AK26" s="3987"/>
      <c r="AL26" s="17"/>
      <c r="AM26" s="3628" t="s">
        <v>87</v>
      </c>
      <c r="AN26" s="3629"/>
      <c r="AO26" s="178" t="s">
        <v>88</v>
      </c>
      <c r="AP26" s="151"/>
      <c r="AQ26" s="17"/>
      <c r="AR26" s="17"/>
      <c r="AS26" s="17"/>
      <c r="AT26" s="9">
        <v>16</v>
      </c>
    </row>
    <row r="27" spans="1:46" ht="15.95" customHeight="1">
      <c r="A27" s="3747"/>
      <c r="B27" s="106"/>
      <c r="C27" s="3301"/>
      <c r="D27" s="107"/>
      <c r="E27" s="108">
        <f t="shared" si="0"/>
        <v>0</v>
      </c>
      <c r="F27" s="109" t="str">
        <f>IF(ISBLANK(G27),"",LARGE(F14:F26,1)+1)</f>
        <v/>
      </c>
      <c r="G27" s="110"/>
      <c r="H27" s="111">
        <f>(U27/AJ15)*AD15</f>
        <v>0</v>
      </c>
      <c r="I27" s="112">
        <f>(X27/AJ18)*AD18</f>
        <v>0</v>
      </c>
      <c r="J27" s="113">
        <f>(U27/AJ15)*AE15</f>
        <v>0</v>
      </c>
      <c r="K27" s="114">
        <f>(X27/AJ18)*AE18</f>
        <v>0</v>
      </c>
      <c r="L27" s="113">
        <f>(U27/AJ15)*AF15</f>
        <v>0</v>
      </c>
      <c r="M27" s="114">
        <f>(X27/AJ18)*AF18</f>
        <v>0</v>
      </c>
      <c r="N27" s="113">
        <f>(U27/AJ15)*AG15</f>
        <v>0</v>
      </c>
      <c r="O27" s="114">
        <f>(X27/AJ18)*AG18</f>
        <v>0</v>
      </c>
      <c r="P27" s="113">
        <f>(U27/AJ15)*AH15</f>
        <v>0</v>
      </c>
      <c r="Q27" s="114">
        <f>(X27/AJ18)*AH18</f>
        <v>0</v>
      </c>
      <c r="R27" s="112">
        <f>(U27/AJ15)*AI15</f>
        <v>0</v>
      </c>
      <c r="S27" s="115">
        <f>(X27/AJ18)*AI18</f>
        <v>0</v>
      </c>
      <c r="T27" s="116"/>
      <c r="U27" s="369">
        <f t="shared" si="1"/>
        <v>0</v>
      </c>
      <c r="V27" s="148">
        <f>IF(ISTEXT(B27),B27,(B27/B9)*W8)</f>
        <v>0</v>
      </c>
      <c r="W27" s="119">
        <f t="shared" si="2"/>
        <v>0</v>
      </c>
      <c r="X27" s="117">
        <f>(E27/B9)*W8</f>
        <v>0</v>
      </c>
      <c r="Y27" s="120"/>
      <c r="Z27" s="372">
        <f t="shared" si="3"/>
        <v>0</v>
      </c>
      <c r="AA27" s="3228">
        <f>IF(ISBLANK(AB27),"",LARGE(AA21:AA26,1)+1)</f>
        <v>4</v>
      </c>
      <c r="AB27" s="110" t="s">
        <v>6701</v>
      </c>
      <c r="AC27" s="110"/>
      <c r="AD27" s="110"/>
      <c r="AE27" s="110"/>
      <c r="AF27" s="110"/>
      <c r="AG27" s="110"/>
      <c r="AH27" s="110"/>
      <c r="AI27" s="110"/>
      <c r="AJ27" s="1366"/>
      <c r="AK27" s="3987"/>
      <c r="AL27" s="17"/>
      <c r="AM27" s="3314"/>
      <c r="AN27" s="3313"/>
      <c r="AO27" s="3312" t="s">
        <v>89</v>
      </c>
      <c r="AP27" s="151"/>
      <c r="AQ27" s="17"/>
      <c r="AR27" s="17"/>
      <c r="AS27" s="17"/>
      <c r="AT27" s="9">
        <v>16</v>
      </c>
    </row>
    <row r="28" spans="1:46" ht="15.95" customHeight="1">
      <c r="A28" s="3747"/>
      <c r="B28" s="364"/>
      <c r="C28" s="3300"/>
      <c r="D28" s="129"/>
      <c r="E28" s="130">
        <f t="shared" si="0"/>
        <v>0</v>
      </c>
      <c r="F28" s="131" t="str">
        <f>IF(ISBLANK(G28),"",LARGE(F14:F27,1)+1)</f>
        <v/>
      </c>
      <c r="G28" s="110"/>
      <c r="H28" s="132">
        <f>(U28/AJ15)*AD15</f>
        <v>0</v>
      </c>
      <c r="I28" s="133">
        <f>(X28/AJ18)*AD18</f>
        <v>0</v>
      </c>
      <c r="J28" s="134">
        <f>(U28/AJ15)*AE15</f>
        <v>0</v>
      </c>
      <c r="K28" s="135">
        <f>(X28/AJ18)*AE18</f>
        <v>0</v>
      </c>
      <c r="L28" s="134">
        <f>(U28/AJ15)*AF15</f>
        <v>0</v>
      </c>
      <c r="M28" s="135">
        <f>(X28/AJ18)*AF18</f>
        <v>0</v>
      </c>
      <c r="N28" s="134">
        <f>(U28/AJ15)*AG15</f>
        <v>0</v>
      </c>
      <c r="O28" s="135">
        <f>(X28/AJ18)*AG18</f>
        <v>0</v>
      </c>
      <c r="P28" s="134">
        <f>(U28/AJ15)*AH15</f>
        <v>0</v>
      </c>
      <c r="Q28" s="135">
        <f>(X28/AJ18)*AH18</f>
        <v>0</v>
      </c>
      <c r="R28" s="133">
        <f>(U28/AJ15)*AI15</f>
        <v>0</v>
      </c>
      <c r="S28" s="136">
        <f>(X28/AJ18)*AI18</f>
        <v>0</v>
      </c>
      <c r="T28" s="116"/>
      <c r="U28" s="370">
        <f t="shared" si="1"/>
        <v>0</v>
      </c>
      <c r="V28" s="138">
        <f>IF(ISTEXT(B28),B28,(B28/B9)*W8)</f>
        <v>0</v>
      </c>
      <c r="W28" s="139">
        <f t="shared" si="2"/>
        <v>0</v>
      </c>
      <c r="X28" s="137">
        <f>(E28/B9)*W8</f>
        <v>0</v>
      </c>
      <c r="Y28" s="120"/>
      <c r="Z28" s="372">
        <f t="shared" si="3"/>
        <v>0</v>
      </c>
      <c r="AA28" s="3228" t="str">
        <f>IF(ISBLANK(AB28),"",LARGE(AA21:AA27,1)+1)</f>
        <v/>
      </c>
      <c r="AB28" s="110"/>
      <c r="AC28" s="110" t="s">
        <v>6700</v>
      </c>
      <c r="AD28" s="110"/>
      <c r="AE28" s="110"/>
      <c r="AF28" s="110"/>
      <c r="AG28" s="110"/>
      <c r="AH28" s="110"/>
      <c r="AI28" s="110"/>
      <c r="AJ28" s="1366"/>
      <c r="AK28" s="3987"/>
      <c r="AL28" s="17"/>
      <c r="AM28" s="182" t="s">
        <v>90</v>
      </c>
      <c r="AN28" s="183"/>
      <c r="AO28" s="3311"/>
      <c r="AP28" s="151"/>
      <c r="AQ28" s="17"/>
      <c r="AR28" s="17"/>
      <c r="AS28" s="17"/>
      <c r="AT28" s="9">
        <v>16</v>
      </c>
    </row>
    <row r="29" spans="1:46" ht="15.95" customHeight="1">
      <c r="A29" s="3747"/>
      <c r="B29" s="106"/>
      <c r="C29" s="3301"/>
      <c r="D29" s="107"/>
      <c r="E29" s="108">
        <f t="shared" si="0"/>
        <v>0</v>
      </c>
      <c r="F29" s="109" t="str">
        <f>IF(ISBLANK(G29),"",LARGE(F14:F28,1)+1)</f>
        <v/>
      </c>
      <c r="G29" s="110"/>
      <c r="H29" s="111">
        <f>(U29/AJ15)*AD15</f>
        <v>0</v>
      </c>
      <c r="I29" s="112">
        <f>(X29/AJ18)*AD18</f>
        <v>0</v>
      </c>
      <c r="J29" s="113">
        <f>(U29/AJ15)*AE15</f>
        <v>0</v>
      </c>
      <c r="K29" s="114">
        <f>(X29/AJ18)*AE18</f>
        <v>0</v>
      </c>
      <c r="L29" s="113">
        <f>(U29/AJ15)*AF15</f>
        <v>0</v>
      </c>
      <c r="M29" s="114">
        <f>(X29/AJ18)*AF18</f>
        <v>0</v>
      </c>
      <c r="N29" s="113">
        <f>(U29/AJ15)*AG15</f>
        <v>0</v>
      </c>
      <c r="O29" s="114">
        <f>(X29/AJ18)*AG18</f>
        <v>0</v>
      </c>
      <c r="P29" s="113">
        <f>(U29/AJ15)*AH15</f>
        <v>0</v>
      </c>
      <c r="Q29" s="114">
        <f>(X29/AJ18)*AH18</f>
        <v>0</v>
      </c>
      <c r="R29" s="112">
        <f>(U29/AJ15)*AI15</f>
        <v>0</v>
      </c>
      <c r="S29" s="115">
        <f>(X29/AJ18)*AI18</f>
        <v>0</v>
      </c>
      <c r="T29" s="116"/>
      <c r="U29" s="369">
        <f t="shared" si="1"/>
        <v>0</v>
      </c>
      <c r="V29" s="148">
        <f>IF(ISTEXT(B29),B29,(B29/B9)*W8)</f>
        <v>0</v>
      </c>
      <c r="W29" s="119">
        <f t="shared" si="2"/>
        <v>0</v>
      </c>
      <c r="X29" s="117">
        <f>(E29/B9)*W8</f>
        <v>0</v>
      </c>
      <c r="Y29" s="120"/>
      <c r="Z29" s="372">
        <f t="shared" si="3"/>
        <v>0</v>
      </c>
      <c r="AA29" s="3228">
        <f>IF(ISBLANK(AB29),"",LARGE(AA21:AA28,1)+1)</f>
        <v>5</v>
      </c>
      <c r="AB29" s="110" t="s">
        <v>6699</v>
      </c>
      <c r="AC29" s="110"/>
      <c r="AD29" s="110"/>
      <c r="AE29" s="110"/>
      <c r="AF29" s="110"/>
      <c r="AG29" s="110"/>
      <c r="AH29" s="110"/>
      <c r="AI29" s="110"/>
      <c r="AJ29" s="1366"/>
      <c r="AK29" s="3987"/>
      <c r="AL29" s="17"/>
      <c r="AM29" s="3804" t="s">
        <v>91</v>
      </c>
      <c r="AN29" s="3805"/>
      <c r="AO29" s="4004"/>
      <c r="AP29" s="151"/>
      <c r="AQ29" s="17"/>
      <c r="AR29" s="17"/>
      <c r="AS29" s="17"/>
      <c r="AT29" s="9">
        <v>16</v>
      </c>
    </row>
    <row r="30" spans="1:46" ht="15.95" customHeight="1" thickBot="1">
      <c r="A30" s="3747"/>
      <c r="B30" s="364"/>
      <c r="C30" s="3300"/>
      <c r="D30" s="129"/>
      <c r="E30" s="130">
        <f t="shared" si="0"/>
        <v>0</v>
      </c>
      <c r="F30" s="131" t="str">
        <f>IF(ISBLANK(G30),"",LARGE(F14:F29,1)+1)</f>
        <v/>
      </c>
      <c r="G30" s="110"/>
      <c r="H30" s="132">
        <f>(U30/AJ15)*AD15</f>
        <v>0</v>
      </c>
      <c r="I30" s="133">
        <f>(X30/AJ18)*AD18</f>
        <v>0</v>
      </c>
      <c r="J30" s="134">
        <f>(U30/AJ15)*AE15</f>
        <v>0</v>
      </c>
      <c r="K30" s="135">
        <f>(X30/AJ18)*AE18</f>
        <v>0</v>
      </c>
      <c r="L30" s="134">
        <f>(U30/AJ15)*AF15</f>
        <v>0</v>
      </c>
      <c r="M30" s="135">
        <f>(X30/AJ18)*AF18</f>
        <v>0</v>
      </c>
      <c r="N30" s="134">
        <f>(U30/AJ15)*AG15</f>
        <v>0</v>
      </c>
      <c r="O30" s="135">
        <f>(X30/AJ18)*AG18</f>
        <v>0</v>
      </c>
      <c r="P30" s="134">
        <f>(U30/AJ15)*AH15</f>
        <v>0</v>
      </c>
      <c r="Q30" s="135">
        <f>(X30/AJ18)*AH18</f>
        <v>0</v>
      </c>
      <c r="R30" s="133">
        <f>(U30/AJ15)*AI15</f>
        <v>0</v>
      </c>
      <c r="S30" s="136">
        <f>(X30/AJ18)*AI18</f>
        <v>0</v>
      </c>
      <c r="T30" s="116"/>
      <c r="U30" s="370">
        <f t="shared" si="1"/>
        <v>0</v>
      </c>
      <c r="V30" s="138">
        <f>IF(ISTEXT(B30),B30,(B30/B9)*W8)</f>
        <v>0</v>
      </c>
      <c r="W30" s="139">
        <f t="shared" si="2"/>
        <v>0</v>
      </c>
      <c r="X30" s="137">
        <f>(E30/B9)*W8</f>
        <v>0</v>
      </c>
      <c r="Y30" s="120"/>
      <c r="Z30" s="372">
        <f t="shared" si="3"/>
        <v>0</v>
      </c>
      <c r="AA30" s="3228">
        <f>IF(ISBLANK(AB30),"",LARGE(AA21:AA29,1)+1)</f>
        <v>6</v>
      </c>
      <c r="AB30" s="110" t="s">
        <v>6698</v>
      </c>
      <c r="AC30" s="110"/>
      <c r="AD30" s="110"/>
      <c r="AE30" s="110"/>
      <c r="AF30" s="110"/>
      <c r="AG30" s="110"/>
      <c r="AH30" s="110"/>
      <c r="AI30" s="110"/>
      <c r="AJ30" s="1366"/>
      <c r="AK30" s="3987"/>
      <c r="AL30" s="17"/>
      <c r="AM30" s="171"/>
      <c r="AN30" s="185"/>
      <c r="AO30" s="3310"/>
      <c r="AP30" s="151"/>
      <c r="AQ30" s="17"/>
      <c r="AR30" s="17"/>
      <c r="AS30" s="17"/>
      <c r="AT30" s="9">
        <v>16</v>
      </c>
    </row>
    <row r="31" spans="1:46" ht="15.95" customHeight="1">
      <c r="A31" s="3747"/>
      <c r="B31" s="106"/>
      <c r="C31" s="3301"/>
      <c r="D31" s="107"/>
      <c r="E31" s="108">
        <f t="shared" si="0"/>
        <v>0</v>
      </c>
      <c r="F31" s="109" t="str">
        <f>IF(ISBLANK(G31),"",LARGE(F14:F30,1)+1)</f>
        <v/>
      </c>
      <c r="G31" s="110"/>
      <c r="H31" s="111">
        <f>(U31/AJ15)*AD15</f>
        <v>0</v>
      </c>
      <c r="I31" s="112">
        <f>(X31/AJ18)*AD18</f>
        <v>0</v>
      </c>
      <c r="J31" s="113">
        <f>(U31/AJ15)*AE15</f>
        <v>0</v>
      </c>
      <c r="K31" s="114">
        <f>(X31/AJ18)*AE18</f>
        <v>0</v>
      </c>
      <c r="L31" s="113">
        <f>(U31/AJ15)*AF15</f>
        <v>0</v>
      </c>
      <c r="M31" s="114">
        <f>(X31/AJ18)*AF18</f>
        <v>0</v>
      </c>
      <c r="N31" s="113">
        <f>(U31/AJ15)*AG15</f>
        <v>0</v>
      </c>
      <c r="O31" s="114">
        <f>(X31/AJ18)*AG18</f>
        <v>0</v>
      </c>
      <c r="P31" s="113">
        <f>(U31/AJ15)*AH15</f>
        <v>0</v>
      </c>
      <c r="Q31" s="114">
        <f>(X31/AJ18)*AH18</f>
        <v>0</v>
      </c>
      <c r="R31" s="112">
        <f>(U31/AJ15)*AI15</f>
        <v>0</v>
      </c>
      <c r="S31" s="115">
        <f>(X31/AJ18)*AI18</f>
        <v>0</v>
      </c>
      <c r="T31" s="116"/>
      <c r="U31" s="369">
        <f t="shared" si="1"/>
        <v>0</v>
      </c>
      <c r="V31" s="148">
        <f>IF(ISTEXT(B31),B31,(B31/B9)*W8)</f>
        <v>0</v>
      </c>
      <c r="W31" s="119">
        <f t="shared" si="2"/>
        <v>0</v>
      </c>
      <c r="X31" s="117">
        <f>(E31/B9)*W8</f>
        <v>0</v>
      </c>
      <c r="Y31" s="120"/>
      <c r="Z31" s="372">
        <f t="shared" si="3"/>
        <v>0</v>
      </c>
      <c r="AA31" s="3228" t="str">
        <f>IF(ISBLANK(AB31),"",LARGE(AA21:AA30,1)+1)</f>
        <v/>
      </c>
      <c r="AB31" s="110"/>
      <c r="AC31" s="110"/>
      <c r="AD31" s="110"/>
      <c r="AE31" s="110"/>
      <c r="AF31" s="110"/>
      <c r="AG31" s="110"/>
      <c r="AH31" s="110"/>
      <c r="AI31" s="110"/>
      <c r="AJ31" s="1366"/>
      <c r="AK31" s="3987"/>
      <c r="AL31" s="17"/>
      <c r="AM31" s="3787" t="s">
        <v>92</v>
      </c>
      <c r="AN31" s="4005"/>
      <c r="AO31" s="4006"/>
      <c r="AP31" s="151"/>
      <c r="AQ31" s="17"/>
      <c r="AR31" s="17"/>
      <c r="AS31" s="17"/>
      <c r="AT31" s="9">
        <v>16</v>
      </c>
    </row>
    <row r="32" spans="1:46" ht="15.95" customHeight="1">
      <c r="A32" s="3747"/>
      <c r="B32" s="364"/>
      <c r="C32" s="3300"/>
      <c r="D32" s="129"/>
      <c r="E32" s="130">
        <f t="shared" si="0"/>
        <v>0</v>
      </c>
      <c r="F32" s="131" t="str">
        <f>IF(ISBLANK(G32),"",LARGE(F14:F31,1)+1)</f>
        <v/>
      </c>
      <c r="G32" s="110"/>
      <c r="H32" s="132">
        <f>(U32/AJ15)*AD15</f>
        <v>0</v>
      </c>
      <c r="I32" s="133">
        <f>(X32/AJ18)*AD18</f>
        <v>0</v>
      </c>
      <c r="J32" s="134">
        <f>(U32/AJ15)*AE15</f>
        <v>0</v>
      </c>
      <c r="K32" s="135">
        <f>(X32/AJ18)*AE18</f>
        <v>0</v>
      </c>
      <c r="L32" s="134">
        <f>(U32/AJ15)*AF15</f>
        <v>0</v>
      </c>
      <c r="M32" s="135">
        <f>(X32/AJ18)*AF18</f>
        <v>0</v>
      </c>
      <c r="N32" s="134">
        <f>(U32/AJ15)*AG15</f>
        <v>0</v>
      </c>
      <c r="O32" s="135">
        <f>(X32/AJ18)*AG18</f>
        <v>0</v>
      </c>
      <c r="P32" s="134">
        <f>(U32/AJ15)*AH15</f>
        <v>0</v>
      </c>
      <c r="Q32" s="135">
        <f>(X32/AJ18)*AH18</f>
        <v>0</v>
      </c>
      <c r="R32" s="133">
        <f>(U32/AJ15)*AI15</f>
        <v>0</v>
      </c>
      <c r="S32" s="136">
        <f>(X32/AJ18)*AI18</f>
        <v>0</v>
      </c>
      <c r="T32" s="116"/>
      <c r="U32" s="370">
        <f t="shared" si="1"/>
        <v>0</v>
      </c>
      <c r="V32" s="138">
        <f>IF(ISTEXT(B32),B32,(B32/B9)*W8)</f>
        <v>0</v>
      </c>
      <c r="W32" s="139">
        <f t="shared" si="2"/>
        <v>0</v>
      </c>
      <c r="X32" s="137">
        <f>(E32/B9)*W8</f>
        <v>0</v>
      </c>
      <c r="Y32" s="120"/>
      <c r="Z32" s="372">
        <f t="shared" si="3"/>
        <v>0</v>
      </c>
      <c r="AA32" s="3228" t="str">
        <f>IF(ISBLANK(AB32),"",LARGE(AA21:AA31,1)+1)</f>
        <v/>
      </c>
      <c r="AB32" s="110"/>
      <c r="AC32" s="3309" t="s">
        <v>6697</v>
      </c>
      <c r="AD32" s="110"/>
      <c r="AE32" s="110"/>
      <c r="AF32" s="110"/>
      <c r="AG32" s="110"/>
      <c r="AH32" s="110"/>
      <c r="AI32" s="110"/>
      <c r="AJ32" s="1366"/>
      <c r="AK32" s="3987"/>
      <c r="AL32" s="17"/>
      <c r="AM32" s="3790"/>
      <c r="AN32" s="3791"/>
      <c r="AO32" s="4007"/>
      <c r="AP32" s="151"/>
      <c r="AQ32" s="17"/>
      <c r="AR32" s="17"/>
      <c r="AS32" s="17"/>
      <c r="AT32" s="9">
        <v>16</v>
      </c>
    </row>
    <row r="33" spans="1:46" ht="15.95" customHeight="1">
      <c r="A33" s="3747"/>
      <c r="B33" s="106"/>
      <c r="C33" s="3301"/>
      <c r="D33" s="107"/>
      <c r="E33" s="108">
        <f t="shared" si="0"/>
        <v>0</v>
      </c>
      <c r="F33" s="109" t="str">
        <f>IF(ISBLANK(G33),"",LARGE(F14:F32,1)+1)</f>
        <v/>
      </c>
      <c r="G33" s="110"/>
      <c r="H33" s="111">
        <f>(U33/AJ15)*AD15</f>
        <v>0</v>
      </c>
      <c r="I33" s="112">
        <f>(X33/AJ18)*AD18</f>
        <v>0</v>
      </c>
      <c r="J33" s="113">
        <f>(U33/AJ15)*AE15</f>
        <v>0</v>
      </c>
      <c r="K33" s="114">
        <f>(X33/AJ18)*AE18</f>
        <v>0</v>
      </c>
      <c r="L33" s="113">
        <f>(U33/AJ15)*AF15</f>
        <v>0</v>
      </c>
      <c r="M33" s="114">
        <f>(X33/AJ18)*AF18</f>
        <v>0</v>
      </c>
      <c r="N33" s="113">
        <f>(U33/AJ15)*AG15</f>
        <v>0</v>
      </c>
      <c r="O33" s="114">
        <f>(X33/AJ18)*AG18</f>
        <v>0</v>
      </c>
      <c r="P33" s="113">
        <f>(U33/AJ15)*AH15</f>
        <v>0</v>
      </c>
      <c r="Q33" s="114">
        <f>(X33/AJ18)*AH18</f>
        <v>0</v>
      </c>
      <c r="R33" s="112">
        <f>(U33/AJ15)*AI15</f>
        <v>0</v>
      </c>
      <c r="S33" s="115">
        <f>(X33/AJ18)*AI18</f>
        <v>0</v>
      </c>
      <c r="T33" s="116"/>
      <c r="U33" s="369">
        <f t="shared" si="1"/>
        <v>0</v>
      </c>
      <c r="V33" s="148">
        <f>IF(ISTEXT(B33),B33,(B33/B9)*W8)</f>
        <v>0</v>
      </c>
      <c r="W33" s="119">
        <f t="shared" si="2"/>
        <v>0</v>
      </c>
      <c r="X33" s="117">
        <f>(E33/B9)*W8</f>
        <v>0</v>
      </c>
      <c r="Y33" s="120"/>
      <c r="Z33" s="372">
        <f t="shared" si="3"/>
        <v>0</v>
      </c>
      <c r="AA33" s="3228">
        <f>IF(ISBLANK(AB33),"",LARGE(AA21:AA32,1)+1)</f>
        <v>7</v>
      </c>
      <c r="AB33" s="110" t="s">
        <v>6696</v>
      </c>
      <c r="AC33" s="110"/>
      <c r="AD33" s="110"/>
      <c r="AE33" s="110"/>
      <c r="AF33" s="110"/>
      <c r="AG33" s="110"/>
      <c r="AH33" s="110"/>
      <c r="AI33" s="110"/>
      <c r="AJ33" s="1366"/>
      <c r="AK33" s="3987"/>
      <c r="AL33" s="17"/>
      <c r="AM33" s="3809" t="s">
        <v>93</v>
      </c>
      <c r="AN33" s="3810"/>
      <c r="AO33" s="3871"/>
      <c r="AP33" s="151"/>
      <c r="AQ33" s="17"/>
      <c r="AR33" s="17"/>
      <c r="AS33" s="17"/>
      <c r="AT33" s="9">
        <v>16</v>
      </c>
    </row>
    <row r="34" spans="1:46" ht="15.95" customHeight="1">
      <c r="A34" s="3747"/>
      <c r="B34" s="364"/>
      <c r="C34" s="3300"/>
      <c r="D34" s="129"/>
      <c r="E34" s="130">
        <f t="shared" si="0"/>
        <v>0</v>
      </c>
      <c r="F34" s="131" t="str">
        <f>IF(ISBLANK(G34),"",LARGE(F14:F33,1)+1)</f>
        <v/>
      </c>
      <c r="G34" s="110"/>
      <c r="H34" s="132">
        <f>(U34/AJ15)*AD15</f>
        <v>0</v>
      </c>
      <c r="I34" s="133">
        <f>(X34/AJ18)*AD18</f>
        <v>0</v>
      </c>
      <c r="J34" s="134">
        <f>(U34/AJ15)*AE15</f>
        <v>0</v>
      </c>
      <c r="K34" s="135">
        <f>(X34/AJ18)*AE18</f>
        <v>0</v>
      </c>
      <c r="L34" s="134">
        <f>(U34/AJ15)*AF15</f>
        <v>0</v>
      </c>
      <c r="M34" s="135">
        <f>(X34/AJ18)*AF18</f>
        <v>0</v>
      </c>
      <c r="N34" s="134">
        <f>(U34/AJ15)*AG15</f>
        <v>0</v>
      </c>
      <c r="O34" s="135">
        <f>(X34/AJ18)*AG18</f>
        <v>0</v>
      </c>
      <c r="P34" s="134">
        <f>(U34/AJ15)*AH15</f>
        <v>0</v>
      </c>
      <c r="Q34" s="135">
        <f>(X34/AJ18)*AH18</f>
        <v>0</v>
      </c>
      <c r="R34" s="133">
        <f>(U34/AJ15)*AI15</f>
        <v>0</v>
      </c>
      <c r="S34" s="136">
        <f>(X34/AJ18)*AI18</f>
        <v>0</v>
      </c>
      <c r="T34" s="116"/>
      <c r="U34" s="370">
        <f t="shared" si="1"/>
        <v>0</v>
      </c>
      <c r="V34" s="138">
        <f>IF(ISTEXT(B34),B34,(B34/B9)*W8)</f>
        <v>0</v>
      </c>
      <c r="W34" s="139">
        <f t="shared" si="2"/>
        <v>0</v>
      </c>
      <c r="X34" s="137">
        <f>(E34/B9)*W8</f>
        <v>0</v>
      </c>
      <c r="Y34" s="120"/>
      <c r="Z34" s="372">
        <f t="shared" si="3"/>
        <v>0</v>
      </c>
      <c r="AA34" s="3228">
        <f>IF(ISBLANK(AB34),"",LARGE(AA21:AA33,1)+1)</f>
        <v>8</v>
      </c>
      <c r="AB34" s="110" t="s">
        <v>6695</v>
      </c>
      <c r="AC34" s="110"/>
      <c r="AD34" s="110"/>
      <c r="AE34" s="110"/>
      <c r="AF34" s="110"/>
      <c r="AG34" s="110"/>
      <c r="AH34" s="110"/>
      <c r="AI34" s="110"/>
      <c r="AJ34" s="1366"/>
      <c r="AK34" s="3987"/>
      <c r="AL34" s="17"/>
      <c r="AM34" s="3809"/>
      <c r="AN34" s="3810"/>
      <c r="AO34" s="3871"/>
      <c r="AP34" s="151"/>
      <c r="AQ34" s="17"/>
      <c r="AR34" s="17"/>
      <c r="AS34" s="17"/>
      <c r="AT34" s="9">
        <v>16</v>
      </c>
    </row>
    <row r="35" spans="1:46" ht="15.95" customHeight="1">
      <c r="A35" s="3747"/>
      <c r="B35" s="106"/>
      <c r="C35" s="3301"/>
      <c r="D35" s="107"/>
      <c r="E35" s="108">
        <f t="shared" si="0"/>
        <v>0</v>
      </c>
      <c r="F35" s="109" t="str">
        <f>IF(ISBLANK(G35),"",LARGE(F14:F34,1)+1)</f>
        <v/>
      </c>
      <c r="G35" s="110"/>
      <c r="H35" s="111">
        <f>(U35/AJ15)*AD15</f>
        <v>0</v>
      </c>
      <c r="I35" s="112">
        <f>(X35/AJ18)*AD18</f>
        <v>0</v>
      </c>
      <c r="J35" s="113">
        <f>(U35/AJ15)*AE15</f>
        <v>0</v>
      </c>
      <c r="K35" s="114">
        <f>(X35/AJ18)*AE18</f>
        <v>0</v>
      </c>
      <c r="L35" s="113">
        <f>(U35/AJ15)*AF15</f>
        <v>0</v>
      </c>
      <c r="M35" s="114">
        <f>(X35/AJ18)*AF18</f>
        <v>0</v>
      </c>
      <c r="N35" s="113">
        <f>(U35/AJ15)*AG15</f>
        <v>0</v>
      </c>
      <c r="O35" s="114">
        <f>(X35/AJ18)*AG18</f>
        <v>0</v>
      </c>
      <c r="P35" s="113">
        <f>(U35/AJ15)*AH15</f>
        <v>0</v>
      </c>
      <c r="Q35" s="114">
        <f>(X35/AJ18)*AH18</f>
        <v>0</v>
      </c>
      <c r="R35" s="112">
        <f>(U35/AJ15)*AI15</f>
        <v>0</v>
      </c>
      <c r="S35" s="115">
        <f>(X35/AJ18)*AI18</f>
        <v>0</v>
      </c>
      <c r="T35" s="116"/>
      <c r="U35" s="369">
        <f t="shared" si="1"/>
        <v>0</v>
      </c>
      <c r="V35" s="148">
        <f>IF(ISTEXT(B35),B35,(B35/B9)*W8)</f>
        <v>0</v>
      </c>
      <c r="W35" s="119">
        <f t="shared" si="2"/>
        <v>0</v>
      </c>
      <c r="X35" s="117">
        <f>(E35/B9)*W8</f>
        <v>0</v>
      </c>
      <c r="Y35" s="120"/>
      <c r="Z35" s="372">
        <f t="shared" si="3"/>
        <v>0</v>
      </c>
      <c r="AA35" s="3228" t="str">
        <f>IF(ISBLANK(AB35),"",LARGE(AA21:AA34,1)+1)</f>
        <v/>
      </c>
      <c r="AB35" s="110"/>
      <c r="AC35" s="110"/>
      <c r="AD35" s="110"/>
      <c r="AE35" s="110"/>
      <c r="AF35" s="110"/>
      <c r="AG35" s="110"/>
      <c r="AH35" s="110"/>
      <c r="AI35" s="110"/>
      <c r="AJ35" s="1366"/>
      <c r="AK35" s="3987"/>
      <c r="AL35" s="17"/>
      <c r="AM35" s="3809"/>
      <c r="AN35" s="3810"/>
      <c r="AO35" s="3871"/>
      <c r="AP35" s="151"/>
      <c r="AQ35" s="17"/>
      <c r="AR35" s="17"/>
      <c r="AS35" s="17"/>
      <c r="AT35" s="9">
        <v>16</v>
      </c>
    </row>
    <row r="36" spans="1:46" ht="15.95" customHeight="1">
      <c r="A36" s="3747"/>
      <c r="B36" s="364"/>
      <c r="C36" s="3300"/>
      <c r="D36" s="129"/>
      <c r="E36" s="130">
        <f t="shared" si="0"/>
        <v>0</v>
      </c>
      <c r="F36" s="131" t="str">
        <f>IF(ISBLANK(G36),"",LARGE(F14:F35,1)+1)</f>
        <v/>
      </c>
      <c r="G36" s="110"/>
      <c r="H36" s="132">
        <f>(U36/AJ15)*AD15</f>
        <v>0</v>
      </c>
      <c r="I36" s="133">
        <f>(X36/AJ18)*AD18</f>
        <v>0</v>
      </c>
      <c r="J36" s="134">
        <f>(U36/AJ15)*AE15</f>
        <v>0</v>
      </c>
      <c r="K36" s="135">
        <f>(X36/AJ18)*AE18</f>
        <v>0</v>
      </c>
      <c r="L36" s="134">
        <f>(U36/AJ15)*AF15</f>
        <v>0</v>
      </c>
      <c r="M36" s="135">
        <f>(X36/AJ18)*AF18</f>
        <v>0</v>
      </c>
      <c r="N36" s="134">
        <f>(U36/AJ15)*AG15</f>
        <v>0</v>
      </c>
      <c r="O36" s="135">
        <f>(X36/AJ18)*AG18</f>
        <v>0</v>
      </c>
      <c r="P36" s="134">
        <f>(U36/AJ15)*AH15</f>
        <v>0</v>
      </c>
      <c r="Q36" s="135">
        <f>(X36/AJ18)*AH18</f>
        <v>0</v>
      </c>
      <c r="R36" s="133">
        <f>(U36/AJ15)*AI15</f>
        <v>0</v>
      </c>
      <c r="S36" s="136">
        <f>(X36/AJ18)*AI18</f>
        <v>0</v>
      </c>
      <c r="T36" s="116"/>
      <c r="U36" s="370">
        <f t="shared" si="1"/>
        <v>0</v>
      </c>
      <c r="V36" s="138">
        <f>IF(ISTEXT(B36),B36,(B36/B9)*W8)</f>
        <v>0</v>
      </c>
      <c r="W36" s="139">
        <f t="shared" si="2"/>
        <v>0</v>
      </c>
      <c r="X36" s="137">
        <f>(E36/B9)*W8</f>
        <v>0</v>
      </c>
      <c r="Y36" s="120"/>
      <c r="Z36" s="372">
        <f t="shared" si="3"/>
        <v>0</v>
      </c>
      <c r="AA36" s="3228" t="str">
        <f>IF(ISBLANK(AB36),"",LARGE(AA21:AA35,1)+1)</f>
        <v/>
      </c>
      <c r="AB36" s="187"/>
      <c r="AC36" s="110"/>
      <c r="AD36" s="110"/>
      <c r="AE36" s="110"/>
      <c r="AF36" s="110"/>
      <c r="AG36" s="110"/>
      <c r="AH36" s="110"/>
      <c r="AI36" s="110"/>
      <c r="AJ36" s="1366"/>
      <c r="AK36" s="3987"/>
      <c r="AL36" s="17"/>
      <c r="AM36" s="188"/>
      <c r="AN36" s="189" t="s">
        <v>94</v>
      </c>
      <c r="AO36" s="572" t="str">
        <f>ADDRESS(ROW(AD13),COLUMN(AD13),4)</f>
        <v>AD13</v>
      </c>
      <c r="AP36" s="151"/>
      <c r="AQ36" s="17"/>
      <c r="AR36" s="17"/>
      <c r="AS36" s="17"/>
      <c r="AT36" s="9">
        <v>16</v>
      </c>
    </row>
    <row r="37" spans="1:46" ht="15.95" customHeight="1">
      <c r="A37" s="3747"/>
      <c r="B37" s="106"/>
      <c r="C37" s="3301"/>
      <c r="D37" s="107"/>
      <c r="E37" s="108">
        <f t="shared" si="0"/>
        <v>0</v>
      </c>
      <c r="F37" s="109" t="str">
        <f>IF(ISBLANK(G37),"",LARGE(F14:F36,1)+1)</f>
        <v/>
      </c>
      <c r="G37" s="110"/>
      <c r="H37" s="111">
        <f>(U37/AJ15)*AD15</f>
        <v>0</v>
      </c>
      <c r="I37" s="112">
        <f>(X37/AJ18)*AD18</f>
        <v>0</v>
      </c>
      <c r="J37" s="113">
        <f>(U37/AJ15)*AE15</f>
        <v>0</v>
      </c>
      <c r="K37" s="114">
        <f>(X37/AJ18)*AE18</f>
        <v>0</v>
      </c>
      <c r="L37" s="113">
        <f>(U37/AJ15)*AF15</f>
        <v>0</v>
      </c>
      <c r="M37" s="114">
        <f>(X37/AJ18)*AF18</f>
        <v>0</v>
      </c>
      <c r="N37" s="113">
        <f>(U37/AJ15)*AG15</f>
        <v>0</v>
      </c>
      <c r="O37" s="114">
        <f>(X37/AJ18)*AG18</f>
        <v>0</v>
      </c>
      <c r="P37" s="113">
        <f>(U37/AJ15)*AH15</f>
        <v>0</v>
      </c>
      <c r="Q37" s="114">
        <f>(X37/AJ18)*AH18</f>
        <v>0</v>
      </c>
      <c r="R37" s="112">
        <f>(U37/AJ15)*AI15</f>
        <v>0</v>
      </c>
      <c r="S37" s="115">
        <f>(X37/AJ18)*AI18</f>
        <v>0</v>
      </c>
      <c r="T37" s="116"/>
      <c r="U37" s="369">
        <f t="shared" si="1"/>
        <v>0</v>
      </c>
      <c r="V37" s="148">
        <f>IF(ISTEXT(B37),B37,(B37/B9)*W8)</f>
        <v>0</v>
      </c>
      <c r="W37" s="119">
        <f t="shared" si="2"/>
        <v>0</v>
      </c>
      <c r="X37" s="117">
        <f>(E37/B9)*W8</f>
        <v>0</v>
      </c>
      <c r="Y37" s="120"/>
      <c r="Z37" s="372">
        <f t="shared" si="3"/>
        <v>0</v>
      </c>
      <c r="AA37" s="3228" t="str">
        <f>IF(ISBLANK(AB37),"",LARGE(AA21:AA36,1)+1)</f>
        <v/>
      </c>
      <c r="AB37" s="187"/>
      <c r="AC37" s="110"/>
      <c r="AD37" s="110"/>
      <c r="AE37" s="110"/>
      <c r="AF37" s="110"/>
      <c r="AG37" s="110"/>
      <c r="AH37" s="110"/>
      <c r="AI37" s="110"/>
      <c r="AJ37" s="1366"/>
      <c r="AK37" s="3987"/>
      <c r="AL37" s="17"/>
      <c r="AM37" s="188"/>
      <c r="AN37" s="189" t="s">
        <v>33</v>
      </c>
      <c r="AO37" s="572" t="str">
        <f>ADDRESS(ROW(AI13),COLUMN(AI13),4)</f>
        <v>AI13</v>
      </c>
      <c r="AP37" s="151"/>
      <c r="AQ37" s="17"/>
      <c r="AR37" s="17"/>
      <c r="AS37" s="17"/>
      <c r="AT37" s="9">
        <v>16</v>
      </c>
    </row>
    <row r="38" spans="1:46" ht="15.95" customHeight="1">
      <c r="A38" s="3747"/>
      <c r="B38" s="364"/>
      <c r="C38" s="3300"/>
      <c r="D38" s="129"/>
      <c r="E38" s="130">
        <f t="shared" si="0"/>
        <v>0</v>
      </c>
      <c r="F38" s="131" t="str">
        <f>IF(ISBLANK(G38),"",LARGE(F14:F37,1)+1)</f>
        <v/>
      </c>
      <c r="G38" s="110"/>
      <c r="H38" s="132">
        <f>(U38/AJ15)*AD15</f>
        <v>0</v>
      </c>
      <c r="I38" s="133">
        <f>(X38/AJ18)*AD18</f>
        <v>0</v>
      </c>
      <c r="J38" s="134">
        <f>(U38/AJ15)*AE15</f>
        <v>0</v>
      </c>
      <c r="K38" s="135">
        <f>(X38/AJ18)*AE18</f>
        <v>0</v>
      </c>
      <c r="L38" s="134">
        <f>(U38/AJ15)*AF15</f>
        <v>0</v>
      </c>
      <c r="M38" s="135">
        <f>(X38/AJ18)*AF18</f>
        <v>0</v>
      </c>
      <c r="N38" s="134">
        <f>(U38/AJ15)*AG15</f>
        <v>0</v>
      </c>
      <c r="O38" s="135">
        <f>(X38/AJ18)*AG18</f>
        <v>0</v>
      </c>
      <c r="P38" s="134">
        <f>(U38/AJ15)*AH15</f>
        <v>0</v>
      </c>
      <c r="Q38" s="135">
        <f>(X38/AJ18)*AH18</f>
        <v>0</v>
      </c>
      <c r="R38" s="133">
        <f>(U38/AJ15)*AI15</f>
        <v>0</v>
      </c>
      <c r="S38" s="136">
        <f>(X38/AJ18)*AI18</f>
        <v>0</v>
      </c>
      <c r="T38" s="116"/>
      <c r="U38" s="370">
        <f t="shared" si="1"/>
        <v>0</v>
      </c>
      <c r="V38" s="138">
        <f>IF(ISTEXT(B38),B38,(B38/B9)*W8)</f>
        <v>0</v>
      </c>
      <c r="W38" s="139">
        <f t="shared" si="2"/>
        <v>0</v>
      </c>
      <c r="X38" s="137">
        <f>(E38/B9)*W8</f>
        <v>0</v>
      </c>
      <c r="Y38" s="120"/>
      <c r="Z38" s="372">
        <f t="shared" si="3"/>
        <v>0</v>
      </c>
      <c r="AA38" s="3228" t="str">
        <f>IF(ISBLANK(AB38),"",LARGE(AA21:AA37,1)+1)</f>
        <v/>
      </c>
      <c r="AB38" s="187"/>
      <c r="AC38" s="110"/>
      <c r="AD38" s="110"/>
      <c r="AE38" s="110"/>
      <c r="AF38" s="110"/>
      <c r="AG38" s="110"/>
      <c r="AH38" s="110"/>
      <c r="AI38" s="110"/>
      <c r="AJ38" s="1366"/>
      <c r="AK38" s="3987"/>
      <c r="AL38" s="17"/>
      <c r="AM38" s="191" t="s">
        <v>95</v>
      </c>
      <c r="AN38" s="192"/>
      <c r="AO38" s="3307"/>
      <c r="AP38" s="151"/>
      <c r="AQ38" s="17"/>
      <c r="AR38" s="17"/>
      <c r="AS38" s="17"/>
      <c r="AT38" s="9">
        <v>16</v>
      </c>
    </row>
    <row r="39" spans="1:46" ht="15.95" customHeight="1">
      <c r="A39" s="3747"/>
      <c r="B39" s="106"/>
      <c r="C39" s="3301"/>
      <c r="D39" s="107"/>
      <c r="E39" s="108">
        <f t="shared" si="0"/>
        <v>0</v>
      </c>
      <c r="F39" s="109" t="str">
        <f>IF(ISBLANK(G39),"",LARGE(F14:F38,1)+1)</f>
        <v/>
      </c>
      <c r="G39" s="110"/>
      <c r="H39" s="111">
        <f>(U39/AJ15)*AD15</f>
        <v>0</v>
      </c>
      <c r="I39" s="112">
        <f>(X39/AJ18)*AD18</f>
        <v>0</v>
      </c>
      <c r="J39" s="113">
        <f>(U39/AJ15)*AE15</f>
        <v>0</v>
      </c>
      <c r="K39" s="114">
        <f>(X39/AJ18)*AE18</f>
        <v>0</v>
      </c>
      <c r="L39" s="113">
        <f>(U39/AJ15)*AF15</f>
        <v>0</v>
      </c>
      <c r="M39" s="114">
        <f>(X39/AJ18)*AF18</f>
        <v>0</v>
      </c>
      <c r="N39" s="113">
        <f>(U39/AJ15)*AG15</f>
        <v>0</v>
      </c>
      <c r="O39" s="114">
        <f>(X39/AJ18)*AG18</f>
        <v>0</v>
      </c>
      <c r="P39" s="113">
        <f>(U39/AJ15)*AH15</f>
        <v>0</v>
      </c>
      <c r="Q39" s="114">
        <f>(X39/AJ18)*AH18</f>
        <v>0</v>
      </c>
      <c r="R39" s="112">
        <f>(U39/AJ15)*AI15</f>
        <v>0</v>
      </c>
      <c r="S39" s="115">
        <f>(X39/AJ18)*AI18</f>
        <v>0</v>
      </c>
      <c r="T39" s="116"/>
      <c r="U39" s="369">
        <f t="shared" si="1"/>
        <v>0</v>
      </c>
      <c r="V39" s="148">
        <f>IF(ISTEXT(B39),B39,(B39/B9)*W8)</f>
        <v>0</v>
      </c>
      <c r="W39" s="119">
        <f t="shared" si="2"/>
        <v>0</v>
      </c>
      <c r="X39" s="117">
        <f>(E39/B9)*W8</f>
        <v>0</v>
      </c>
      <c r="Y39" s="120"/>
      <c r="Z39" s="372">
        <f t="shared" si="3"/>
        <v>0</v>
      </c>
      <c r="AA39" s="3228" t="str">
        <f>IF(ISBLANK(AB39),"",LARGE(AA21:AA38,1)+1)</f>
        <v/>
      </c>
      <c r="AB39" s="187"/>
      <c r="AC39" s="110"/>
      <c r="AD39" s="110"/>
      <c r="AE39" s="110"/>
      <c r="AF39" s="110"/>
      <c r="AG39" s="110"/>
      <c r="AH39" s="110"/>
      <c r="AI39" s="110"/>
      <c r="AJ39" s="1366"/>
      <c r="AK39" s="3987"/>
      <c r="AL39" s="17"/>
      <c r="AM39" s="194"/>
      <c r="AN39" s="195" t="s">
        <v>96</v>
      </c>
      <c r="AO39" s="3308" t="str">
        <f>ADDRESS(ROW(AD14),COLUMN(AD14),4)</f>
        <v>AD14</v>
      </c>
      <c r="AP39" s="151"/>
      <c r="AQ39" s="17"/>
      <c r="AR39" s="17"/>
      <c r="AS39" s="17"/>
      <c r="AT39" s="9">
        <v>16</v>
      </c>
    </row>
    <row r="40" spans="1:46" ht="15.95" customHeight="1">
      <c r="A40" s="3747"/>
      <c r="B40" s="364"/>
      <c r="C40" s="3300"/>
      <c r="D40" s="129"/>
      <c r="E40" s="130">
        <f t="shared" si="0"/>
        <v>0</v>
      </c>
      <c r="F40" s="131" t="str">
        <f>IF(ISBLANK(G40),"",LARGE(F14:F39,1)+1)</f>
        <v/>
      </c>
      <c r="G40" s="110"/>
      <c r="H40" s="132">
        <f>(U40/AJ15)*AD15</f>
        <v>0</v>
      </c>
      <c r="I40" s="133">
        <f>(X40/AJ18)*AD18</f>
        <v>0</v>
      </c>
      <c r="J40" s="134">
        <f>(U40/AJ15)*AE15</f>
        <v>0</v>
      </c>
      <c r="K40" s="135">
        <f>(X40/AJ18)*AE18</f>
        <v>0</v>
      </c>
      <c r="L40" s="134">
        <f>(U40/AJ15)*AF15</f>
        <v>0</v>
      </c>
      <c r="M40" s="135">
        <f>(X40/AJ18)*AF18</f>
        <v>0</v>
      </c>
      <c r="N40" s="134">
        <f>(U40/AJ15)*AG15</f>
        <v>0</v>
      </c>
      <c r="O40" s="135">
        <f>(X40/AJ18)*AG18</f>
        <v>0</v>
      </c>
      <c r="P40" s="134">
        <f>(U40/AJ15)*AH15</f>
        <v>0</v>
      </c>
      <c r="Q40" s="135">
        <f>(X40/AJ18)*AH18</f>
        <v>0</v>
      </c>
      <c r="R40" s="133">
        <f>(U40/AJ15)*AI15</f>
        <v>0</v>
      </c>
      <c r="S40" s="136">
        <f>(X40/AJ18)*AI18</f>
        <v>0</v>
      </c>
      <c r="T40" s="116"/>
      <c r="U40" s="370">
        <f t="shared" si="1"/>
        <v>0</v>
      </c>
      <c r="V40" s="138">
        <f>IF(ISTEXT(B40),B40,(B40/B9)*W8)</f>
        <v>0</v>
      </c>
      <c r="W40" s="139">
        <f t="shared" si="2"/>
        <v>0</v>
      </c>
      <c r="X40" s="137">
        <f>(E40/B9)*W8</f>
        <v>0</v>
      </c>
      <c r="Y40" s="120"/>
      <c r="Z40" s="372">
        <f t="shared" si="3"/>
        <v>0</v>
      </c>
      <c r="AA40" s="3228" t="str">
        <f>IF(ISBLANK(AB40),"",LARGE(AA21:AA39,1)+1)</f>
        <v/>
      </c>
      <c r="AB40" s="187"/>
      <c r="AC40" s="110"/>
      <c r="AD40" s="110"/>
      <c r="AE40" s="110"/>
      <c r="AF40" s="110"/>
      <c r="AG40" s="110"/>
      <c r="AH40" s="110"/>
      <c r="AI40" s="110"/>
      <c r="AJ40" s="1366"/>
      <c r="AK40" s="3987"/>
      <c r="AL40" s="17"/>
      <c r="AM40" s="194"/>
      <c r="AN40" s="197" t="s">
        <v>33</v>
      </c>
      <c r="AO40" s="3308" t="str">
        <f>ADDRESS(ROW(AI14),COLUMN(AI14),4)</f>
        <v>AI14</v>
      </c>
      <c r="AP40" s="151"/>
      <c r="AQ40" s="17"/>
      <c r="AR40" s="17"/>
      <c r="AS40" s="17"/>
      <c r="AT40" s="9">
        <v>16</v>
      </c>
    </row>
    <row r="41" spans="1:46" ht="15.95" customHeight="1">
      <c r="A41" s="3747"/>
      <c r="B41" s="106"/>
      <c r="C41" s="3301"/>
      <c r="D41" s="107"/>
      <c r="E41" s="108">
        <f t="shared" si="0"/>
        <v>0</v>
      </c>
      <c r="F41" s="109" t="str">
        <f>IF(ISBLANK(G41),"",LARGE(F14:F40,1)+1)</f>
        <v/>
      </c>
      <c r="G41" s="110"/>
      <c r="H41" s="111">
        <f>(U41/AJ15)*AD15</f>
        <v>0</v>
      </c>
      <c r="I41" s="112">
        <f>(X41/AJ18)*AD18</f>
        <v>0</v>
      </c>
      <c r="J41" s="113">
        <f>(U41/AJ15)*AE15</f>
        <v>0</v>
      </c>
      <c r="K41" s="114">
        <f>(X41/AJ18)*AE18</f>
        <v>0</v>
      </c>
      <c r="L41" s="113">
        <f>(U41/AJ15)*AF15</f>
        <v>0</v>
      </c>
      <c r="M41" s="114">
        <f>(X41/AJ18)*AF18</f>
        <v>0</v>
      </c>
      <c r="N41" s="113">
        <f>(U41/AJ15)*AG15</f>
        <v>0</v>
      </c>
      <c r="O41" s="114">
        <f>(X41/AJ18)*AG18</f>
        <v>0</v>
      </c>
      <c r="P41" s="113">
        <f>(U41/AJ15)*AH15</f>
        <v>0</v>
      </c>
      <c r="Q41" s="114">
        <f>(X41/AJ18)*AH18</f>
        <v>0</v>
      </c>
      <c r="R41" s="112">
        <f>(U41/AJ15)*AI15</f>
        <v>0</v>
      </c>
      <c r="S41" s="115">
        <f>(X41/AJ18)*AI18</f>
        <v>0</v>
      </c>
      <c r="T41" s="116"/>
      <c r="U41" s="369">
        <f t="shared" si="1"/>
        <v>0</v>
      </c>
      <c r="V41" s="148">
        <f>IF(ISTEXT(B41),B41,(B41/B9)*W8)</f>
        <v>0</v>
      </c>
      <c r="W41" s="119">
        <f t="shared" si="2"/>
        <v>0</v>
      </c>
      <c r="X41" s="117">
        <f>(E41/B9)*W8</f>
        <v>0</v>
      </c>
      <c r="Y41" s="120"/>
      <c r="Z41" s="372">
        <f t="shared" si="3"/>
        <v>0</v>
      </c>
      <c r="AA41" s="3228">
        <f>IF(ISBLANK(AB41),"",LARGE(AA21:AA40,1)+1)</f>
        <v>9</v>
      </c>
      <c r="AB41" s="110" t="s">
        <v>84</v>
      </c>
      <c r="AC41" s="110"/>
      <c r="AD41" s="110"/>
      <c r="AE41" s="110"/>
      <c r="AF41" s="110"/>
      <c r="AG41" s="110"/>
      <c r="AH41" s="110"/>
      <c r="AI41" s="110"/>
      <c r="AJ41" s="1366"/>
      <c r="AK41" s="3987"/>
      <c r="AL41" s="17"/>
      <c r="AM41" s="198" t="s">
        <v>97</v>
      </c>
      <c r="AN41" s="192"/>
      <c r="AO41" s="3307"/>
      <c r="AP41" s="151"/>
      <c r="AQ41" s="17"/>
      <c r="AR41" s="17"/>
      <c r="AS41" s="17"/>
      <c r="AT41" s="9">
        <v>16</v>
      </c>
    </row>
    <row r="42" spans="1:46" ht="15.95" customHeight="1">
      <c r="A42" s="3747"/>
      <c r="B42" s="364"/>
      <c r="C42" s="3300"/>
      <c r="D42" s="129"/>
      <c r="E42" s="130">
        <f t="shared" si="0"/>
        <v>0</v>
      </c>
      <c r="F42" s="131" t="str">
        <f>IF(ISBLANK(G42),"",LARGE(F14:F41,1)+1)</f>
        <v/>
      </c>
      <c r="G42" s="110"/>
      <c r="H42" s="132">
        <f>(U42/AJ15)*AD15</f>
        <v>0</v>
      </c>
      <c r="I42" s="133">
        <f>(X42/AJ18)*AD18</f>
        <v>0</v>
      </c>
      <c r="J42" s="134">
        <f>(U42/AJ15)*AE15</f>
        <v>0</v>
      </c>
      <c r="K42" s="135">
        <f>(X42/AJ18)*AE18</f>
        <v>0</v>
      </c>
      <c r="L42" s="134">
        <f>(U42/AJ15)*AF15</f>
        <v>0</v>
      </c>
      <c r="M42" s="135">
        <f>(X42/AJ18)*AF18</f>
        <v>0</v>
      </c>
      <c r="N42" s="134">
        <f>(U42/AJ15)*AG15</f>
        <v>0</v>
      </c>
      <c r="O42" s="135">
        <f>(X42/AJ18)*AG18</f>
        <v>0</v>
      </c>
      <c r="P42" s="134">
        <f>(U42/AJ15)*AH15</f>
        <v>0</v>
      </c>
      <c r="Q42" s="135">
        <f>(X42/AJ18)*AH18</f>
        <v>0</v>
      </c>
      <c r="R42" s="133">
        <f>(U42/AJ15)*AI15</f>
        <v>0</v>
      </c>
      <c r="S42" s="136">
        <f>(X42/AJ18)*AI18</f>
        <v>0</v>
      </c>
      <c r="T42" s="116"/>
      <c r="U42" s="370">
        <f t="shared" si="1"/>
        <v>0</v>
      </c>
      <c r="V42" s="138">
        <f>IF(ISTEXT(B42),B42,(B42/B9)*W8)</f>
        <v>0</v>
      </c>
      <c r="W42" s="139">
        <f t="shared" si="2"/>
        <v>0</v>
      </c>
      <c r="X42" s="137">
        <f>(E42/B9)*W8</f>
        <v>0</v>
      </c>
      <c r="Y42" s="120"/>
      <c r="Z42" s="372">
        <f t="shared" si="3"/>
        <v>0</v>
      </c>
      <c r="AA42" s="3228">
        <f>IF(ISBLANK(AB42),"",LARGE(AA21:AA41,1)+1)</f>
        <v>10</v>
      </c>
      <c r="AB42" s="110" t="s">
        <v>85</v>
      </c>
      <c r="AC42" s="110"/>
      <c r="AD42" s="110"/>
      <c r="AE42" s="110"/>
      <c r="AF42" s="110"/>
      <c r="AG42" s="110"/>
      <c r="AH42" s="110"/>
      <c r="AI42" s="110"/>
      <c r="AJ42" s="1366"/>
      <c r="AK42" s="3987"/>
      <c r="AL42" s="17"/>
      <c r="AM42" s="194"/>
      <c r="AN42" s="195" t="s">
        <v>98</v>
      </c>
      <c r="AO42" s="3306" t="str">
        <f>ADDRESS(ROW(AB16),COLUMN(AB16),4)</f>
        <v>AB16</v>
      </c>
      <c r="AP42" s="151"/>
      <c r="AQ42" s="17"/>
      <c r="AR42" s="17"/>
      <c r="AS42" s="17"/>
      <c r="AT42" s="9">
        <v>16</v>
      </c>
    </row>
    <row r="43" spans="1:46" ht="15.95" customHeight="1">
      <c r="A43" s="3747"/>
      <c r="B43" s="106"/>
      <c r="C43" s="3301"/>
      <c r="D43" s="107"/>
      <c r="E43" s="108">
        <f t="shared" si="0"/>
        <v>0</v>
      </c>
      <c r="F43" s="109" t="str">
        <f>IF(ISBLANK(G43),"",LARGE(F14:F42,1)+1)</f>
        <v/>
      </c>
      <c r="G43" s="110"/>
      <c r="H43" s="111">
        <f>(U43/AJ15)*AD15</f>
        <v>0</v>
      </c>
      <c r="I43" s="112">
        <f>(X43/AJ18)*AD18</f>
        <v>0</v>
      </c>
      <c r="J43" s="113">
        <f>(U43/AJ15)*AE15</f>
        <v>0</v>
      </c>
      <c r="K43" s="114">
        <f>(X43/AJ18)*AE18</f>
        <v>0</v>
      </c>
      <c r="L43" s="113">
        <f>(U43/AJ15)*AF15</f>
        <v>0</v>
      </c>
      <c r="M43" s="114">
        <f>(X43/AJ18)*AF18</f>
        <v>0</v>
      </c>
      <c r="N43" s="113">
        <f>(U43/AJ15)*AG15</f>
        <v>0</v>
      </c>
      <c r="O43" s="114">
        <f>(X43/AJ18)*AG18</f>
        <v>0</v>
      </c>
      <c r="P43" s="113">
        <f>(U43/AJ15)*AH15</f>
        <v>0</v>
      </c>
      <c r="Q43" s="114">
        <f>(X43/AJ18)*AH18</f>
        <v>0</v>
      </c>
      <c r="R43" s="112">
        <f>(U43/AJ15)*AI15</f>
        <v>0</v>
      </c>
      <c r="S43" s="115">
        <f>(X43/AJ18)*AI18</f>
        <v>0</v>
      </c>
      <c r="T43" s="116"/>
      <c r="U43" s="369">
        <f t="shared" si="1"/>
        <v>0</v>
      </c>
      <c r="V43" s="148">
        <f>IF(ISTEXT(B43),B43,(B43/B9)*W8)</f>
        <v>0</v>
      </c>
      <c r="W43" s="119">
        <f t="shared" si="2"/>
        <v>0</v>
      </c>
      <c r="X43" s="117">
        <f>(E43/B9)*W8</f>
        <v>0</v>
      </c>
      <c r="Y43" s="120"/>
      <c r="Z43" s="372">
        <f t="shared" si="3"/>
        <v>0</v>
      </c>
      <c r="AA43" s="3228" t="str">
        <f>IF(ISBLANK(AB43),"",LARGE(AA21:AA42,1)+1)</f>
        <v/>
      </c>
      <c r="AB43" s="110"/>
      <c r="AC43" s="110" t="s">
        <v>86</v>
      </c>
      <c r="AD43" s="110"/>
      <c r="AE43" s="110"/>
      <c r="AF43" s="110"/>
      <c r="AG43" s="110"/>
      <c r="AH43" s="110"/>
      <c r="AI43" s="110"/>
      <c r="AJ43" s="1366"/>
      <c r="AK43" s="3987"/>
      <c r="AL43" s="17"/>
      <c r="AM43" s="3812" t="s">
        <v>99</v>
      </c>
      <c r="AN43" s="3813"/>
      <c r="AO43" s="4008"/>
      <c r="AP43" s="151"/>
      <c r="AQ43" s="17"/>
      <c r="AR43" s="17"/>
      <c r="AS43" s="17"/>
      <c r="AT43" s="9">
        <v>16</v>
      </c>
    </row>
    <row r="44" spans="1:46" ht="15.95" customHeight="1">
      <c r="A44" s="3747"/>
      <c r="B44" s="364"/>
      <c r="C44" s="3300"/>
      <c r="D44" s="129"/>
      <c r="E44" s="130">
        <f t="shared" si="0"/>
        <v>0</v>
      </c>
      <c r="F44" s="131" t="str">
        <f>IF(ISBLANK(G44),"",LARGE(F14:F43,1)+1)</f>
        <v/>
      </c>
      <c r="G44" s="110"/>
      <c r="H44" s="132">
        <f>(U44/AJ15)*AD15</f>
        <v>0</v>
      </c>
      <c r="I44" s="133">
        <f>(X44/AJ18)*AD18</f>
        <v>0</v>
      </c>
      <c r="J44" s="134">
        <f>(U44/AJ15)*AE15</f>
        <v>0</v>
      </c>
      <c r="K44" s="135">
        <f>(X44/AJ18)*AE18</f>
        <v>0</v>
      </c>
      <c r="L44" s="134">
        <f>(U44/AJ15)*AF15</f>
        <v>0</v>
      </c>
      <c r="M44" s="135">
        <f>(X44/AJ18)*AF18</f>
        <v>0</v>
      </c>
      <c r="N44" s="134">
        <f>(U44/AJ15)*AG15</f>
        <v>0</v>
      </c>
      <c r="O44" s="135">
        <f>(X44/AJ18)*AG18</f>
        <v>0</v>
      </c>
      <c r="P44" s="134">
        <f>(U44/AJ15)*AH15</f>
        <v>0</v>
      </c>
      <c r="Q44" s="135">
        <f>(X44/AJ18)*AH18</f>
        <v>0</v>
      </c>
      <c r="R44" s="133">
        <f>(U44/AJ15)*AI15</f>
        <v>0</v>
      </c>
      <c r="S44" s="136">
        <f>(X44/AJ18)*AI18</f>
        <v>0</v>
      </c>
      <c r="T44" s="116"/>
      <c r="U44" s="370">
        <f t="shared" si="1"/>
        <v>0</v>
      </c>
      <c r="V44" s="138">
        <f>IF(ISTEXT(B44),B44,(B44/B9)*W8)</f>
        <v>0</v>
      </c>
      <c r="W44" s="139">
        <f t="shared" si="2"/>
        <v>0</v>
      </c>
      <c r="X44" s="137">
        <f>(E44/B9)*W8</f>
        <v>0</v>
      </c>
      <c r="Y44" s="120"/>
      <c r="Z44" s="372">
        <f t="shared" si="3"/>
        <v>0</v>
      </c>
      <c r="AA44" s="3228" t="str">
        <f>IF(ISBLANK(AB44),"",LARGE(AA21:AA43,1)+1)</f>
        <v/>
      </c>
      <c r="AB44" s="187"/>
      <c r="AC44" s="110"/>
      <c r="AD44" s="110"/>
      <c r="AE44" s="110"/>
      <c r="AF44" s="110"/>
      <c r="AG44" s="110"/>
      <c r="AH44" s="110"/>
      <c r="AI44" s="110"/>
      <c r="AJ44" s="1366"/>
      <c r="AK44" s="3987"/>
      <c r="AL44" s="17"/>
      <c r="AM44" s="3812"/>
      <c r="AN44" s="3813"/>
      <c r="AO44" s="4008"/>
      <c r="AP44" s="151"/>
      <c r="AQ44" s="17"/>
      <c r="AR44" s="17"/>
      <c r="AS44" s="17"/>
      <c r="AT44" s="9">
        <v>16</v>
      </c>
    </row>
    <row r="45" spans="1:46" ht="15.95" customHeight="1">
      <c r="A45" s="3747"/>
      <c r="B45" s="106"/>
      <c r="C45" s="3301"/>
      <c r="D45" s="107"/>
      <c r="E45" s="108">
        <f t="shared" si="0"/>
        <v>0</v>
      </c>
      <c r="F45" s="109" t="str">
        <f>IF(ISBLANK(G45),"",LARGE(F14:F44,1)+1)</f>
        <v/>
      </c>
      <c r="G45" s="110"/>
      <c r="H45" s="111">
        <f>(U45/AJ15)*AD15</f>
        <v>0</v>
      </c>
      <c r="I45" s="112">
        <f>(X45/AJ18)*AD18</f>
        <v>0</v>
      </c>
      <c r="J45" s="113">
        <f>(U45/AJ15)*AE15</f>
        <v>0</v>
      </c>
      <c r="K45" s="114">
        <f>(X45/AJ18)*AE18</f>
        <v>0</v>
      </c>
      <c r="L45" s="113">
        <f>(U45/AJ15)*AF15</f>
        <v>0</v>
      </c>
      <c r="M45" s="114">
        <f>(X45/AJ18)*AF18</f>
        <v>0</v>
      </c>
      <c r="N45" s="113">
        <f>(U45/AJ15)*AG15</f>
        <v>0</v>
      </c>
      <c r="O45" s="114">
        <f>(X45/AJ18)*AG18</f>
        <v>0</v>
      </c>
      <c r="P45" s="113">
        <f>(U45/AJ15)*AH15</f>
        <v>0</v>
      </c>
      <c r="Q45" s="114">
        <f>(X45/AJ18)*AH18</f>
        <v>0</v>
      </c>
      <c r="R45" s="112">
        <f>(U45/AJ15)*AI15</f>
        <v>0</v>
      </c>
      <c r="S45" s="115">
        <f>(X45/AJ18)*AI18</f>
        <v>0</v>
      </c>
      <c r="T45" s="116"/>
      <c r="U45" s="369">
        <f t="shared" si="1"/>
        <v>0</v>
      </c>
      <c r="V45" s="148">
        <f>IF(ISTEXT(B45),B45,(B45/B9)*W8)</f>
        <v>0</v>
      </c>
      <c r="W45" s="119">
        <f t="shared" si="2"/>
        <v>0</v>
      </c>
      <c r="X45" s="117">
        <f>(E45/B9)*W8</f>
        <v>0</v>
      </c>
      <c r="Y45" s="120"/>
      <c r="Z45" s="372">
        <f t="shared" si="3"/>
        <v>0</v>
      </c>
      <c r="AA45" s="3228" t="str">
        <f>IF(ISBLANK(AB45),"",LARGE(AA21:AA44,1)+1)</f>
        <v/>
      </c>
      <c r="AB45" s="187"/>
      <c r="AC45" s="110"/>
      <c r="AD45" s="110"/>
      <c r="AE45" s="110"/>
      <c r="AF45" s="110"/>
      <c r="AG45" s="110"/>
      <c r="AH45" s="110"/>
      <c r="AI45" s="110"/>
      <c r="AJ45" s="1366"/>
      <c r="AK45" s="3987"/>
      <c r="AL45" s="17"/>
      <c r="AM45" s="3812"/>
      <c r="AN45" s="3813"/>
      <c r="AO45" s="4008"/>
      <c r="AP45" s="151"/>
      <c r="AQ45" s="17"/>
      <c r="AR45" s="17"/>
      <c r="AS45" s="17"/>
      <c r="AT45" s="9">
        <v>16</v>
      </c>
    </row>
    <row r="46" spans="1:46" ht="15.95" customHeight="1">
      <c r="A46" s="3747"/>
      <c r="B46" s="364"/>
      <c r="C46" s="3300"/>
      <c r="D46" s="129"/>
      <c r="E46" s="130">
        <f t="shared" si="0"/>
        <v>0</v>
      </c>
      <c r="F46" s="131" t="str">
        <f>IF(ISBLANK(G46),"",LARGE(F14:F45,1)+1)</f>
        <v/>
      </c>
      <c r="G46" s="110"/>
      <c r="H46" s="132">
        <f>(U46/AJ15)*AD15</f>
        <v>0</v>
      </c>
      <c r="I46" s="133">
        <f>(X46/AJ18)*AD18</f>
        <v>0</v>
      </c>
      <c r="J46" s="134">
        <f>(U46/AJ15)*AE15</f>
        <v>0</v>
      </c>
      <c r="K46" s="135">
        <f>(X46/AJ18)*AE18</f>
        <v>0</v>
      </c>
      <c r="L46" s="134">
        <f>(U46/AJ15)*AF15</f>
        <v>0</v>
      </c>
      <c r="M46" s="135">
        <f>(X46/AJ18)*AF18</f>
        <v>0</v>
      </c>
      <c r="N46" s="134">
        <f>(U46/AJ15)*AG15</f>
        <v>0</v>
      </c>
      <c r="O46" s="135">
        <f>(X46/AJ18)*AG18</f>
        <v>0</v>
      </c>
      <c r="P46" s="134">
        <f>(U46/AJ15)*AH15</f>
        <v>0</v>
      </c>
      <c r="Q46" s="135">
        <f>(X46/AJ18)*AH18</f>
        <v>0</v>
      </c>
      <c r="R46" s="133">
        <f>(U46/AJ15)*AI15</f>
        <v>0</v>
      </c>
      <c r="S46" s="136">
        <f>(X46/AJ18)*AI18</f>
        <v>0</v>
      </c>
      <c r="T46" s="116"/>
      <c r="U46" s="370">
        <f t="shared" si="1"/>
        <v>0</v>
      </c>
      <c r="V46" s="138">
        <f>IF(ISTEXT(B46),B46,(B46/B9)*W8)</f>
        <v>0</v>
      </c>
      <c r="W46" s="139">
        <f t="shared" si="2"/>
        <v>0</v>
      </c>
      <c r="X46" s="137">
        <f>(E46/B9)*W8</f>
        <v>0</v>
      </c>
      <c r="Y46" s="120"/>
      <c r="Z46" s="372">
        <f t="shared" si="3"/>
        <v>0</v>
      </c>
      <c r="AA46" s="3228">
        <f>IF(ISBLANK(AB46),"",LARGE(AA21:AA45,1)+1)</f>
        <v>11</v>
      </c>
      <c r="AB46" s="187" t="s">
        <v>100</v>
      </c>
      <c r="AC46" s="187"/>
      <c r="AD46" s="110"/>
      <c r="AE46" s="110"/>
      <c r="AF46" s="110"/>
      <c r="AG46" s="110"/>
      <c r="AH46" s="110"/>
      <c r="AI46" s="110"/>
      <c r="AJ46" s="1366"/>
      <c r="AK46" s="3987"/>
      <c r="AL46" s="17"/>
      <c r="AM46" s="200"/>
      <c r="AN46" s="201"/>
      <c r="AO46" s="3305"/>
      <c r="AP46" s="151"/>
      <c r="AQ46" s="17"/>
      <c r="AR46" s="17"/>
      <c r="AS46" s="17"/>
      <c r="AT46" s="9">
        <v>16</v>
      </c>
    </row>
    <row r="47" spans="1:46" ht="15.95" customHeight="1">
      <c r="A47" s="3747"/>
      <c r="B47" s="106"/>
      <c r="C47" s="3301"/>
      <c r="D47" s="107"/>
      <c r="E47" s="108">
        <f t="shared" si="0"/>
        <v>0</v>
      </c>
      <c r="F47" s="109" t="str">
        <f>IF(ISBLANK(G47),"",LARGE(F14:F46,1)+1)</f>
        <v/>
      </c>
      <c r="G47" s="110"/>
      <c r="H47" s="111">
        <f>(U47/AJ15)*AD15</f>
        <v>0</v>
      </c>
      <c r="I47" s="112">
        <f>(X47/AJ18)*AD18</f>
        <v>0</v>
      </c>
      <c r="J47" s="113">
        <f>(U47/AJ15)*AE15</f>
        <v>0</v>
      </c>
      <c r="K47" s="114">
        <f>(X47/AJ18)*AE18</f>
        <v>0</v>
      </c>
      <c r="L47" s="113">
        <f>(U47/AJ15)*AF15</f>
        <v>0</v>
      </c>
      <c r="M47" s="114">
        <f>(X47/AJ18)*AF18</f>
        <v>0</v>
      </c>
      <c r="N47" s="113">
        <f>(U47/AJ15)*AG15</f>
        <v>0</v>
      </c>
      <c r="O47" s="114">
        <f>(X47/AJ18)*AG18</f>
        <v>0</v>
      </c>
      <c r="P47" s="113">
        <f>(U47/AJ15)*AH15</f>
        <v>0</v>
      </c>
      <c r="Q47" s="114">
        <f>(X47/AJ18)*AH18</f>
        <v>0</v>
      </c>
      <c r="R47" s="112">
        <f>(U47/AJ15)*AI15</f>
        <v>0</v>
      </c>
      <c r="S47" s="115">
        <f>(X47/AJ18)*AI18</f>
        <v>0</v>
      </c>
      <c r="T47" s="116"/>
      <c r="U47" s="369">
        <f t="shared" si="1"/>
        <v>0</v>
      </c>
      <c r="V47" s="148">
        <f>IF(ISTEXT(B47),B47,(B47/B9)*W8)</f>
        <v>0</v>
      </c>
      <c r="W47" s="119">
        <f t="shared" si="2"/>
        <v>0</v>
      </c>
      <c r="X47" s="117">
        <f>(E47/B9)*W8</f>
        <v>0</v>
      </c>
      <c r="Y47" s="120"/>
      <c r="Z47" s="372">
        <f t="shared" si="3"/>
        <v>0</v>
      </c>
      <c r="AA47" s="3228">
        <f>IF(ISBLANK(AB47),"",LARGE(AA21:AA46,1)+1)</f>
        <v>12</v>
      </c>
      <c r="AB47" s="187" t="s">
        <v>101</v>
      </c>
      <c r="AC47" s="187"/>
      <c r="AD47" s="110"/>
      <c r="AE47" s="110"/>
      <c r="AF47" s="110"/>
      <c r="AG47" s="110"/>
      <c r="AH47" s="110"/>
      <c r="AI47" s="110"/>
      <c r="AJ47" s="1366"/>
      <c r="AK47" s="3987"/>
      <c r="AL47" s="17"/>
      <c r="AM47" s="3304" t="s">
        <v>102</v>
      </c>
      <c r="AN47" s="3303"/>
      <c r="AO47" s="3302"/>
      <c r="AP47" s="151"/>
      <c r="AQ47" s="17"/>
      <c r="AR47" s="17"/>
      <c r="AS47" s="17"/>
      <c r="AT47" s="9">
        <v>16</v>
      </c>
    </row>
    <row r="48" spans="1:46" ht="15.95" customHeight="1">
      <c r="A48" s="3747"/>
      <c r="B48" s="364"/>
      <c r="C48" s="3300"/>
      <c r="D48" s="129"/>
      <c r="E48" s="130">
        <f t="shared" si="0"/>
        <v>0</v>
      </c>
      <c r="F48" s="131" t="str">
        <f>IF(ISBLANK(G48),"",LARGE(F14:F47,1)+1)</f>
        <v/>
      </c>
      <c r="G48" s="110"/>
      <c r="H48" s="132">
        <f>(U48/AJ15)*AD15</f>
        <v>0</v>
      </c>
      <c r="I48" s="133">
        <f>(X48/AJ18)*AD18</f>
        <v>0</v>
      </c>
      <c r="J48" s="134">
        <f>(U48/AJ15)*AE15</f>
        <v>0</v>
      </c>
      <c r="K48" s="135">
        <f>(X48/AJ18)*AE18</f>
        <v>0</v>
      </c>
      <c r="L48" s="134">
        <f>(U48/AJ15)*AF15</f>
        <v>0</v>
      </c>
      <c r="M48" s="135">
        <f>(X48/AJ18)*AF18</f>
        <v>0</v>
      </c>
      <c r="N48" s="134">
        <f>(U48/AJ15)*AG15</f>
        <v>0</v>
      </c>
      <c r="O48" s="135">
        <f>(X48/AJ18)*AG18</f>
        <v>0</v>
      </c>
      <c r="P48" s="134">
        <f>(U48/AJ15)*AH15</f>
        <v>0</v>
      </c>
      <c r="Q48" s="135">
        <f>(X48/AJ18)*AH18</f>
        <v>0</v>
      </c>
      <c r="R48" s="133">
        <f>(U48/AJ15)*AI15</f>
        <v>0</v>
      </c>
      <c r="S48" s="136">
        <f>(X48/AJ18)*AI18</f>
        <v>0</v>
      </c>
      <c r="T48" s="116"/>
      <c r="U48" s="370">
        <f t="shared" si="1"/>
        <v>0</v>
      </c>
      <c r="V48" s="138">
        <f>IF(ISTEXT(B48),B48,(B48/B9)*W8)</f>
        <v>0</v>
      </c>
      <c r="W48" s="139">
        <f t="shared" si="2"/>
        <v>0</v>
      </c>
      <c r="X48" s="137">
        <f>(E48/B9)*W8</f>
        <v>0</v>
      </c>
      <c r="Y48" s="120"/>
      <c r="Z48" s="372">
        <f t="shared" si="3"/>
        <v>0</v>
      </c>
      <c r="AA48" s="3228">
        <f>IF(ISBLANK(AB48),"",LARGE(AA21:AA47,1)+1)</f>
        <v>13</v>
      </c>
      <c r="AB48" s="187" t="s">
        <v>103</v>
      </c>
      <c r="AC48" s="187"/>
      <c r="AD48" s="110"/>
      <c r="AE48" s="110"/>
      <c r="AF48" s="110"/>
      <c r="AG48" s="110"/>
      <c r="AH48" s="110"/>
      <c r="AI48" s="110"/>
      <c r="AJ48" s="1366"/>
      <c r="AK48" s="3987"/>
      <c r="AL48" s="17"/>
      <c r="AM48" s="206" t="s">
        <v>104</v>
      </c>
      <c r="AN48" s="169"/>
      <c r="AO48" s="447"/>
      <c r="AP48" s="151"/>
      <c r="AQ48" s="17"/>
      <c r="AR48" s="17"/>
      <c r="AS48" s="17"/>
      <c r="AT48" s="9">
        <v>16</v>
      </c>
    </row>
    <row r="49" spans="1:46" ht="15.95" customHeight="1">
      <c r="A49" s="3747"/>
      <c r="B49" s="106"/>
      <c r="C49" s="3301"/>
      <c r="D49" s="107"/>
      <c r="E49" s="108">
        <f t="shared" si="0"/>
        <v>0</v>
      </c>
      <c r="F49" s="109" t="str">
        <f>IF(ISBLANK(G49),"",LARGE(F14:F48,1)+1)</f>
        <v/>
      </c>
      <c r="G49" s="110"/>
      <c r="H49" s="111">
        <f>(U49/AJ15)*AD15</f>
        <v>0</v>
      </c>
      <c r="I49" s="112">
        <f>(X49/AJ18)*AD18</f>
        <v>0</v>
      </c>
      <c r="J49" s="113">
        <f>(U49/AJ15)*AE15</f>
        <v>0</v>
      </c>
      <c r="K49" s="114">
        <f>(X49/AJ18)*AE18</f>
        <v>0</v>
      </c>
      <c r="L49" s="113">
        <f>(U49/AJ15)*AF15</f>
        <v>0</v>
      </c>
      <c r="M49" s="114">
        <f>(X49/AJ18)*AF18</f>
        <v>0</v>
      </c>
      <c r="N49" s="113">
        <f>(U49/AJ15)*AG15</f>
        <v>0</v>
      </c>
      <c r="O49" s="114">
        <f>(X49/AJ18)*AG18</f>
        <v>0</v>
      </c>
      <c r="P49" s="113">
        <f>(U49/AJ15)*AH15</f>
        <v>0</v>
      </c>
      <c r="Q49" s="114">
        <f>(X49/AJ18)*AH18</f>
        <v>0</v>
      </c>
      <c r="R49" s="112">
        <f>(U49/AJ15)*AI15</f>
        <v>0</v>
      </c>
      <c r="S49" s="115">
        <f>(X49/AJ18)*AI18</f>
        <v>0</v>
      </c>
      <c r="T49" s="116"/>
      <c r="U49" s="369">
        <f t="shared" si="1"/>
        <v>0</v>
      </c>
      <c r="V49" s="148">
        <f>IF(ISTEXT(B49),B49,(B49/B9)*W8)</f>
        <v>0</v>
      </c>
      <c r="W49" s="119">
        <f t="shared" si="2"/>
        <v>0</v>
      </c>
      <c r="X49" s="117">
        <f>(E49/B9)*W8</f>
        <v>0</v>
      </c>
      <c r="Y49" s="120"/>
      <c r="Z49" s="372">
        <f t="shared" si="3"/>
        <v>0</v>
      </c>
      <c r="AA49" s="3228" t="str">
        <f>IF(ISBLANK(AB49),"",LARGE(AA21:AA48,1)+1)</f>
        <v/>
      </c>
      <c r="AB49" s="187"/>
      <c r="AC49" s="110"/>
      <c r="AD49" s="110"/>
      <c r="AE49" s="110"/>
      <c r="AF49" s="110"/>
      <c r="AG49" s="110"/>
      <c r="AH49" s="110"/>
      <c r="AI49" s="110"/>
      <c r="AJ49" s="1366"/>
      <c r="AK49" s="3987"/>
      <c r="AL49" s="17"/>
      <c r="AM49" s="206" t="s">
        <v>105</v>
      </c>
      <c r="AN49" s="169"/>
      <c r="AO49" s="447"/>
      <c r="AP49" s="151"/>
      <c r="AQ49" s="17"/>
      <c r="AR49" s="17"/>
      <c r="AS49" s="17"/>
      <c r="AT49" s="9">
        <v>16</v>
      </c>
    </row>
    <row r="50" spans="1:46" ht="15.95" customHeight="1">
      <c r="A50" s="3747"/>
      <c r="B50" s="364"/>
      <c r="C50" s="3300"/>
      <c r="D50" s="129"/>
      <c r="E50" s="130">
        <f t="shared" si="0"/>
        <v>0</v>
      </c>
      <c r="F50" s="131" t="str">
        <f>IF(ISBLANK(G50),"",LARGE(F14:F49,1)+1)</f>
        <v/>
      </c>
      <c r="G50" s="110"/>
      <c r="H50" s="132">
        <f>(U50/AJ15)*AD15</f>
        <v>0</v>
      </c>
      <c r="I50" s="133">
        <f>(X50/AJ18)*AD18</f>
        <v>0</v>
      </c>
      <c r="J50" s="134">
        <f>(U50/AJ15)*AE15</f>
        <v>0</v>
      </c>
      <c r="K50" s="135">
        <f>(X50/AJ18)*AE18</f>
        <v>0</v>
      </c>
      <c r="L50" s="134">
        <f>(U50/AJ15)*AF15</f>
        <v>0</v>
      </c>
      <c r="M50" s="135">
        <f>(X50/AJ18)*AF18</f>
        <v>0</v>
      </c>
      <c r="N50" s="134">
        <f>(U50/AJ15)*AG15</f>
        <v>0</v>
      </c>
      <c r="O50" s="135">
        <f>(X50/AJ18)*AG18</f>
        <v>0</v>
      </c>
      <c r="P50" s="134">
        <f>(U50/AJ15)*AH15</f>
        <v>0</v>
      </c>
      <c r="Q50" s="135">
        <f>(X50/AJ18)*AH18</f>
        <v>0</v>
      </c>
      <c r="R50" s="133">
        <f>(U50/AJ15)*AI15</f>
        <v>0</v>
      </c>
      <c r="S50" s="136">
        <f>(X50/AJ18)*AI18</f>
        <v>0</v>
      </c>
      <c r="T50" s="116"/>
      <c r="U50" s="370">
        <f t="shared" si="1"/>
        <v>0</v>
      </c>
      <c r="V50" s="138">
        <f>IF(ISTEXT(B50),B50,(B50/B9)*W8)</f>
        <v>0</v>
      </c>
      <c r="W50" s="139">
        <f t="shared" si="2"/>
        <v>0</v>
      </c>
      <c r="X50" s="137">
        <f>(E50/B9)*W8</f>
        <v>0</v>
      </c>
      <c r="Y50" s="120"/>
      <c r="Z50" s="372">
        <f t="shared" si="3"/>
        <v>0</v>
      </c>
      <c r="AA50" s="3228" t="str">
        <f>IF(ISBLANK(AB50),"",LARGE(AA21:AA49,1)+1)</f>
        <v/>
      </c>
      <c r="AB50" s="207"/>
      <c r="AC50" s="208" t="s">
        <v>106</v>
      </c>
      <c r="AD50" s="209"/>
      <c r="AE50" s="209"/>
      <c r="AF50" s="209"/>
      <c r="AG50" s="209"/>
      <c r="AH50" s="209"/>
      <c r="AI50" s="209"/>
      <c r="AJ50" s="1366"/>
      <c r="AK50" s="3988"/>
      <c r="AL50" s="17"/>
      <c r="AM50" s="3815" t="s">
        <v>107</v>
      </c>
      <c r="AN50" s="3816"/>
      <c r="AO50" s="3904"/>
      <c r="AP50" s="151"/>
      <c r="AQ50" s="17"/>
      <c r="AR50" s="17"/>
      <c r="AS50" s="17"/>
      <c r="AT50" s="9">
        <v>16</v>
      </c>
    </row>
    <row r="51" spans="1:46" ht="15.95" customHeight="1">
      <c r="A51" s="3747"/>
      <c r="B51" s="106"/>
      <c r="C51" s="3301"/>
      <c r="D51" s="107"/>
      <c r="E51" s="108">
        <f t="shared" si="0"/>
        <v>0</v>
      </c>
      <c r="F51" s="109" t="str">
        <f>IF(ISBLANK(G51),"",LARGE(F14:F50,1)+1)</f>
        <v/>
      </c>
      <c r="G51" s="110"/>
      <c r="H51" s="111">
        <f>(U51/AJ15)*AD15</f>
        <v>0</v>
      </c>
      <c r="I51" s="112">
        <f>(X51/AJ18)*AD18</f>
        <v>0</v>
      </c>
      <c r="J51" s="113">
        <f>(U51/AJ15)*AE15</f>
        <v>0</v>
      </c>
      <c r="K51" s="114">
        <f>(X51/AJ18)*AE18</f>
        <v>0</v>
      </c>
      <c r="L51" s="113">
        <f>(U51/AJ15)*AF15</f>
        <v>0</v>
      </c>
      <c r="M51" s="114">
        <f>(X51/AJ18)*AF18</f>
        <v>0</v>
      </c>
      <c r="N51" s="113">
        <f>(U51/AJ15)*AG15</f>
        <v>0</v>
      </c>
      <c r="O51" s="114">
        <f>(X51/AJ18)*AG18</f>
        <v>0</v>
      </c>
      <c r="P51" s="113">
        <f>(U51/AJ15)*AH15</f>
        <v>0</v>
      </c>
      <c r="Q51" s="114">
        <f>(X51/AJ18)*AH18</f>
        <v>0</v>
      </c>
      <c r="R51" s="112">
        <f>(U51/AJ15)*AI15</f>
        <v>0</v>
      </c>
      <c r="S51" s="115">
        <f>(X51/AJ18)*AI18</f>
        <v>0</v>
      </c>
      <c r="T51" s="116"/>
      <c r="U51" s="369">
        <f t="shared" si="1"/>
        <v>0</v>
      </c>
      <c r="V51" s="148">
        <f>IF(ISTEXT(B51),B51,(B51/B9)*W8)</f>
        <v>0</v>
      </c>
      <c r="W51" s="119">
        <f t="shared" si="2"/>
        <v>0</v>
      </c>
      <c r="X51" s="117">
        <f>(E51/B9)*W8</f>
        <v>0</v>
      </c>
      <c r="Y51" s="120"/>
      <c r="Z51" s="372">
        <f t="shared" si="3"/>
        <v>0</v>
      </c>
      <c r="AA51" s="3228" t="str">
        <f>IF(ISBLANK(AB51),"",LARGE(AA21:AA50,1)+1)</f>
        <v/>
      </c>
      <c r="AB51" s="207"/>
      <c r="AC51" s="210"/>
      <c r="AD51" s="210"/>
      <c r="AE51" s="210"/>
      <c r="AF51" s="210"/>
      <c r="AG51" s="210"/>
      <c r="AH51" s="210"/>
      <c r="AI51" s="210"/>
      <c r="AJ51" s="1366"/>
      <c r="AK51" s="4009">
        <f>AI4</f>
        <v>7</v>
      </c>
      <c r="AL51" s="17"/>
      <c r="AM51" s="3815"/>
      <c r="AN51" s="3816"/>
      <c r="AO51" s="3904"/>
      <c r="AP51" s="151"/>
      <c r="AQ51" s="17"/>
      <c r="AR51" s="17"/>
      <c r="AS51" s="17"/>
      <c r="AT51" s="9">
        <v>16</v>
      </c>
    </row>
    <row r="52" spans="1:46" ht="15.95" customHeight="1">
      <c r="A52" s="3747"/>
      <c r="B52" s="364"/>
      <c r="C52" s="3300"/>
      <c r="D52" s="129"/>
      <c r="E52" s="130">
        <f t="shared" si="0"/>
        <v>0</v>
      </c>
      <c r="F52" s="131" t="str">
        <f>IF(ISBLANK(G52),"",LARGE(F14:F51,1)+1)</f>
        <v/>
      </c>
      <c r="G52" s="110"/>
      <c r="H52" s="132">
        <f>(U52/AJ15)*AD15</f>
        <v>0</v>
      </c>
      <c r="I52" s="133">
        <f>(X52/AJ18)*AD18</f>
        <v>0</v>
      </c>
      <c r="J52" s="134">
        <f>(U52/AJ15)*AE15</f>
        <v>0</v>
      </c>
      <c r="K52" s="135">
        <f>(X52/AJ18)*AE18</f>
        <v>0</v>
      </c>
      <c r="L52" s="134">
        <f>(U52/AJ15)*AF15</f>
        <v>0</v>
      </c>
      <c r="M52" s="135">
        <f>(X52/AJ18)*AF18</f>
        <v>0</v>
      </c>
      <c r="N52" s="134">
        <f>(U52/AJ15)*AG15</f>
        <v>0</v>
      </c>
      <c r="O52" s="135">
        <f>(X52/AJ18)*AG18</f>
        <v>0</v>
      </c>
      <c r="P52" s="134">
        <f>(U52/AJ15)*AH15</f>
        <v>0</v>
      </c>
      <c r="Q52" s="135">
        <f>(X52/AJ18)*AH18</f>
        <v>0</v>
      </c>
      <c r="R52" s="133">
        <f>(U52/AJ15)*AI15</f>
        <v>0</v>
      </c>
      <c r="S52" s="136">
        <f>(X52/AJ18)*AI18</f>
        <v>0</v>
      </c>
      <c r="T52" s="116"/>
      <c r="U52" s="370">
        <f t="shared" si="1"/>
        <v>0</v>
      </c>
      <c r="V52" s="138">
        <f>IF(ISTEXT(B52),B52,(B52/B9)*W8)</f>
        <v>0</v>
      </c>
      <c r="W52" s="139">
        <f t="shared" si="2"/>
        <v>0</v>
      </c>
      <c r="X52" s="137">
        <f>(E52/B9)*W8</f>
        <v>0</v>
      </c>
      <c r="Y52" s="120"/>
      <c r="Z52" s="372">
        <f t="shared" si="3"/>
        <v>0</v>
      </c>
      <c r="AA52" s="3228" t="str">
        <f>IF(ISBLANK(AB52),"",LARGE(AA21:AA51,1)+1)</f>
        <v/>
      </c>
      <c r="AB52" s="211"/>
      <c r="AC52" s="212" t="s">
        <v>108</v>
      </c>
      <c r="AD52" s="213" t="s">
        <v>109</v>
      </c>
      <c r="AE52" s="213"/>
      <c r="AF52" s="213"/>
      <c r="AG52" s="213"/>
      <c r="AH52" s="213"/>
      <c r="AI52" s="213"/>
      <c r="AJ52" s="1366"/>
      <c r="AK52" s="4010"/>
      <c r="AL52" s="17"/>
      <c r="AM52" s="206" t="s">
        <v>110</v>
      </c>
      <c r="AN52" s="169"/>
      <c r="AO52" s="447"/>
      <c r="AP52" s="151"/>
      <c r="AQ52" s="17"/>
      <c r="AR52" s="17"/>
      <c r="AS52" s="17"/>
      <c r="AT52" s="9">
        <v>16</v>
      </c>
    </row>
    <row r="53" spans="1:46" ht="15.95" customHeight="1">
      <c r="A53" s="3747"/>
      <c r="B53" s="214"/>
      <c r="C53" s="215"/>
      <c r="D53" s="216"/>
      <c r="E53" s="217"/>
      <c r="F53" s="218"/>
      <c r="G53" s="219"/>
      <c r="H53" s="220"/>
      <c r="I53" s="221"/>
      <c r="J53" s="222"/>
      <c r="K53" s="223"/>
      <c r="L53" s="222"/>
      <c r="M53" s="223"/>
      <c r="N53" s="222"/>
      <c r="O53" s="223"/>
      <c r="P53" s="222"/>
      <c r="Q53" s="223"/>
      <c r="R53" s="221"/>
      <c r="S53" s="224"/>
      <c r="T53" s="219"/>
      <c r="U53" s="225"/>
      <c r="V53" s="226"/>
      <c r="W53" s="227"/>
      <c r="X53" s="225"/>
      <c r="Y53" s="228"/>
      <c r="Z53" s="229"/>
      <c r="AA53" s="3228" t="str">
        <f>IF(ISBLANK(AB53),"",LARGE(AA21:AA52,1)+1)</f>
        <v/>
      </c>
      <c r="AB53" s="211"/>
      <c r="AC53" s="212" t="s">
        <v>108</v>
      </c>
      <c r="AD53" s="230" t="s">
        <v>111</v>
      </c>
      <c r="AE53" s="230"/>
      <c r="AF53" s="230"/>
      <c r="AG53" s="230"/>
      <c r="AH53" s="230"/>
      <c r="AI53" s="230"/>
      <c r="AJ53" s="1366"/>
      <c r="AK53" s="4010"/>
      <c r="AL53" s="17"/>
      <c r="AM53" s="3815" t="s">
        <v>112</v>
      </c>
      <c r="AN53" s="3816"/>
      <c r="AO53" s="3904"/>
      <c r="AP53" s="151"/>
      <c r="AQ53" s="17"/>
      <c r="AR53" s="17"/>
      <c r="AS53" s="17"/>
      <c r="AT53" s="9">
        <v>16</v>
      </c>
    </row>
    <row r="54" spans="1:46" ht="20.100000000000001" customHeight="1" thickBot="1">
      <c r="A54" s="3991"/>
      <c r="B54" s="3299"/>
      <c r="C54" s="3298"/>
      <c r="D54" s="3297"/>
      <c r="E54" s="234">
        <f>SUM(E14:E52)</f>
        <v>2.5799999999999996</v>
      </c>
      <c r="F54" s="235"/>
      <c r="G54" s="236"/>
      <c r="H54" s="237">
        <f>SUM(H13:H52)</f>
        <v>9.5097868217054291</v>
      </c>
      <c r="I54" s="238">
        <f>SUM(I13:I52)</f>
        <v>25.000000000000004</v>
      </c>
      <c r="J54" s="239">
        <f>SUM(J14:J52)</f>
        <v>15.74108527131783</v>
      </c>
      <c r="K54" s="240">
        <f t="shared" ref="K54:S54" si="6">SUM(K13:K52)</f>
        <v>41.600000000000009</v>
      </c>
      <c r="L54" s="239">
        <f t="shared" si="6"/>
        <v>11.47674418604651</v>
      </c>
      <c r="M54" s="240">
        <f t="shared" si="6"/>
        <v>30</v>
      </c>
      <c r="N54" s="239">
        <f t="shared" si="6"/>
        <v>6.4969767441860471</v>
      </c>
      <c r="O54" s="240">
        <f t="shared" si="6"/>
        <v>16.800000000000004</v>
      </c>
      <c r="P54" s="239">
        <f t="shared" si="6"/>
        <v>1.4522093023255818</v>
      </c>
      <c r="Q54" s="240">
        <f t="shared" si="6"/>
        <v>3.6000000000000014</v>
      </c>
      <c r="R54" s="238">
        <f t="shared" si="6"/>
        <v>0.70569767441860476</v>
      </c>
      <c r="S54" s="241">
        <f t="shared" si="6"/>
        <v>1.68</v>
      </c>
      <c r="T54" s="236"/>
      <c r="U54" s="242">
        <f>SUM(U14:U52)</f>
        <v>44.907499999999992</v>
      </c>
      <c r="V54" s="243"/>
      <c r="W54" s="244"/>
      <c r="X54" s="242">
        <f>SUM(X14:X52)</f>
        <v>59.339999999999996</v>
      </c>
      <c r="Y54" s="245"/>
      <c r="Z54" s="246">
        <f>SUM(Z15:Z52)</f>
        <v>59.339999999999996</v>
      </c>
      <c r="AA54" s="3227" t="str">
        <f>IF(ISBLANK(AB54),"",LARGE(AA21:AA53,1)+1)</f>
        <v/>
      </c>
      <c r="AB54" s="211"/>
      <c r="AC54" s="212" t="s">
        <v>108</v>
      </c>
      <c r="AD54" s="230" t="s">
        <v>113</v>
      </c>
      <c r="AE54" s="230"/>
      <c r="AF54" s="230"/>
      <c r="AG54" s="230"/>
      <c r="AH54" s="230"/>
      <c r="AI54" s="230"/>
      <c r="AJ54" s="1366"/>
      <c r="AK54" s="3820"/>
      <c r="AL54" s="17"/>
      <c r="AM54" s="3815"/>
      <c r="AN54" s="3816"/>
      <c r="AO54" s="3904"/>
      <c r="AP54" s="151"/>
      <c r="AQ54" s="17"/>
      <c r="AR54" s="17"/>
      <c r="AS54" s="17"/>
      <c r="AT54" s="9">
        <v>20</v>
      </c>
    </row>
    <row r="55" spans="1:46" ht="15.95" customHeight="1" thickBot="1">
      <c r="A55" s="27"/>
      <c r="B55" s="248">
        <f t="shared" ref="B55:AJ55" ca="1" si="7">CELL("largeur",B55)</f>
        <v>11</v>
      </c>
      <c r="C55" s="249">
        <f t="shared" ca="1" si="7"/>
        <v>11</v>
      </c>
      <c r="D55" s="249">
        <f t="shared" ca="1" si="7"/>
        <v>11</v>
      </c>
      <c r="E55" s="249">
        <f t="shared" ca="1" si="7"/>
        <v>11</v>
      </c>
      <c r="F55" s="249">
        <f t="shared" ca="1" si="7"/>
        <v>10</v>
      </c>
      <c r="G55" s="249">
        <f t="shared" ca="1" si="7"/>
        <v>30</v>
      </c>
      <c r="H55" s="249">
        <f t="shared" ca="1" si="7"/>
        <v>0</v>
      </c>
      <c r="I55" s="249">
        <f t="shared" ca="1" si="7"/>
        <v>0</v>
      </c>
      <c r="J55" s="249">
        <f t="shared" ca="1" si="7"/>
        <v>0</v>
      </c>
      <c r="K55" s="249">
        <f t="shared" ca="1" si="7"/>
        <v>0</v>
      </c>
      <c r="L55" s="249">
        <f t="shared" ca="1" si="7"/>
        <v>0</v>
      </c>
      <c r="M55" s="249">
        <f t="shared" ca="1" si="7"/>
        <v>0</v>
      </c>
      <c r="N55" s="249">
        <f t="shared" ca="1" si="7"/>
        <v>0</v>
      </c>
      <c r="O55" s="249">
        <f t="shared" ca="1" si="7"/>
        <v>0</v>
      </c>
      <c r="P55" s="249">
        <f t="shared" ca="1" si="7"/>
        <v>0</v>
      </c>
      <c r="Q55" s="249">
        <f t="shared" ca="1" si="7"/>
        <v>0</v>
      </c>
      <c r="R55" s="249">
        <f t="shared" ca="1" si="7"/>
        <v>0</v>
      </c>
      <c r="S55" s="249">
        <f t="shared" ca="1" si="7"/>
        <v>0</v>
      </c>
      <c r="T55" s="249">
        <f t="shared" ca="1" si="7"/>
        <v>7</v>
      </c>
      <c r="U55" s="249">
        <f t="shared" ca="1" si="7"/>
        <v>11</v>
      </c>
      <c r="V55" s="249">
        <f t="shared" ca="1" si="7"/>
        <v>11</v>
      </c>
      <c r="W55" s="249">
        <f t="shared" ca="1" si="7"/>
        <v>11</v>
      </c>
      <c r="X55" s="249">
        <f t="shared" ca="1" si="7"/>
        <v>11</v>
      </c>
      <c r="Y55" s="249">
        <f t="shared" ca="1" si="7"/>
        <v>11</v>
      </c>
      <c r="Z55" s="249">
        <f t="shared" ca="1" si="7"/>
        <v>11</v>
      </c>
      <c r="AA55" s="249">
        <f t="shared" ca="1" si="7"/>
        <v>11</v>
      </c>
      <c r="AB55" s="249">
        <f t="shared" ca="1" si="7"/>
        <v>11</v>
      </c>
      <c r="AC55" s="249">
        <f t="shared" ca="1" si="7"/>
        <v>11</v>
      </c>
      <c r="AD55" s="249">
        <f t="shared" ca="1" si="7"/>
        <v>11</v>
      </c>
      <c r="AE55" s="249">
        <f t="shared" ca="1" si="7"/>
        <v>11</v>
      </c>
      <c r="AF55" s="249">
        <f t="shared" ca="1" si="7"/>
        <v>11</v>
      </c>
      <c r="AG55" s="249">
        <f t="shared" ca="1" si="7"/>
        <v>11</v>
      </c>
      <c r="AH55" s="249">
        <f t="shared" ca="1" si="7"/>
        <v>11</v>
      </c>
      <c r="AI55" s="249">
        <f t="shared" ca="1" si="7"/>
        <v>11</v>
      </c>
      <c r="AJ55" s="250">
        <f t="shared" ca="1" si="7"/>
        <v>11</v>
      </c>
      <c r="AK55" s="27" t="s">
        <v>114</v>
      </c>
      <c r="AL55" s="17"/>
      <c r="AM55" s="3821" t="s">
        <v>115</v>
      </c>
      <c r="AN55" s="3822"/>
      <c r="AO55" s="4011"/>
      <c r="AP55" s="151"/>
      <c r="AQ55" s="17"/>
      <c r="AR55" s="17"/>
      <c r="AS55" s="17"/>
      <c r="AT55" s="9">
        <v>16</v>
      </c>
    </row>
    <row r="56" spans="1:46" ht="15.95" customHeight="1" thickBot="1">
      <c r="A56" s="27"/>
      <c r="B56" s="374">
        <v>11</v>
      </c>
      <c r="C56" s="374">
        <v>11</v>
      </c>
      <c r="D56" s="374">
        <v>11</v>
      </c>
      <c r="E56" s="374">
        <v>11</v>
      </c>
      <c r="F56" s="374">
        <v>10</v>
      </c>
      <c r="G56" s="374">
        <v>30</v>
      </c>
      <c r="H56" s="374">
        <v>0</v>
      </c>
      <c r="I56" s="374">
        <v>0</v>
      </c>
      <c r="J56" s="374">
        <v>0</v>
      </c>
      <c r="K56" s="374">
        <v>0</v>
      </c>
      <c r="L56" s="374">
        <v>0</v>
      </c>
      <c r="M56" s="374">
        <v>0</v>
      </c>
      <c r="N56" s="374">
        <v>0</v>
      </c>
      <c r="O56" s="374">
        <v>0</v>
      </c>
      <c r="P56" s="374">
        <v>0</v>
      </c>
      <c r="Q56" s="374">
        <v>0</v>
      </c>
      <c r="R56" s="374">
        <v>0</v>
      </c>
      <c r="S56" s="374">
        <v>0</v>
      </c>
      <c r="T56" s="374">
        <v>7</v>
      </c>
      <c r="U56" s="374">
        <v>11</v>
      </c>
      <c r="V56" s="374">
        <v>11</v>
      </c>
      <c r="W56" s="374">
        <v>11</v>
      </c>
      <c r="X56" s="374">
        <v>11</v>
      </c>
      <c r="Y56" s="374">
        <v>11</v>
      </c>
      <c r="Z56" s="374">
        <v>11</v>
      </c>
      <c r="AA56" s="374">
        <v>11</v>
      </c>
      <c r="AB56" s="374">
        <v>11</v>
      </c>
      <c r="AC56" s="374">
        <v>11</v>
      </c>
      <c r="AD56" s="374">
        <v>11</v>
      </c>
      <c r="AE56" s="374">
        <v>11</v>
      </c>
      <c r="AF56" s="374">
        <v>11</v>
      </c>
      <c r="AG56" s="374">
        <v>11</v>
      </c>
      <c r="AH56" s="374">
        <v>11</v>
      </c>
      <c r="AI56" s="375">
        <v>11</v>
      </c>
      <c r="AJ56" s="375">
        <v>11</v>
      </c>
      <c r="AK56" s="251"/>
      <c r="AL56" s="17"/>
      <c r="AM56" s="252"/>
      <c r="AN56" s="253"/>
      <c r="AO56" s="3296"/>
      <c r="AP56" s="151"/>
      <c r="AQ56" s="17"/>
      <c r="AR56" s="17"/>
      <c r="AS56" s="17"/>
      <c r="AT56" s="9">
        <v>16</v>
      </c>
    </row>
    <row r="57" spans="1:46" ht="15.95" customHeight="1">
      <c r="A57" s="27"/>
      <c r="B57" s="4012" t="str">
        <f>C2</f>
        <v>AUBERGINES A L'EGYPTIENNE</v>
      </c>
      <c r="C57" s="4013"/>
      <c r="D57" s="4013"/>
      <c r="E57" s="4013"/>
      <c r="F57" s="4013"/>
      <c r="G57" s="4013"/>
      <c r="H57" s="4013"/>
      <c r="I57" s="4013"/>
      <c r="J57" s="4013"/>
      <c r="K57" s="4013"/>
      <c r="L57" s="4013"/>
      <c r="M57" s="4013"/>
      <c r="N57" s="4013"/>
      <c r="O57" s="4013"/>
      <c r="P57" s="4013"/>
      <c r="Q57" s="4013"/>
      <c r="R57" s="4013"/>
      <c r="S57" s="4013"/>
      <c r="T57" s="4013"/>
      <c r="U57" s="4016" t="s">
        <v>116</v>
      </c>
      <c r="V57" s="4016"/>
      <c r="W57" s="3961">
        <v>3</v>
      </c>
      <c r="X57" s="3963" t="s">
        <v>22</v>
      </c>
      <c r="Y57" s="255"/>
      <c r="Z57" s="255"/>
      <c r="AA57" s="255"/>
      <c r="AB57" s="3636" t="s">
        <v>117</v>
      </c>
      <c r="AC57" s="3989"/>
      <c r="AD57" s="3990"/>
      <c r="AE57" s="255"/>
      <c r="AF57" s="256"/>
      <c r="AG57" s="256"/>
      <c r="AH57" s="256"/>
      <c r="AI57" s="255"/>
      <c r="AJ57" s="255"/>
      <c r="AK57" s="255"/>
      <c r="AL57" s="17"/>
      <c r="AM57" s="3807" t="s">
        <v>118</v>
      </c>
      <c r="AN57" s="3808"/>
      <c r="AO57" s="3295" t="str">
        <f>V10</f>
        <v>H</v>
      </c>
      <c r="AP57" s="151"/>
      <c r="AQ57" s="17"/>
      <c r="AR57" s="17"/>
      <c r="AS57" s="17"/>
      <c r="AT57" s="9">
        <v>16</v>
      </c>
    </row>
    <row r="58" spans="1:46" ht="15.95" customHeight="1">
      <c r="A58" s="27"/>
      <c r="B58" s="4014"/>
      <c r="C58" s="4015"/>
      <c r="D58" s="4015"/>
      <c r="E58" s="4015"/>
      <c r="F58" s="4015"/>
      <c r="G58" s="4015"/>
      <c r="H58" s="4015"/>
      <c r="I58" s="4015"/>
      <c r="J58" s="4015"/>
      <c r="K58" s="4015"/>
      <c r="L58" s="4015"/>
      <c r="M58" s="4015"/>
      <c r="N58" s="4015"/>
      <c r="O58" s="4015"/>
      <c r="P58" s="4015"/>
      <c r="Q58" s="4015"/>
      <c r="R58" s="4015"/>
      <c r="S58" s="4015"/>
      <c r="T58" s="4015"/>
      <c r="U58" s="4017"/>
      <c r="V58" s="4017"/>
      <c r="W58" s="3962"/>
      <c r="X58" s="3964"/>
      <c r="Y58" s="255"/>
      <c r="Z58" s="255"/>
      <c r="AA58" s="255"/>
      <c r="AB58" s="3639"/>
      <c r="AC58" s="3640"/>
      <c r="AD58" s="3641"/>
      <c r="AE58" s="255"/>
      <c r="AF58" s="256"/>
      <c r="AG58" s="256"/>
      <c r="AH58" s="256"/>
      <c r="AI58" s="258"/>
      <c r="AJ58" s="258"/>
      <c r="AK58" s="258"/>
      <c r="AL58" s="17"/>
      <c r="AM58" s="259"/>
      <c r="AN58" s="260" t="str">
        <f>W10</f>
        <v>à</v>
      </c>
      <c r="AO58" s="3295" t="str">
        <f>X10</f>
        <v>S</v>
      </c>
      <c r="AP58" s="151"/>
      <c r="AQ58" s="17"/>
      <c r="AR58" s="17"/>
      <c r="AS58" s="17"/>
      <c r="AT58" s="9">
        <v>16</v>
      </c>
    </row>
    <row r="59" spans="1:46" ht="15.95" customHeight="1">
      <c r="A59" s="27"/>
      <c r="B59" s="3186" t="s">
        <v>119</v>
      </c>
      <c r="C59" s="3176"/>
      <c r="D59" s="3176"/>
      <c r="E59" s="3185"/>
      <c r="F59" s="3184"/>
      <c r="G59" s="3183"/>
      <c r="H59" s="3176"/>
      <c r="I59" s="3176"/>
      <c r="J59" s="3176"/>
      <c r="K59" s="3176"/>
      <c r="L59" s="3176"/>
      <c r="M59" s="3176"/>
      <c r="N59" s="3176"/>
      <c r="O59" s="3176"/>
      <c r="P59" s="3176"/>
      <c r="Q59" s="3176"/>
      <c r="R59" s="3176"/>
      <c r="S59" s="3176"/>
      <c r="T59" s="3181"/>
      <c r="U59" s="3181" t="s">
        <v>120</v>
      </c>
      <c r="V59" s="3184" t="s">
        <v>121</v>
      </c>
      <c r="W59" s="3180">
        <f>W57</f>
        <v>3</v>
      </c>
      <c r="X59" s="3179" t="str">
        <f>X57</f>
        <v>Kg</v>
      </c>
      <c r="Y59" s="256"/>
      <c r="Z59" s="256"/>
      <c r="AA59" s="256"/>
      <c r="AB59" s="3639"/>
      <c r="AC59" s="3640"/>
      <c r="AD59" s="3641"/>
      <c r="AE59" s="256"/>
      <c r="AF59" s="258"/>
      <c r="AG59" s="258"/>
      <c r="AH59" s="258"/>
      <c r="AI59" s="258"/>
      <c r="AJ59" s="258"/>
      <c r="AK59" s="258"/>
      <c r="AL59" s="17"/>
      <c r="AM59" s="259"/>
      <c r="AN59" s="269" t="str">
        <f>Y10</f>
        <v>sont masquées</v>
      </c>
      <c r="AO59" s="3294"/>
      <c r="AP59" s="151"/>
      <c r="AQ59" s="17"/>
      <c r="AR59" s="17"/>
      <c r="AS59" s="17"/>
      <c r="AT59" s="9">
        <v>16</v>
      </c>
    </row>
    <row r="60" spans="1:46" ht="15.95" customHeight="1">
      <c r="A60" s="27"/>
      <c r="B60" s="3965">
        <f>SUM(C63:C68)</f>
        <v>722</v>
      </c>
      <c r="C60" s="3830" t="s">
        <v>122</v>
      </c>
      <c r="D60" s="3553">
        <f>(D63*C63)/1000+(D64*C64)/1000+(D65*C65)/1000+(D66*C66)/1000+(D67*C67)/1000+(D68*C68)/1000</f>
        <v>59.339999999999996</v>
      </c>
      <c r="E60" s="3597">
        <f>IF(D60=0,0,INT(D60/W57))</f>
        <v>19</v>
      </c>
      <c r="F60" s="3597"/>
      <c r="G60" s="3832">
        <f>D60-(E60*W57)</f>
        <v>2.3399999999999963</v>
      </c>
      <c r="H60" s="17"/>
      <c r="I60" s="17"/>
      <c r="J60" s="17"/>
      <c r="K60" s="17"/>
      <c r="L60" s="17"/>
      <c r="M60" s="17"/>
      <c r="N60" s="17"/>
      <c r="O60" s="17"/>
      <c r="P60" s="17"/>
      <c r="Q60" s="17"/>
      <c r="R60" s="17"/>
      <c r="S60" s="17"/>
      <c r="T60" s="3581" t="str">
        <f>IF(G60=0,0,X57)</f>
        <v>Kg</v>
      </c>
      <c r="U60" s="3581"/>
      <c r="V60" s="3597">
        <f>IF(G60=0,0,E60+1)</f>
        <v>20</v>
      </c>
      <c r="W60" s="3832">
        <f>IF(G60=0,0,D60-(V60*W57))</f>
        <v>-0.66000000000000369</v>
      </c>
      <c r="X60" s="3557" t="str">
        <f>IF(W60=0,0,X57)</f>
        <v>Kg</v>
      </c>
      <c r="Y60" s="256"/>
      <c r="Z60" s="256"/>
      <c r="AA60" s="256"/>
      <c r="AB60" s="3668" t="s">
        <v>123</v>
      </c>
      <c r="AC60" s="3669"/>
      <c r="AD60" s="3670"/>
      <c r="AE60" s="256"/>
      <c r="AF60" s="258"/>
      <c r="AG60" s="258"/>
      <c r="AH60" s="258"/>
      <c r="AI60" s="258"/>
      <c r="AJ60" s="258"/>
      <c r="AK60" s="258"/>
      <c r="AL60" s="17"/>
      <c r="AM60" s="188"/>
      <c r="AN60" s="271"/>
      <c r="AO60" s="272"/>
      <c r="AP60" s="151"/>
      <c r="AQ60" s="17"/>
      <c r="AR60" s="17"/>
      <c r="AS60" s="17"/>
      <c r="AT60" s="9">
        <v>16</v>
      </c>
    </row>
    <row r="61" spans="1:46" ht="15.95" customHeight="1" thickBot="1">
      <c r="A61" s="27"/>
      <c r="B61" s="3966"/>
      <c r="C61" s="4018"/>
      <c r="D61" s="3968"/>
      <c r="E61" s="3969"/>
      <c r="F61" s="3969"/>
      <c r="G61" s="4019"/>
      <c r="H61" s="3288"/>
      <c r="I61" s="3288"/>
      <c r="J61" s="3288"/>
      <c r="K61" s="3288"/>
      <c r="L61" s="3288"/>
      <c r="M61" s="3288"/>
      <c r="N61" s="3288"/>
      <c r="O61" s="3288"/>
      <c r="P61" s="3288"/>
      <c r="Q61" s="3288"/>
      <c r="R61" s="3288"/>
      <c r="S61" s="3288"/>
      <c r="T61" s="3971"/>
      <c r="U61" s="3971"/>
      <c r="V61" s="3969"/>
      <c r="W61" s="4019"/>
      <c r="X61" s="3972"/>
      <c r="Y61" s="256"/>
      <c r="Z61" s="256"/>
      <c r="AA61" s="256"/>
      <c r="AB61" s="3668"/>
      <c r="AC61" s="3669"/>
      <c r="AD61" s="3670"/>
      <c r="AE61" s="256"/>
      <c r="AF61" s="258"/>
      <c r="AG61" s="258"/>
      <c r="AH61" s="258"/>
      <c r="AI61" s="258"/>
      <c r="AJ61" s="258"/>
      <c r="AK61" s="258"/>
      <c r="AL61" s="17"/>
      <c r="AM61" s="3293">
        <f ca="1">CELL("largeur",AM61)</f>
        <v>15</v>
      </c>
      <c r="AN61" s="3292">
        <f ca="1">CELL("largeur",AN61)</f>
        <v>15</v>
      </c>
      <c r="AO61" s="3291">
        <f ca="1">CELL("largeur",AO61)</f>
        <v>15</v>
      </c>
      <c r="AP61" s="151"/>
      <c r="AQ61" s="17"/>
      <c r="AR61" s="17"/>
      <c r="AS61" s="17"/>
      <c r="AT61" s="9">
        <v>16</v>
      </c>
    </row>
    <row r="62" spans="1:46" ht="15.95" customHeight="1">
      <c r="A62" s="17"/>
      <c r="B62" s="3178"/>
      <c r="C62" s="278" t="s">
        <v>124</v>
      </c>
      <c r="D62" s="278" t="s">
        <v>125</v>
      </c>
      <c r="E62" s="17"/>
      <c r="F62" s="279"/>
      <c r="G62" s="280"/>
      <c r="H62" s="27"/>
      <c r="I62" s="3290"/>
      <c r="J62" s="3290"/>
      <c r="K62" s="3290"/>
      <c r="L62" s="3290"/>
      <c r="M62" s="3290"/>
      <c r="N62" s="3290"/>
      <c r="O62" s="3290"/>
      <c r="P62" s="3290"/>
      <c r="Q62" s="3290"/>
      <c r="R62" s="3290"/>
      <c r="S62" s="3290"/>
      <c r="T62" s="27"/>
      <c r="U62" s="27"/>
      <c r="V62" s="282" t="s">
        <v>126</v>
      </c>
      <c r="W62" s="17"/>
      <c r="X62" s="283"/>
      <c r="Y62" s="256"/>
      <c r="Z62" s="256"/>
      <c r="AA62" s="256"/>
      <c r="AB62" s="3834" t="s">
        <v>127</v>
      </c>
      <c r="AC62" s="3835"/>
      <c r="AD62" s="3836"/>
      <c r="AE62" s="256"/>
      <c r="AF62" s="258"/>
      <c r="AG62" s="258"/>
      <c r="AH62" s="258"/>
      <c r="AI62" s="258"/>
      <c r="AJ62" s="258"/>
      <c r="AK62" s="258"/>
      <c r="AL62" s="17"/>
      <c r="AM62" s="151"/>
      <c r="AN62" s="151"/>
      <c r="AO62" s="151"/>
      <c r="AP62" s="151"/>
      <c r="AQ62" s="17"/>
      <c r="AR62" s="17"/>
      <c r="AS62" s="17"/>
      <c r="AT62" s="9">
        <v>16</v>
      </c>
    </row>
    <row r="63" spans="1:46" ht="15.95" customHeight="1">
      <c r="A63" s="27"/>
      <c r="B63" s="3174" t="s">
        <v>128</v>
      </c>
      <c r="C63" s="285">
        <f>AD13</f>
        <v>250</v>
      </c>
      <c r="D63" s="286">
        <f>AD14</f>
        <v>50</v>
      </c>
      <c r="E63" s="287">
        <f t="shared" ref="E63:E68" si="8">(C63/1000)*D63</f>
        <v>12.5</v>
      </c>
      <c r="F63" s="288"/>
      <c r="G63" s="3552">
        <f>IF(E63=0,0,INT(E63/W57))</f>
        <v>4</v>
      </c>
      <c r="H63" s="3552"/>
      <c r="I63" s="27"/>
      <c r="J63" s="27"/>
      <c r="K63" s="27"/>
      <c r="L63" s="27"/>
      <c r="M63" s="27"/>
      <c r="N63" s="27"/>
      <c r="O63" s="27"/>
      <c r="P63" s="27"/>
      <c r="Q63" s="27"/>
      <c r="R63" s="27"/>
      <c r="S63" s="27"/>
      <c r="T63" s="289">
        <f>E63-(G63*W57)</f>
        <v>0.5</v>
      </c>
      <c r="U63" s="290" t="str">
        <f>IF(T63=0,0,X57)</f>
        <v>Kg</v>
      </c>
      <c r="V63" s="291">
        <f t="shared" ref="V63:V68" si="9">IF(T63=0,0,G63+1)</f>
        <v>5</v>
      </c>
      <c r="W63" s="292">
        <f>IF(T63=0,0,E63-(V63*W57))</f>
        <v>-2.5</v>
      </c>
      <c r="X63" s="293" t="str">
        <f>IF(W63=0,0,X57)</f>
        <v>Kg</v>
      </c>
      <c r="Y63" s="256"/>
      <c r="Z63" s="256"/>
      <c r="AA63" s="256"/>
      <c r="AB63" s="3834"/>
      <c r="AC63" s="3835"/>
      <c r="AD63" s="3836"/>
      <c r="AE63" s="256"/>
      <c r="AF63" s="258"/>
      <c r="AG63" s="258"/>
      <c r="AH63" s="258"/>
      <c r="AI63" s="258"/>
      <c r="AJ63" s="258"/>
      <c r="AK63" s="258"/>
      <c r="AL63" s="17"/>
      <c r="AM63" s="3942" t="s">
        <v>130</v>
      </c>
      <c r="AN63" s="3943"/>
      <c r="AO63" s="3944"/>
      <c r="AP63" s="900"/>
      <c r="AQ63" s="3945" t="s">
        <v>131</v>
      </c>
      <c r="AR63" s="3249" t="s">
        <v>37</v>
      </c>
      <c r="AS63" s="3248" t="s">
        <v>47</v>
      </c>
      <c r="AT63" s="9">
        <v>16</v>
      </c>
    </row>
    <row r="64" spans="1:46" ht="15.95" customHeight="1">
      <c r="A64" s="27"/>
      <c r="B64" s="3173" t="s">
        <v>129</v>
      </c>
      <c r="C64" s="285">
        <f>AE13</f>
        <v>260</v>
      </c>
      <c r="D64" s="286">
        <f>AE14</f>
        <v>80</v>
      </c>
      <c r="E64" s="287">
        <f t="shared" si="8"/>
        <v>20.8</v>
      </c>
      <c r="F64" s="17"/>
      <c r="G64" s="3552">
        <f>IF(E64=0,0,INT(E64/W57))</f>
        <v>6</v>
      </c>
      <c r="H64" s="3552"/>
      <c r="I64" s="27"/>
      <c r="J64" s="27"/>
      <c r="K64" s="27"/>
      <c r="L64" s="27"/>
      <c r="M64" s="27"/>
      <c r="N64" s="27"/>
      <c r="O64" s="27"/>
      <c r="P64" s="27"/>
      <c r="Q64" s="27"/>
      <c r="R64" s="27"/>
      <c r="S64" s="27"/>
      <c r="T64" s="289">
        <f>E64-(G64*W57)</f>
        <v>2.8000000000000007</v>
      </c>
      <c r="U64" s="290" t="str">
        <f>IF(T64=0,0,X57)</f>
        <v>Kg</v>
      </c>
      <c r="V64" s="291">
        <f t="shared" si="9"/>
        <v>7</v>
      </c>
      <c r="W64" s="292">
        <f>IF(T64=0,0,E64-(V64*W57))</f>
        <v>-0.19999999999999929</v>
      </c>
      <c r="X64" s="293" t="str">
        <f>IF(W64=0,0,X57)</f>
        <v>Kg</v>
      </c>
      <c r="Y64" s="256"/>
      <c r="Z64" s="256"/>
      <c r="AA64" s="256"/>
      <c r="AB64" s="3834"/>
      <c r="AC64" s="3835"/>
      <c r="AD64" s="3836"/>
      <c r="AE64" s="256"/>
      <c r="AF64" s="296"/>
      <c r="AG64" s="256"/>
      <c r="AH64" s="258"/>
      <c r="AI64" s="258"/>
      <c r="AJ64" s="258"/>
      <c r="AK64" s="258"/>
      <c r="AL64" s="17"/>
      <c r="AM64" s="3711" t="s">
        <v>133</v>
      </c>
      <c r="AN64" s="3712" t="s">
        <v>134</v>
      </c>
      <c r="AO64" s="3713" t="s">
        <v>135</v>
      </c>
      <c r="AP64" s="900"/>
      <c r="AQ64" s="3709"/>
      <c r="AR64" s="550">
        <v>200</v>
      </c>
      <c r="AS64" s="549">
        <v>140</v>
      </c>
      <c r="AT64" s="9">
        <v>16</v>
      </c>
    </row>
    <row r="65" spans="1:46" ht="15.95" customHeight="1">
      <c r="A65" s="27"/>
      <c r="B65" s="3172" t="s">
        <v>28</v>
      </c>
      <c r="C65" s="285">
        <f>AF13</f>
        <v>120</v>
      </c>
      <c r="D65" s="286">
        <f>AF14</f>
        <v>125</v>
      </c>
      <c r="E65" s="287">
        <f t="shared" si="8"/>
        <v>15</v>
      </c>
      <c r="F65" s="17"/>
      <c r="G65" s="3552">
        <f>IF(E65=0,0,INT(E65/W57))</f>
        <v>5</v>
      </c>
      <c r="H65" s="3552"/>
      <c r="I65" s="27"/>
      <c r="J65" s="27"/>
      <c r="K65" s="27"/>
      <c r="L65" s="27"/>
      <c r="M65" s="27"/>
      <c r="N65" s="27"/>
      <c r="O65" s="27"/>
      <c r="P65" s="27"/>
      <c r="Q65" s="27"/>
      <c r="R65" s="27"/>
      <c r="S65" s="27"/>
      <c r="T65" s="289">
        <f>E65-(G65*W57)</f>
        <v>0</v>
      </c>
      <c r="U65" s="290">
        <f>IF(T65=0,0,X57)</f>
        <v>0</v>
      </c>
      <c r="V65" s="291">
        <f t="shared" si="9"/>
        <v>0</v>
      </c>
      <c r="W65" s="292">
        <f>IF(T65=0,0,E65-(V65*W57))</f>
        <v>0</v>
      </c>
      <c r="X65" s="293">
        <f>IF(W65=0,0,X57)</f>
        <v>0</v>
      </c>
      <c r="Y65" s="256"/>
      <c r="Z65" s="256"/>
      <c r="AA65" s="256"/>
      <c r="AB65" s="3677" t="s">
        <v>132</v>
      </c>
      <c r="AC65" s="3678"/>
      <c r="AD65" s="3679"/>
      <c r="AE65" s="256"/>
      <c r="AF65" s="296"/>
      <c r="AG65" s="256"/>
      <c r="AH65" s="258"/>
      <c r="AI65" s="258"/>
      <c r="AJ65" s="258"/>
      <c r="AK65" s="258"/>
      <c r="AL65" s="17"/>
      <c r="AM65" s="3711"/>
      <c r="AN65" s="3712"/>
      <c r="AO65" s="3713"/>
      <c r="AP65" s="900"/>
      <c r="AQ65" s="3709"/>
      <c r="AR65" s="308">
        <v>30</v>
      </c>
      <c r="AS65" s="309">
        <v>30</v>
      </c>
      <c r="AT65" s="9">
        <v>16</v>
      </c>
    </row>
    <row r="66" spans="1:46" ht="15.95" customHeight="1">
      <c r="A66" s="27"/>
      <c r="B66" s="3172" t="s">
        <v>136</v>
      </c>
      <c r="C66" s="285">
        <f>AG13</f>
        <v>60</v>
      </c>
      <c r="D66" s="286">
        <f>AG14</f>
        <v>140</v>
      </c>
      <c r="E66" s="287">
        <f t="shared" si="8"/>
        <v>8.4</v>
      </c>
      <c r="F66" s="17"/>
      <c r="G66" s="3552">
        <f>IF(E66=0,0,INT(E66/W57))</f>
        <v>2</v>
      </c>
      <c r="H66" s="3552"/>
      <c r="I66" s="27"/>
      <c r="J66" s="27"/>
      <c r="K66" s="27"/>
      <c r="L66" s="27"/>
      <c r="M66" s="27"/>
      <c r="N66" s="27"/>
      <c r="O66" s="27"/>
      <c r="P66" s="27"/>
      <c r="Q66" s="27"/>
      <c r="R66" s="27"/>
      <c r="S66" s="27"/>
      <c r="T66" s="289">
        <f>E66-(G66*W57)</f>
        <v>2.4000000000000004</v>
      </c>
      <c r="U66" s="290" t="str">
        <f>IF(T66=0,0,X57)</f>
        <v>Kg</v>
      </c>
      <c r="V66" s="291">
        <f t="shared" si="9"/>
        <v>3</v>
      </c>
      <c r="W66" s="292">
        <f>IF(T66=0,0,E66-(V66*W57))</f>
        <v>-0.59999999999999964</v>
      </c>
      <c r="X66" s="293" t="str">
        <f>IF(W66=0,0,X57)</f>
        <v>Kg</v>
      </c>
      <c r="Y66" s="256"/>
      <c r="Z66" s="256"/>
      <c r="AA66" s="256"/>
      <c r="AB66" s="3680" t="s">
        <v>137</v>
      </c>
      <c r="AC66" s="3681"/>
      <c r="AD66" s="3682"/>
      <c r="AE66" s="256"/>
      <c r="AF66" s="258"/>
      <c r="AG66" s="258"/>
      <c r="AH66" s="258"/>
      <c r="AI66" s="258"/>
      <c r="AJ66" s="258"/>
      <c r="AK66" s="258"/>
      <c r="AL66" s="17"/>
      <c r="AM66" s="3246">
        <v>150</v>
      </c>
      <c r="AN66" s="3245">
        <v>250</v>
      </c>
      <c r="AO66" s="3244">
        <f>(AN66*AM66)/1000</f>
        <v>37.5</v>
      </c>
      <c r="AP66" s="900"/>
      <c r="AQ66" s="3946"/>
      <c r="AR66" s="3243">
        <f>IF(AR64=0,0,((AR64-(AR64*AR65%))))/1000</f>
        <v>0.14000000000000001</v>
      </c>
      <c r="AS66" s="3242">
        <f>(AS64/(100-AS65)*100)/1000</f>
        <v>0.2</v>
      </c>
      <c r="AT66" s="9">
        <v>16</v>
      </c>
    </row>
    <row r="67" spans="1:46" ht="15.95" customHeight="1">
      <c r="A67" s="27"/>
      <c r="B67" s="3172" t="s">
        <v>56</v>
      </c>
      <c r="C67" s="285">
        <f>AH13</f>
        <v>20</v>
      </c>
      <c r="D67" s="286">
        <f>AH14</f>
        <v>90</v>
      </c>
      <c r="E67" s="287">
        <f t="shared" si="8"/>
        <v>1.8</v>
      </c>
      <c r="F67" s="17"/>
      <c r="G67" s="3552">
        <f>IF(E67=0,0,INT(E67/W57))</f>
        <v>0</v>
      </c>
      <c r="H67" s="3552"/>
      <c r="I67" s="27"/>
      <c r="J67" s="27"/>
      <c r="K67" s="27"/>
      <c r="L67" s="27"/>
      <c r="M67" s="27"/>
      <c r="N67" s="27"/>
      <c r="O67" s="27"/>
      <c r="P67" s="27"/>
      <c r="Q67" s="27"/>
      <c r="R67" s="27"/>
      <c r="S67" s="27"/>
      <c r="T67" s="289">
        <f>E67-(G67*W57)</f>
        <v>1.8</v>
      </c>
      <c r="U67" s="290" t="str">
        <f>IF(T67=0,0,X57)</f>
        <v>Kg</v>
      </c>
      <c r="V67" s="291">
        <f t="shared" si="9"/>
        <v>1</v>
      </c>
      <c r="W67" s="292">
        <f>IF(T67=0,0,E67-(V67*W57))</f>
        <v>-1.2</v>
      </c>
      <c r="X67" s="293" t="str">
        <f>IF(W67=0,0,X57)</f>
        <v>Kg</v>
      </c>
      <c r="Y67" s="256"/>
      <c r="Z67" s="256"/>
      <c r="AA67" s="256"/>
      <c r="AB67" s="3543" t="s">
        <v>138</v>
      </c>
      <c r="AC67" s="3544"/>
      <c r="AD67" s="3545"/>
      <c r="AE67" s="256"/>
      <c r="AF67" s="258"/>
      <c r="AG67" s="258"/>
      <c r="AH67" s="258"/>
      <c r="AI67" s="258"/>
      <c r="AJ67" s="258"/>
      <c r="AK67" s="258"/>
      <c r="AL67" s="17"/>
      <c r="AM67" s="553" t="s">
        <v>203</v>
      </c>
      <c r="AN67" s="552"/>
      <c r="AO67" s="552"/>
      <c r="AP67" s="900"/>
      <c r="AQ67" s="900"/>
      <c r="AR67" s="900"/>
      <c r="AS67" s="900"/>
      <c r="AT67" s="9">
        <v>16</v>
      </c>
    </row>
    <row r="68" spans="1:46" ht="15.95" customHeight="1">
      <c r="A68" s="17"/>
      <c r="B68" s="3172" t="s">
        <v>57</v>
      </c>
      <c r="C68" s="285">
        <f>AI13</f>
        <v>12</v>
      </c>
      <c r="D68" s="286">
        <f>AI14</f>
        <v>70</v>
      </c>
      <c r="E68" s="287">
        <f t="shared" si="8"/>
        <v>0.84</v>
      </c>
      <c r="F68" s="17"/>
      <c r="G68" s="3552">
        <f>IF(E68=0,0,INT(E68/W57))</f>
        <v>0</v>
      </c>
      <c r="H68" s="3552"/>
      <c r="I68" s="27"/>
      <c r="J68" s="27"/>
      <c r="K68" s="27"/>
      <c r="L68" s="27"/>
      <c r="M68" s="27"/>
      <c r="N68" s="27"/>
      <c r="O68" s="27"/>
      <c r="P68" s="27"/>
      <c r="Q68" s="27"/>
      <c r="R68" s="27"/>
      <c r="S68" s="27"/>
      <c r="T68" s="289">
        <f>E68-(G68*W57)</f>
        <v>0.84</v>
      </c>
      <c r="U68" s="290" t="str">
        <f>IF(T68=0,0,X57)</f>
        <v>Kg</v>
      </c>
      <c r="V68" s="291">
        <f t="shared" si="9"/>
        <v>1</v>
      </c>
      <c r="W68" s="292">
        <f>IF(T68=0,0,E68-(V68*W57))</f>
        <v>-2.16</v>
      </c>
      <c r="X68" s="293" t="str">
        <f>IF(W68=0,0,X57)</f>
        <v>Kg</v>
      </c>
      <c r="Y68" s="256"/>
      <c r="Z68" s="256"/>
      <c r="AA68" s="256"/>
      <c r="AB68" s="3543"/>
      <c r="AC68" s="3544"/>
      <c r="AD68" s="3545"/>
      <c r="AE68" s="256"/>
      <c r="AF68" s="258"/>
      <c r="AG68" s="258"/>
      <c r="AH68" s="258"/>
      <c r="AI68" s="258"/>
      <c r="AJ68" s="258"/>
      <c r="AK68" s="258"/>
      <c r="AL68" s="17"/>
      <c r="AM68" s="17"/>
      <c r="AN68" s="17"/>
      <c r="AO68" s="17"/>
      <c r="AP68" s="17"/>
      <c r="AQ68" s="17"/>
      <c r="AR68" s="17"/>
      <c r="AS68" s="17"/>
      <c r="AT68" s="9">
        <v>16</v>
      </c>
    </row>
    <row r="69" spans="1:46" ht="15.95" customHeight="1">
      <c r="A69" s="17"/>
      <c r="B69" s="3169"/>
      <c r="C69" s="17"/>
      <c r="D69" s="17"/>
      <c r="E69" s="17"/>
      <c r="F69" s="17"/>
      <c r="G69" s="3184" t="s">
        <v>139</v>
      </c>
      <c r="H69" s="3184"/>
      <c r="I69" s="17"/>
      <c r="J69" s="17"/>
      <c r="K69" s="17"/>
      <c r="L69" s="17"/>
      <c r="M69" s="17"/>
      <c r="N69" s="17"/>
      <c r="O69" s="17"/>
      <c r="P69" s="17"/>
      <c r="Q69" s="17"/>
      <c r="R69" s="17"/>
      <c r="S69" s="17"/>
      <c r="T69" s="3184"/>
      <c r="U69" s="3184"/>
      <c r="V69" s="3184"/>
      <c r="W69" s="3184"/>
      <c r="X69" s="3179"/>
      <c r="Y69" s="256"/>
      <c r="Z69" s="256"/>
      <c r="AA69" s="256"/>
      <c r="AB69" s="3543"/>
      <c r="AC69" s="3544"/>
      <c r="AD69" s="3545"/>
      <c r="AE69" s="256"/>
      <c r="AF69" s="258"/>
      <c r="AG69" s="258"/>
      <c r="AH69" s="258"/>
      <c r="AI69" s="258"/>
      <c r="AJ69" s="258"/>
      <c r="AK69" s="258"/>
      <c r="AL69" s="17"/>
      <c r="AM69" s="17"/>
      <c r="AN69" s="17"/>
      <c r="AO69" s="17"/>
      <c r="AP69" s="17"/>
      <c r="AQ69" s="17"/>
      <c r="AR69" s="17"/>
      <c r="AS69" s="17"/>
      <c r="AT69" s="9">
        <v>16</v>
      </c>
    </row>
    <row r="70" spans="1:46" ht="15.95" customHeight="1">
      <c r="A70" s="17"/>
      <c r="B70" s="3169"/>
      <c r="C70" s="17"/>
      <c r="D70" s="17"/>
      <c r="E70" s="17"/>
      <c r="F70" s="17"/>
      <c r="G70" s="3560">
        <f>IF(G71=0,0,INT(G71/W57))</f>
        <v>17</v>
      </c>
      <c r="H70" s="3560"/>
      <c r="I70" s="17"/>
      <c r="J70" s="17"/>
      <c r="K70" s="17"/>
      <c r="L70" s="17"/>
      <c r="M70" s="17"/>
      <c r="N70" s="17"/>
      <c r="O70" s="17"/>
      <c r="P70" s="17"/>
      <c r="Q70" s="17"/>
      <c r="R70" s="17"/>
      <c r="S70" s="17"/>
      <c r="T70" s="3168" t="s">
        <v>140</v>
      </c>
      <c r="U70" s="314">
        <f>D60-G71</f>
        <v>8.3399999999999963</v>
      </c>
      <c r="V70" s="315" t="s">
        <v>141</v>
      </c>
      <c r="W70" s="350">
        <f>COUNTIF(T63:T68,"&gt;0")</f>
        <v>5</v>
      </c>
      <c r="X70" s="317" t="s">
        <v>142</v>
      </c>
      <c r="Y70" s="256"/>
      <c r="Z70" s="256"/>
      <c r="AA70" s="256"/>
      <c r="AB70" s="3543"/>
      <c r="AC70" s="3544"/>
      <c r="AD70" s="3545"/>
      <c r="AE70" s="256"/>
      <c r="AF70" s="258"/>
      <c r="AG70" s="258"/>
      <c r="AH70" s="258"/>
      <c r="AI70" s="258"/>
      <c r="AJ70" s="258"/>
      <c r="AK70" s="258"/>
      <c r="AL70" s="17"/>
      <c r="AM70" s="17"/>
      <c r="AN70" s="17"/>
      <c r="AO70" s="17"/>
      <c r="AP70" s="17"/>
      <c r="AQ70" s="17"/>
      <c r="AR70" s="17"/>
      <c r="AS70" s="17"/>
      <c r="AT70" s="9">
        <v>16</v>
      </c>
    </row>
    <row r="71" spans="1:46" ht="15.95" customHeight="1">
      <c r="A71" s="17"/>
      <c r="B71" s="3169"/>
      <c r="C71" s="17"/>
      <c r="D71" s="17"/>
      <c r="E71" s="17"/>
      <c r="F71" s="17"/>
      <c r="G71" s="3842">
        <f>SUM(G63:H68)*W57</f>
        <v>51</v>
      </c>
      <c r="H71" s="3842"/>
      <c r="I71" s="17"/>
      <c r="J71" s="17"/>
      <c r="K71" s="17"/>
      <c r="L71" s="17"/>
      <c r="M71" s="17"/>
      <c r="N71" s="17"/>
      <c r="O71" s="17"/>
      <c r="P71" s="17"/>
      <c r="Q71" s="17"/>
      <c r="R71" s="17"/>
      <c r="S71" s="17"/>
      <c r="T71" s="27"/>
      <c r="U71" s="318">
        <f>G71+U70</f>
        <v>59.339999999999996</v>
      </c>
      <c r="V71" s="17"/>
      <c r="W71" s="17"/>
      <c r="X71" s="283"/>
      <c r="Y71" s="256"/>
      <c r="Z71" s="256"/>
      <c r="AA71" s="256"/>
      <c r="AB71" s="188"/>
      <c r="AC71" s="271"/>
      <c r="AD71" s="272"/>
      <c r="AE71" s="256"/>
      <c r="AF71" s="256"/>
      <c r="AG71" s="256"/>
      <c r="AH71" s="256"/>
      <c r="AI71" s="256"/>
      <c r="AJ71" s="256"/>
      <c r="AK71" s="256"/>
      <c r="AL71" s="17"/>
      <c r="AM71" s="294"/>
      <c r="AN71" s="294"/>
      <c r="AO71" s="294"/>
      <c r="AP71" s="294"/>
      <c r="AQ71" s="17"/>
      <c r="AR71" s="17"/>
      <c r="AS71" s="17"/>
      <c r="AT71" s="9">
        <v>16</v>
      </c>
    </row>
    <row r="72" spans="1:46" ht="15.95" customHeight="1" thickBot="1">
      <c r="A72" s="17"/>
      <c r="B72" s="319"/>
      <c r="C72" s="320"/>
      <c r="D72" s="320"/>
      <c r="E72" s="320"/>
      <c r="F72" s="320"/>
      <c r="G72" s="320"/>
      <c r="H72" s="320"/>
      <c r="I72" s="320"/>
      <c r="J72" s="320"/>
      <c r="K72" s="320"/>
      <c r="L72" s="320"/>
      <c r="M72" s="320"/>
      <c r="N72" s="320"/>
      <c r="O72" s="320"/>
      <c r="P72" s="320"/>
      <c r="Q72" s="320"/>
      <c r="R72" s="320"/>
      <c r="S72" s="320"/>
      <c r="T72" s="320"/>
      <c r="U72" s="320"/>
      <c r="V72" s="320"/>
      <c r="W72" s="320"/>
      <c r="X72" s="321"/>
      <c r="Y72" s="256"/>
      <c r="Z72" s="256"/>
      <c r="AA72" s="256"/>
      <c r="AB72" s="3543" t="s">
        <v>143</v>
      </c>
      <c r="AC72" s="3544"/>
      <c r="AD72" s="3545"/>
      <c r="AE72" s="256"/>
      <c r="AF72" s="256"/>
      <c r="AG72" s="256"/>
      <c r="AH72" s="256"/>
      <c r="AI72" s="256"/>
      <c r="AJ72" s="256"/>
      <c r="AK72" s="256"/>
      <c r="AL72" s="17"/>
      <c r="AM72" s="294"/>
      <c r="AN72" s="294"/>
      <c r="AO72" s="294"/>
      <c r="AP72" s="294"/>
      <c r="AQ72" s="17"/>
      <c r="AR72" s="17"/>
      <c r="AS72" s="17"/>
      <c r="AT72" s="9">
        <v>16</v>
      </c>
    </row>
    <row r="73" spans="1:46" ht="15.95" customHeight="1">
      <c r="A73" s="17"/>
      <c r="B73" s="17"/>
      <c r="C73" s="17"/>
      <c r="D73" s="17"/>
      <c r="E73" s="17"/>
      <c r="F73" s="17"/>
      <c r="G73" s="17"/>
      <c r="H73" s="17"/>
      <c r="I73" s="17"/>
      <c r="J73" s="17"/>
      <c r="K73" s="17"/>
      <c r="L73" s="17"/>
      <c r="M73" s="17"/>
      <c r="N73" s="17"/>
      <c r="O73" s="17"/>
      <c r="P73" s="17"/>
      <c r="Q73" s="17"/>
      <c r="R73" s="17"/>
      <c r="S73" s="17"/>
      <c r="T73" s="17"/>
      <c r="U73" s="17"/>
      <c r="V73" s="17"/>
      <c r="W73" s="17"/>
      <c r="X73" s="17"/>
      <c r="Y73" s="256"/>
      <c r="Z73" s="256"/>
      <c r="AA73" s="256"/>
      <c r="AB73" s="3543"/>
      <c r="AC73" s="3544"/>
      <c r="AD73" s="3545"/>
      <c r="AE73" s="256"/>
      <c r="AF73" s="256"/>
      <c r="AG73" s="256"/>
      <c r="AH73" s="256"/>
      <c r="AI73" s="256"/>
      <c r="AJ73" s="256"/>
      <c r="AK73" s="256"/>
      <c r="AL73" s="17"/>
      <c r="AM73" s="294"/>
      <c r="AN73" s="294"/>
      <c r="AO73" s="294"/>
      <c r="AP73" s="294"/>
      <c r="AQ73" s="17"/>
      <c r="AR73" s="17"/>
      <c r="AS73" s="17"/>
      <c r="AT73" s="9">
        <v>16</v>
      </c>
    </row>
    <row r="74" spans="1:46" ht="15.95" customHeight="1">
      <c r="A74" s="27"/>
      <c r="B74" s="8"/>
      <c r="C74" s="8"/>
      <c r="D74" s="8" t="s">
        <v>148</v>
      </c>
      <c r="E74" s="8"/>
      <c r="F74" s="8"/>
      <c r="G74" s="17"/>
      <c r="H74" s="17"/>
      <c r="I74" s="17"/>
      <c r="J74" s="17"/>
      <c r="K74" s="17"/>
      <c r="L74" s="17"/>
      <c r="M74" s="17"/>
      <c r="N74" s="17"/>
      <c r="O74" s="17"/>
      <c r="P74" s="17"/>
      <c r="Q74" s="17"/>
      <c r="R74" s="17"/>
      <c r="S74" s="17"/>
      <c r="T74" s="17"/>
      <c r="U74" s="17"/>
      <c r="V74" s="17"/>
      <c r="W74" s="256"/>
      <c r="X74" s="256"/>
      <c r="Y74" s="256"/>
      <c r="Z74" s="256"/>
      <c r="AA74" s="256"/>
      <c r="AB74" s="188"/>
      <c r="AC74" s="271"/>
      <c r="AD74" s="272"/>
      <c r="AE74" s="256"/>
      <c r="AF74" s="256"/>
      <c r="AG74" s="256"/>
      <c r="AH74" s="256"/>
      <c r="AI74" s="256"/>
      <c r="AJ74" s="256"/>
      <c r="AK74" s="256"/>
      <c r="AL74" s="17"/>
      <c r="AM74" s="294"/>
      <c r="AN74" s="294"/>
      <c r="AO74" s="294"/>
      <c r="AP74" s="294"/>
      <c r="AQ74" s="17"/>
      <c r="AR74" s="17"/>
      <c r="AS74" s="17"/>
      <c r="AT74" s="9">
        <v>16</v>
      </c>
    </row>
    <row r="75" spans="1:46" ht="15.95" customHeight="1">
      <c r="A75" s="27"/>
      <c r="B75" s="356"/>
      <c r="C75" s="357"/>
      <c r="D75" s="358" t="s">
        <v>149</v>
      </c>
      <c r="E75" s="356">
        <v>16</v>
      </c>
      <c r="F75" s="356" t="s">
        <v>150</v>
      </c>
      <c r="G75" s="17"/>
      <c r="H75" s="17"/>
      <c r="I75" s="17"/>
      <c r="J75" s="17"/>
      <c r="K75" s="17"/>
      <c r="L75" s="17"/>
      <c r="M75" s="17"/>
      <c r="N75" s="17"/>
      <c r="O75" s="17"/>
      <c r="P75" s="17"/>
      <c r="Q75" s="17"/>
      <c r="R75" s="17"/>
      <c r="S75" s="17"/>
      <c r="T75" s="358" t="s">
        <v>151</v>
      </c>
      <c r="U75" s="356">
        <v>60</v>
      </c>
      <c r="V75" s="356" t="s">
        <v>152</v>
      </c>
      <c r="W75" s="256"/>
      <c r="X75" s="256"/>
      <c r="Y75" s="256"/>
      <c r="Z75" s="256"/>
      <c r="AA75" s="256"/>
      <c r="AB75" s="3543" t="s">
        <v>145</v>
      </c>
      <c r="AC75" s="3544"/>
      <c r="AD75" s="3545"/>
      <c r="AE75" s="256"/>
      <c r="AF75" s="256"/>
      <c r="AG75" s="256"/>
      <c r="AH75" s="256"/>
      <c r="AI75" s="256"/>
      <c r="AJ75" s="256"/>
      <c r="AK75" s="256"/>
      <c r="AL75" s="17"/>
      <c r="AM75" s="294"/>
      <c r="AN75" s="294"/>
      <c r="AO75" s="294"/>
      <c r="AP75" s="294"/>
      <c r="AQ75" s="17"/>
      <c r="AR75" s="17"/>
      <c r="AS75" s="17"/>
      <c r="AT75" s="9">
        <v>16</v>
      </c>
    </row>
    <row r="76" spans="1:46" ht="15.95" customHeight="1" thickBot="1">
      <c r="A76" s="27"/>
      <c r="B76" s="356"/>
      <c r="C76" s="359"/>
      <c r="D76" s="358" t="s">
        <v>153</v>
      </c>
      <c r="E76" s="356">
        <v>24</v>
      </c>
      <c r="F76" s="356" t="s">
        <v>150</v>
      </c>
      <c r="G76" s="17"/>
      <c r="H76" s="17"/>
      <c r="I76" s="17"/>
      <c r="J76" s="17"/>
      <c r="K76" s="17"/>
      <c r="L76" s="17"/>
      <c r="M76" s="17"/>
      <c r="N76" s="17"/>
      <c r="O76" s="17"/>
      <c r="P76" s="17"/>
      <c r="Q76" s="17"/>
      <c r="R76" s="17"/>
      <c r="S76" s="17"/>
      <c r="T76" s="358" t="s">
        <v>154</v>
      </c>
      <c r="U76" s="356">
        <v>20</v>
      </c>
      <c r="V76" s="356" t="s">
        <v>155</v>
      </c>
      <c r="W76" s="256"/>
      <c r="X76" s="256"/>
      <c r="Y76" s="256"/>
      <c r="Z76" s="256"/>
      <c r="AA76" s="256"/>
      <c r="AB76" s="3546"/>
      <c r="AC76" s="3547"/>
      <c r="AD76" s="3548"/>
      <c r="AE76" s="256"/>
      <c r="AF76" s="256"/>
      <c r="AG76" s="256"/>
      <c r="AH76" s="256"/>
      <c r="AI76" s="256"/>
      <c r="AJ76" s="256"/>
      <c r="AK76" s="256"/>
      <c r="AL76" s="17"/>
      <c r="AM76" s="294"/>
      <c r="AN76" s="294"/>
      <c r="AO76" s="294"/>
      <c r="AP76" s="294"/>
      <c r="AQ76" s="17"/>
      <c r="AR76" s="17"/>
      <c r="AS76" s="17"/>
      <c r="AT76" s="9">
        <v>16</v>
      </c>
    </row>
    <row r="77" spans="1:46" ht="15.95" customHeight="1">
      <c r="A77" s="27"/>
      <c r="B77" s="356"/>
      <c r="C77" s="17"/>
      <c r="D77" s="358" t="s">
        <v>156</v>
      </c>
      <c r="E77" s="356">
        <v>20</v>
      </c>
      <c r="F77" s="356" t="s">
        <v>150</v>
      </c>
      <c r="G77" s="17"/>
      <c r="H77" s="17"/>
      <c r="I77" s="17"/>
      <c r="J77" s="17"/>
      <c r="K77" s="17"/>
      <c r="L77" s="17"/>
      <c r="M77" s="17"/>
      <c r="N77" s="17"/>
      <c r="O77" s="17"/>
      <c r="P77" s="17"/>
      <c r="Q77" s="17"/>
      <c r="R77" s="17"/>
      <c r="S77" s="17"/>
      <c r="T77" s="358" t="s">
        <v>157</v>
      </c>
      <c r="U77" s="356">
        <v>3</v>
      </c>
      <c r="V77" s="356" t="s">
        <v>22</v>
      </c>
      <c r="W77" s="256"/>
      <c r="X77" s="256"/>
      <c r="Y77" s="256"/>
      <c r="Z77" s="256"/>
      <c r="AA77" s="256"/>
      <c r="AB77" s="256"/>
      <c r="AC77" s="256"/>
      <c r="AD77" s="256"/>
      <c r="AE77" s="256"/>
      <c r="AF77" s="256"/>
      <c r="AG77" s="256"/>
      <c r="AH77" s="256"/>
      <c r="AI77" s="256"/>
      <c r="AJ77" s="256"/>
      <c r="AK77" s="256"/>
      <c r="AL77" s="17"/>
      <c r="AM77" s="294"/>
      <c r="AN77" s="294"/>
      <c r="AO77" s="294"/>
      <c r="AP77" s="294"/>
      <c r="AQ77" s="17"/>
      <c r="AR77" s="17"/>
      <c r="AS77" s="17"/>
      <c r="AT77" s="9">
        <v>16</v>
      </c>
    </row>
    <row r="78" spans="1:46" ht="15.95" customHeight="1">
      <c r="A78" s="27"/>
      <c r="B78" s="356"/>
      <c r="C78" s="17"/>
      <c r="D78" s="358" t="s">
        <v>158</v>
      </c>
      <c r="E78" s="356">
        <v>25</v>
      </c>
      <c r="F78" s="356" t="s">
        <v>159</v>
      </c>
      <c r="G78" s="17"/>
      <c r="H78" s="17"/>
      <c r="I78" s="17"/>
      <c r="J78" s="17"/>
      <c r="K78" s="17"/>
      <c r="L78" s="17"/>
      <c r="M78" s="17"/>
      <c r="N78" s="17"/>
      <c r="O78" s="17"/>
      <c r="P78" s="17"/>
      <c r="Q78" s="17"/>
      <c r="R78" s="17"/>
      <c r="S78" s="17"/>
      <c r="T78" s="358" t="s">
        <v>160</v>
      </c>
      <c r="U78" s="356">
        <v>7.2</v>
      </c>
      <c r="V78" s="360" t="s">
        <v>22</v>
      </c>
      <c r="W78" s="256"/>
      <c r="X78" s="256"/>
      <c r="Y78" s="256"/>
      <c r="Z78" s="256"/>
      <c r="AA78" s="256"/>
      <c r="AB78" s="256"/>
      <c r="AC78" s="256"/>
      <c r="AD78" s="256"/>
      <c r="AE78" s="256"/>
      <c r="AF78" s="256"/>
      <c r="AG78" s="256"/>
      <c r="AH78" s="256"/>
      <c r="AI78" s="256"/>
      <c r="AJ78" s="256"/>
      <c r="AK78" s="256"/>
      <c r="AL78" s="17"/>
      <c r="AM78" s="294"/>
      <c r="AN78" s="294"/>
      <c r="AO78" s="294"/>
      <c r="AP78" s="294"/>
      <c r="AQ78" s="17"/>
      <c r="AR78" s="17"/>
      <c r="AS78" s="17"/>
      <c r="AT78" s="9">
        <v>16</v>
      </c>
    </row>
    <row r="79" spans="1:46" ht="15.95" customHeight="1">
      <c r="A79" s="27"/>
      <c r="B79" s="17"/>
      <c r="C79" s="17"/>
      <c r="D79" s="358" t="s">
        <v>161</v>
      </c>
      <c r="E79" s="356">
        <v>25</v>
      </c>
      <c r="F79" s="356" t="s">
        <v>162</v>
      </c>
      <c r="G79" s="17"/>
      <c r="H79" s="17"/>
      <c r="I79" s="17"/>
      <c r="J79" s="17"/>
      <c r="K79" s="17"/>
      <c r="L79" s="17"/>
      <c r="M79" s="17"/>
      <c r="N79" s="17"/>
      <c r="O79" s="17"/>
      <c r="P79" s="17"/>
      <c r="Q79" s="17"/>
      <c r="R79" s="17"/>
      <c r="S79" s="17"/>
      <c r="T79" s="358" t="s">
        <v>163</v>
      </c>
      <c r="U79" s="356">
        <v>4</v>
      </c>
      <c r="V79" s="360" t="s">
        <v>22</v>
      </c>
      <c r="W79" s="256"/>
      <c r="X79" s="256"/>
      <c r="Y79" s="256"/>
      <c r="Z79" s="256"/>
      <c r="AA79" s="256"/>
      <c r="AB79" s="256"/>
      <c r="AC79" s="256"/>
      <c r="AD79" s="256"/>
      <c r="AE79" s="256"/>
      <c r="AF79" s="256"/>
      <c r="AG79" s="256"/>
      <c r="AH79" s="256"/>
      <c r="AI79" s="256"/>
      <c r="AJ79" s="256"/>
      <c r="AK79" s="256"/>
      <c r="AL79" s="17"/>
      <c r="AM79" s="294"/>
      <c r="AN79" s="294"/>
      <c r="AO79" s="294"/>
      <c r="AP79" s="294"/>
      <c r="AQ79" s="17"/>
      <c r="AR79" s="17"/>
      <c r="AS79" s="17"/>
      <c r="AT79" s="9">
        <v>16</v>
      </c>
    </row>
    <row r="80" spans="1:46" ht="15.95" customHeight="1">
      <c r="A80" s="27"/>
      <c r="B80" s="17"/>
      <c r="C80" s="17"/>
      <c r="D80" s="358" t="s">
        <v>164</v>
      </c>
      <c r="E80" s="356">
        <v>12</v>
      </c>
      <c r="F80" s="356" t="s">
        <v>150</v>
      </c>
      <c r="G80" s="17"/>
      <c r="H80" s="17"/>
      <c r="I80" s="17"/>
      <c r="J80" s="17"/>
      <c r="K80" s="17"/>
      <c r="L80" s="17"/>
      <c r="M80" s="17"/>
      <c r="N80" s="17"/>
      <c r="O80" s="17"/>
      <c r="P80" s="17"/>
      <c r="Q80" s="17"/>
      <c r="R80" s="17"/>
      <c r="S80" s="17"/>
      <c r="T80" s="17"/>
      <c r="U80" s="17"/>
      <c r="V80" s="17"/>
      <c r="W80" s="256"/>
      <c r="X80" s="256"/>
      <c r="Y80" s="256"/>
      <c r="Z80" s="256"/>
      <c r="AA80" s="256"/>
      <c r="AB80" s="256"/>
      <c r="AC80" s="256"/>
      <c r="AD80" s="256"/>
      <c r="AE80" s="256"/>
      <c r="AF80" s="256"/>
      <c r="AG80" s="256"/>
      <c r="AH80" s="256"/>
      <c r="AI80" s="256"/>
      <c r="AJ80" s="256"/>
      <c r="AK80" s="256"/>
      <c r="AL80" s="17"/>
      <c r="AM80" s="294"/>
      <c r="AN80" s="294"/>
      <c r="AO80" s="294"/>
      <c r="AP80" s="294"/>
      <c r="AQ80" s="17"/>
      <c r="AR80" s="17"/>
      <c r="AS80" s="17"/>
      <c r="AT80" s="9">
        <v>16</v>
      </c>
    </row>
    <row r="81" spans="1:46" ht="15.95" customHeight="1">
      <c r="A81" s="27"/>
      <c r="B81" s="17"/>
      <c r="C81" s="17"/>
      <c r="D81" s="17"/>
      <c r="E81" s="17"/>
      <c r="F81" s="17"/>
      <c r="G81" s="17"/>
      <c r="H81" s="17"/>
      <c r="I81" s="17"/>
      <c r="J81" s="17"/>
      <c r="K81" s="17"/>
      <c r="L81" s="17"/>
      <c r="M81" s="17"/>
      <c r="N81" s="17"/>
      <c r="O81" s="17"/>
      <c r="P81" s="17"/>
      <c r="Q81" s="17"/>
      <c r="R81" s="17"/>
      <c r="S81" s="17"/>
      <c r="T81" s="17"/>
      <c r="U81" s="17"/>
      <c r="V81" s="17"/>
      <c r="W81" s="256"/>
      <c r="X81" s="256"/>
      <c r="Y81" s="256"/>
      <c r="Z81" s="256"/>
      <c r="AA81" s="256"/>
      <c r="AB81" s="256"/>
      <c r="AC81" s="256"/>
      <c r="AD81" s="256"/>
      <c r="AE81" s="256"/>
      <c r="AF81" s="256"/>
      <c r="AG81" s="256"/>
      <c r="AH81" s="256"/>
      <c r="AI81" s="256"/>
      <c r="AJ81" s="256"/>
      <c r="AK81" s="256"/>
      <c r="AL81" s="17"/>
      <c r="AM81" s="294"/>
      <c r="AN81" s="294"/>
      <c r="AO81" s="294"/>
      <c r="AP81" s="294"/>
      <c r="AQ81" s="17"/>
      <c r="AR81" s="17"/>
      <c r="AS81" s="17"/>
      <c r="AT81" s="9">
        <v>16</v>
      </c>
    </row>
    <row r="82" spans="1:46" ht="15.95" customHeight="1">
      <c r="A82" s="27"/>
      <c r="B82" s="361" t="s">
        <v>165</v>
      </c>
      <c r="C82" s="357"/>
      <c r="D82" s="17"/>
      <c r="E82" s="17"/>
      <c r="F82" s="17"/>
      <c r="G82" s="17"/>
      <c r="H82" s="17"/>
      <c r="I82" s="17"/>
      <c r="J82" s="17"/>
      <c r="K82" s="17"/>
      <c r="L82" s="17"/>
      <c r="M82" s="17"/>
      <c r="N82" s="17"/>
      <c r="O82" s="17"/>
      <c r="P82" s="17"/>
      <c r="Q82" s="17"/>
      <c r="R82" s="17"/>
      <c r="S82" s="17"/>
      <c r="T82" s="17"/>
      <c r="U82" s="17"/>
      <c r="V82" s="17"/>
      <c r="W82" s="256"/>
      <c r="X82" s="256"/>
      <c r="Y82" s="256"/>
      <c r="Z82" s="256"/>
      <c r="AA82" s="256"/>
      <c r="AB82" s="256"/>
      <c r="AC82" s="256"/>
      <c r="AD82" s="256"/>
      <c r="AE82" s="256"/>
      <c r="AF82" s="256"/>
      <c r="AG82" s="256"/>
      <c r="AH82" s="256"/>
      <c r="AI82" s="256"/>
      <c r="AJ82" s="256"/>
      <c r="AK82" s="256"/>
      <c r="AL82" s="17"/>
      <c r="AM82" s="294"/>
      <c r="AN82" s="294"/>
      <c r="AO82" s="294"/>
      <c r="AP82" s="294"/>
      <c r="AQ82" s="17"/>
      <c r="AR82" s="17"/>
      <c r="AS82" s="17"/>
      <c r="AT82" s="9">
        <v>16</v>
      </c>
    </row>
    <row r="83" spans="1:46" ht="15.95" customHeight="1">
      <c r="A83" s="27"/>
      <c r="B83" s="361" t="s">
        <v>166</v>
      </c>
      <c r="C83" s="359"/>
      <c r="D83" s="17"/>
      <c r="E83" s="17"/>
      <c r="F83" s="17"/>
      <c r="G83" s="17"/>
      <c r="H83" s="17"/>
      <c r="I83" s="17"/>
      <c r="J83" s="17"/>
      <c r="K83" s="17"/>
      <c r="L83" s="17"/>
      <c r="M83" s="17"/>
      <c r="N83" s="17"/>
      <c r="O83" s="17"/>
      <c r="P83" s="17"/>
      <c r="Q83" s="17"/>
      <c r="R83" s="17"/>
      <c r="S83" s="17"/>
      <c r="T83" s="17"/>
      <c r="U83" s="17"/>
      <c r="V83" s="17"/>
      <c r="W83" s="256"/>
      <c r="X83" s="256"/>
      <c r="Y83" s="256"/>
      <c r="Z83" s="256"/>
      <c r="AA83" s="256"/>
      <c r="AB83" s="256"/>
      <c r="AC83" s="256"/>
      <c r="AD83" s="256"/>
      <c r="AE83" s="256"/>
      <c r="AF83" s="256"/>
      <c r="AG83" s="256"/>
      <c r="AH83" s="256"/>
      <c r="AI83" s="256"/>
      <c r="AJ83" s="256"/>
      <c r="AK83" s="256"/>
      <c r="AL83" s="17"/>
      <c r="AM83" s="294"/>
      <c r="AN83" s="294"/>
      <c r="AO83" s="294"/>
      <c r="AP83" s="294"/>
      <c r="AQ83" s="17"/>
      <c r="AR83" s="17"/>
      <c r="AS83" s="17"/>
      <c r="AT83" s="9">
        <v>16</v>
      </c>
    </row>
    <row r="84" spans="1:46" ht="15.95" customHeight="1">
      <c r="A84" s="27"/>
      <c r="B84" s="361" t="s">
        <v>167</v>
      </c>
      <c r="C84" s="17"/>
      <c r="D84" s="17"/>
      <c r="E84" s="17"/>
      <c r="F84" s="17"/>
      <c r="G84" s="17"/>
      <c r="H84" s="17"/>
      <c r="I84" s="17"/>
      <c r="J84" s="17"/>
      <c r="K84" s="17"/>
      <c r="L84" s="17"/>
      <c r="M84" s="17"/>
      <c r="N84" s="17"/>
      <c r="O84" s="17"/>
      <c r="P84" s="17"/>
      <c r="Q84" s="17"/>
      <c r="R84" s="17"/>
      <c r="S84" s="17"/>
      <c r="T84" s="17"/>
      <c r="U84" s="17"/>
      <c r="V84" s="17"/>
      <c r="W84" s="256"/>
      <c r="X84" s="256"/>
      <c r="Y84" s="256"/>
      <c r="Z84" s="256"/>
      <c r="AA84" s="256"/>
      <c r="AB84" s="256"/>
      <c r="AC84" s="256"/>
      <c r="AD84" s="256"/>
      <c r="AE84" s="256"/>
      <c r="AF84" s="256"/>
      <c r="AG84" s="256"/>
      <c r="AH84" s="256"/>
      <c r="AI84" s="256"/>
      <c r="AJ84" s="256"/>
      <c r="AK84" s="256"/>
      <c r="AL84" s="17"/>
      <c r="AM84" s="294"/>
      <c r="AN84" s="294"/>
      <c r="AO84" s="294"/>
      <c r="AP84" s="294"/>
      <c r="AQ84" s="17"/>
      <c r="AR84" s="17"/>
      <c r="AS84" s="17"/>
      <c r="AT84" s="9">
        <v>16</v>
      </c>
    </row>
    <row r="85" spans="1:46" ht="15.95" customHeight="1">
      <c r="A85" s="27"/>
      <c r="B85" s="256"/>
      <c r="C85" s="256"/>
      <c r="D85" s="256"/>
      <c r="E85" s="256"/>
      <c r="F85" s="256"/>
      <c r="G85" s="256"/>
      <c r="H85" s="256"/>
      <c r="I85" s="256"/>
      <c r="J85" s="256"/>
      <c r="K85" s="256"/>
      <c r="L85" s="256"/>
      <c r="M85" s="256"/>
      <c r="N85" s="256"/>
      <c r="O85" s="256"/>
      <c r="P85" s="256"/>
      <c r="Q85" s="256"/>
      <c r="R85" s="256"/>
      <c r="S85" s="256"/>
      <c r="T85" s="256"/>
      <c r="U85" s="256"/>
      <c r="V85" s="256"/>
      <c r="W85" s="256"/>
      <c r="X85" s="256"/>
      <c r="Y85" s="256"/>
      <c r="Z85" s="256"/>
      <c r="AA85" s="256"/>
      <c r="AB85" s="256"/>
      <c r="AC85" s="256"/>
      <c r="AD85" s="256"/>
      <c r="AE85" s="256"/>
      <c r="AF85" s="256"/>
      <c r="AG85" s="256"/>
      <c r="AH85" s="256"/>
      <c r="AI85" s="256"/>
      <c r="AJ85" s="256"/>
      <c r="AK85" s="256"/>
      <c r="AL85" s="17"/>
      <c r="AM85" s="294"/>
      <c r="AN85" s="294"/>
      <c r="AO85" s="294"/>
      <c r="AP85" s="294"/>
      <c r="AQ85" s="17"/>
      <c r="AR85" s="17"/>
      <c r="AS85" s="17"/>
      <c r="AT85" s="9">
        <v>16</v>
      </c>
    </row>
    <row r="86" spans="1:46" ht="15.95" customHeight="1">
      <c r="A86" s="27"/>
      <c r="B86" s="256"/>
      <c r="C86" s="256"/>
      <c r="D86" s="256"/>
      <c r="E86" s="256"/>
      <c r="F86" s="256"/>
      <c r="G86" s="256"/>
      <c r="H86" s="256"/>
      <c r="I86" s="256"/>
      <c r="J86" s="256"/>
      <c r="K86" s="256"/>
      <c r="L86" s="256"/>
      <c r="M86" s="256"/>
      <c r="N86" s="256"/>
      <c r="O86" s="256"/>
      <c r="P86" s="256"/>
      <c r="Q86" s="256"/>
      <c r="R86" s="256"/>
      <c r="S86" s="256"/>
      <c r="T86" s="256"/>
      <c r="U86" s="256"/>
      <c r="V86" s="256"/>
      <c r="W86" s="256"/>
      <c r="X86" s="256"/>
      <c r="Y86" s="256"/>
      <c r="Z86" s="256"/>
      <c r="AA86" s="256"/>
      <c r="AB86" s="256"/>
      <c r="AC86" s="256"/>
      <c r="AD86" s="256"/>
      <c r="AE86" s="256"/>
      <c r="AF86" s="256"/>
      <c r="AG86" s="256"/>
      <c r="AH86" s="256"/>
      <c r="AI86" s="256"/>
      <c r="AJ86" s="256"/>
      <c r="AK86" s="256"/>
      <c r="AL86" s="17"/>
      <c r="AM86" s="294"/>
      <c r="AN86" s="294"/>
      <c r="AO86" s="294"/>
      <c r="AP86" s="294"/>
      <c r="AQ86" s="17"/>
      <c r="AR86" s="17"/>
      <c r="AS86" s="17"/>
      <c r="AT86" s="9">
        <v>16</v>
      </c>
    </row>
    <row r="87" spans="1:46" ht="15.95" customHeight="1">
      <c r="A87" s="27"/>
      <c r="B87" s="256"/>
      <c r="C87" s="256"/>
      <c r="D87" s="256"/>
      <c r="E87" s="256"/>
      <c r="F87" s="256"/>
      <c r="G87" s="256"/>
      <c r="H87" s="256"/>
      <c r="I87" s="256"/>
      <c r="J87" s="256"/>
      <c r="K87" s="256"/>
      <c r="L87" s="256"/>
      <c r="M87" s="256"/>
      <c r="N87" s="256"/>
      <c r="O87" s="256"/>
      <c r="P87" s="256"/>
      <c r="Q87" s="256"/>
      <c r="R87" s="256"/>
      <c r="S87" s="256"/>
      <c r="T87" s="256"/>
      <c r="U87" s="256"/>
      <c r="V87" s="256"/>
      <c r="W87" s="256"/>
      <c r="X87" s="256"/>
      <c r="Y87" s="256"/>
      <c r="Z87" s="256"/>
      <c r="AA87" s="256"/>
      <c r="AB87" s="256"/>
      <c r="AC87" s="256"/>
      <c r="AD87" s="256"/>
      <c r="AE87" s="256"/>
      <c r="AF87" s="256"/>
      <c r="AG87" s="256"/>
      <c r="AH87" s="256"/>
      <c r="AI87" s="256"/>
      <c r="AJ87" s="256"/>
      <c r="AK87" s="256"/>
      <c r="AL87" s="17"/>
      <c r="AM87" s="294"/>
      <c r="AN87" s="294"/>
      <c r="AO87" s="294"/>
      <c r="AP87" s="294"/>
      <c r="AQ87" s="17"/>
      <c r="AR87" s="17"/>
      <c r="AS87" s="17"/>
      <c r="AT87" s="9">
        <v>16</v>
      </c>
    </row>
    <row r="88" spans="1:46" ht="15.95" customHeight="1">
      <c r="A88" s="27"/>
      <c r="B88" s="256"/>
      <c r="C88" s="256"/>
      <c r="D88" s="256"/>
      <c r="E88" s="256"/>
      <c r="F88" s="256"/>
      <c r="G88" s="256"/>
      <c r="H88" s="256"/>
      <c r="I88" s="256"/>
      <c r="J88" s="256"/>
      <c r="K88" s="256"/>
      <c r="L88" s="256"/>
      <c r="M88" s="256"/>
      <c r="N88" s="256"/>
      <c r="O88" s="256"/>
      <c r="P88" s="256"/>
      <c r="Q88" s="256"/>
      <c r="R88" s="256"/>
      <c r="S88" s="256"/>
      <c r="T88" s="256"/>
      <c r="U88" s="256"/>
      <c r="V88" s="256"/>
      <c r="W88" s="256"/>
      <c r="X88" s="256"/>
      <c r="Y88" s="256"/>
      <c r="Z88" s="256"/>
      <c r="AA88" s="256"/>
      <c r="AB88" s="256"/>
      <c r="AC88" s="256"/>
      <c r="AD88" s="256"/>
      <c r="AE88" s="256"/>
      <c r="AF88" s="256"/>
      <c r="AG88" s="256"/>
      <c r="AH88" s="256"/>
      <c r="AI88" s="256"/>
      <c r="AJ88" s="256"/>
      <c r="AK88" s="256"/>
      <c r="AL88" s="17"/>
      <c r="AM88" s="294"/>
      <c r="AN88" s="294"/>
      <c r="AO88" s="294"/>
      <c r="AP88" s="294"/>
      <c r="AQ88" s="17"/>
      <c r="AR88" s="17"/>
      <c r="AS88" s="17"/>
      <c r="AT88" s="9">
        <v>16</v>
      </c>
    </row>
    <row r="89" spans="1:46" ht="15.95" customHeight="1">
      <c r="A89" s="27"/>
      <c r="B89" s="256"/>
      <c r="C89" s="256"/>
      <c r="D89" s="256"/>
      <c r="E89" s="256"/>
      <c r="F89" s="256"/>
      <c r="G89" s="256"/>
      <c r="H89" s="256"/>
      <c r="I89" s="256"/>
      <c r="J89" s="256"/>
      <c r="K89" s="256"/>
      <c r="L89" s="256"/>
      <c r="M89" s="256"/>
      <c r="N89" s="256"/>
      <c r="O89" s="256"/>
      <c r="P89" s="256"/>
      <c r="Q89" s="256"/>
      <c r="R89" s="256"/>
      <c r="S89" s="256"/>
      <c r="T89" s="256"/>
      <c r="U89" s="256"/>
      <c r="V89" s="256"/>
      <c r="W89" s="256"/>
      <c r="X89" s="256"/>
      <c r="Y89" s="256"/>
      <c r="Z89" s="256"/>
      <c r="AA89" s="256"/>
      <c r="AB89" s="256"/>
      <c r="AC89" s="256"/>
      <c r="AD89" s="256"/>
      <c r="AE89" s="256"/>
      <c r="AF89" s="256"/>
      <c r="AG89" s="256"/>
      <c r="AH89" s="256"/>
      <c r="AI89" s="256"/>
      <c r="AJ89" s="256"/>
      <c r="AK89" s="256"/>
      <c r="AL89" s="17"/>
      <c r="AM89" s="294"/>
      <c r="AN89" s="294"/>
      <c r="AO89" s="294"/>
      <c r="AP89" s="294"/>
      <c r="AQ89" s="17"/>
      <c r="AR89" s="17"/>
      <c r="AS89" s="17"/>
      <c r="AT89" s="9">
        <v>16</v>
      </c>
    </row>
    <row r="90" spans="1:46" ht="15.95" customHeight="1">
      <c r="A90" s="17"/>
      <c r="B90" s="8"/>
      <c r="C90" s="8"/>
      <c r="D90" s="8"/>
      <c r="E90" s="8"/>
      <c r="F90" s="8"/>
      <c r="G90" s="17"/>
      <c r="H90" s="17"/>
      <c r="I90" s="17"/>
      <c r="J90" s="17"/>
      <c r="K90" s="17"/>
      <c r="L90" s="17"/>
      <c r="M90" s="17"/>
      <c r="N90" s="17"/>
      <c r="O90" s="17"/>
      <c r="P90" s="17"/>
      <c r="Q90" s="17"/>
      <c r="R90" s="17"/>
      <c r="S90" s="17"/>
      <c r="T90" s="17"/>
      <c r="U90" s="17"/>
      <c r="V90" s="17"/>
      <c r="W90" s="256"/>
      <c r="X90" s="256"/>
      <c r="Y90" s="256"/>
      <c r="Z90" s="256"/>
      <c r="AA90" s="256"/>
      <c r="AB90" s="256"/>
      <c r="AC90" s="256"/>
      <c r="AD90" s="256"/>
      <c r="AE90" s="256"/>
      <c r="AF90" s="256"/>
      <c r="AG90" s="256"/>
      <c r="AH90" s="256"/>
      <c r="AI90" s="256"/>
      <c r="AJ90" s="256"/>
      <c r="AK90" s="256"/>
      <c r="AL90" s="17"/>
      <c r="AM90" s="294"/>
      <c r="AN90" s="294"/>
      <c r="AO90" s="294"/>
      <c r="AP90" s="294"/>
      <c r="AQ90" s="17"/>
      <c r="AR90" s="17"/>
      <c r="AS90" s="17"/>
      <c r="AT90" s="9">
        <v>16</v>
      </c>
    </row>
    <row r="91" spans="1:46" ht="15.95" customHeight="1">
      <c r="A91" s="27"/>
      <c r="B91" s="356"/>
      <c r="C91" s="357"/>
      <c r="D91" s="358"/>
      <c r="E91" s="356"/>
      <c r="F91" s="356"/>
      <c r="G91" s="17"/>
      <c r="H91" s="17"/>
      <c r="I91" s="17"/>
      <c r="J91" s="17"/>
      <c r="K91" s="17"/>
      <c r="L91" s="17"/>
      <c r="M91" s="17"/>
      <c r="N91" s="17"/>
      <c r="O91" s="17"/>
      <c r="P91" s="17"/>
      <c r="Q91" s="17"/>
      <c r="R91" s="17"/>
      <c r="S91" s="17"/>
      <c r="T91" s="358"/>
      <c r="U91" s="356"/>
      <c r="V91" s="356"/>
      <c r="W91" s="256"/>
      <c r="X91" s="256"/>
      <c r="Y91" s="256"/>
      <c r="Z91" s="256"/>
      <c r="AA91" s="256"/>
      <c r="AB91" s="256"/>
      <c r="AC91" s="256"/>
      <c r="AD91" s="256"/>
      <c r="AE91" s="256"/>
      <c r="AF91" s="256"/>
      <c r="AG91" s="256"/>
      <c r="AH91" s="256"/>
      <c r="AI91" s="256"/>
      <c r="AJ91" s="256"/>
      <c r="AK91" s="256"/>
      <c r="AL91" s="17"/>
      <c r="AM91" s="294"/>
      <c r="AN91" s="294"/>
      <c r="AO91" s="294"/>
      <c r="AP91" s="294"/>
      <c r="AQ91" s="17"/>
      <c r="AR91" s="17"/>
      <c r="AS91" s="17"/>
      <c r="AT91" s="9">
        <v>16</v>
      </c>
    </row>
    <row r="92" spans="1:46" ht="15.95" customHeight="1">
      <c r="A92" s="27"/>
      <c r="B92" s="356"/>
      <c r="C92" s="359"/>
      <c r="D92" s="358"/>
      <c r="E92" s="356"/>
      <c r="F92" s="356"/>
      <c r="G92" s="17"/>
      <c r="H92" s="17"/>
      <c r="I92" s="17"/>
      <c r="J92" s="17"/>
      <c r="K92" s="17"/>
      <c r="L92" s="17"/>
      <c r="M92" s="17"/>
      <c r="N92" s="17"/>
      <c r="O92" s="17"/>
      <c r="P92" s="17"/>
      <c r="Q92" s="17"/>
      <c r="R92" s="17"/>
      <c r="S92" s="17"/>
      <c r="T92" s="358"/>
      <c r="U92" s="356"/>
      <c r="V92" s="356"/>
      <c r="W92" s="256"/>
      <c r="X92" s="256"/>
      <c r="Y92" s="256"/>
      <c r="Z92" s="256"/>
      <c r="AA92" s="256"/>
      <c r="AB92" s="256"/>
      <c r="AC92" s="256"/>
      <c r="AD92" s="256"/>
      <c r="AE92" s="256"/>
      <c r="AF92" s="256"/>
      <c r="AG92" s="256"/>
      <c r="AH92" s="256"/>
      <c r="AI92" s="256"/>
      <c r="AJ92" s="256"/>
      <c r="AK92" s="256"/>
      <c r="AL92" s="17"/>
      <c r="AM92" s="294"/>
      <c r="AN92" s="294"/>
      <c r="AO92" s="294"/>
      <c r="AP92" s="294"/>
      <c r="AQ92" s="17"/>
      <c r="AR92" s="17"/>
      <c r="AS92" s="17"/>
      <c r="AT92" s="9">
        <v>16</v>
      </c>
    </row>
    <row r="93" spans="1:46" ht="15.95" customHeight="1">
      <c r="A93" s="27"/>
      <c r="B93" s="356"/>
      <c r="C93" s="17"/>
      <c r="D93" s="358"/>
      <c r="E93" s="356"/>
      <c r="F93" s="356"/>
      <c r="G93" s="17"/>
      <c r="H93" s="17"/>
      <c r="I93" s="17"/>
      <c r="J93" s="17"/>
      <c r="K93" s="17"/>
      <c r="L93" s="17"/>
      <c r="M93" s="17"/>
      <c r="N93" s="17"/>
      <c r="O93" s="17"/>
      <c r="P93" s="17"/>
      <c r="Q93" s="17"/>
      <c r="R93" s="17"/>
      <c r="S93" s="17"/>
      <c r="T93" s="358"/>
      <c r="U93" s="356"/>
      <c r="V93" s="356"/>
      <c r="W93" s="256"/>
      <c r="X93" s="256"/>
      <c r="Y93" s="256"/>
      <c r="Z93" s="256"/>
      <c r="AA93" s="256"/>
      <c r="AB93" s="256"/>
      <c r="AC93" s="256"/>
      <c r="AD93" s="256"/>
      <c r="AE93" s="256"/>
      <c r="AF93" s="256"/>
      <c r="AG93" s="256"/>
      <c r="AH93" s="256"/>
      <c r="AI93" s="256"/>
      <c r="AJ93" s="256"/>
      <c r="AK93" s="256"/>
      <c r="AL93" s="17"/>
      <c r="AM93" s="294"/>
      <c r="AN93" s="294"/>
      <c r="AO93" s="294"/>
      <c r="AP93" s="294"/>
      <c r="AQ93" s="17"/>
      <c r="AR93" s="17"/>
      <c r="AS93" s="17"/>
      <c r="AT93" s="9">
        <v>16</v>
      </c>
    </row>
    <row r="94" spans="1:46" ht="15.95" customHeight="1">
      <c r="A94" s="27"/>
      <c r="B94" s="356"/>
      <c r="C94" s="17"/>
      <c r="D94" s="358"/>
      <c r="E94" s="356"/>
      <c r="F94" s="356"/>
      <c r="G94" s="17"/>
      <c r="H94" s="17"/>
      <c r="I94" s="17"/>
      <c r="J94" s="17"/>
      <c r="K94" s="17"/>
      <c r="L94" s="17"/>
      <c r="M94" s="17"/>
      <c r="N94" s="17"/>
      <c r="O94" s="17"/>
      <c r="P94" s="17"/>
      <c r="Q94" s="17"/>
      <c r="R94" s="17"/>
      <c r="S94" s="17"/>
      <c r="T94" s="358"/>
      <c r="U94" s="356"/>
      <c r="V94" s="360"/>
      <c r="W94" s="256"/>
      <c r="X94" s="256"/>
      <c r="Y94" s="256"/>
      <c r="Z94" s="256"/>
      <c r="AA94" s="256"/>
      <c r="AB94" s="256"/>
      <c r="AC94" s="256"/>
      <c r="AD94" s="256"/>
      <c r="AE94" s="256"/>
      <c r="AF94" s="256"/>
      <c r="AG94" s="256"/>
      <c r="AH94" s="256"/>
      <c r="AI94" s="256"/>
      <c r="AJ94" s="256"/>
      <c r="AK94" s="256"/>
      <c r="AL94" s="17"/>
      <c r="AM94" s="294"/>
      <c r="AN94" s="294"/>
      <c r="AO94" s="294"/>
      <c r="AP94" s="294"/>
      <c r="AQ94" s="17"/>
      <c r="AR94" s="17"/>
      <c r="AS94" s="17"/>
      <c r="AT94" s="9">
        <v>16</v>
      </c>
    </row>
    <row r="95" spans="1:46" ht="15.95" customHeight="1">
      <c r="A95" s="27"/>
      <c r="B95" s="17"/>
      <c r="C95" s="17"/>
      <c r="D95" s="358"/>
      <c r="E95" s="356"/>
      <c r="F95" s="356"/>
      <c r="G95" s="17"/>
      <c r="H95" s="17"/>
      <c r="I95" s="17"/>
      <c r="J95" s="17"/>
      <c r="K95" s="17"/>
      <c r="L95" s="17"/>
      <c r="M95" s="17"/>
      <c r="N95" s="17"/>
      <c r="O95" s="17"/>
      <c r="P95" s="17"/>
      <c r="Q95" s="17"/>
      <c r="R95" s="17"/>
      <c r="S95" s="17"/>
      <c r="T95" s="358"/>
      <c r="U95" s="356"/>
      <c r="V95" s="360"/>
      <c r="W95" s="256"/>
      <c r="X95" s="256"/>
      <c r="Y95" s="256"/>
      <c r="Z95" s="256"/>
      <c r="AA95" s="256"/>
      <c r="AB95" s="256"/>
      <c r="AC95" s="256"/>
      <c r="AD95" s="256"/>
      <c r="AE95" s="256"/>
      <c r="AF95" s="256"/>
      <c r="AG95" s="256"/>
      <c r="AH95" s="256"/>
      <c r="AI95" s="256"/>
      <c r="AJ95" s="256"/>
      <c r="AK95" s="256"/>
      <c r="AL95" s="17"/>
      <c r="AM95" s="294"/>
      <c r="AN95" s="294"/>
      <c r="AO95" s="294"/>
      <c r="AP95" s="294"/>
      <c r="AQ95" s="17"/>
      <c r="AR95" s="17"/>
      <c r="AS95" s="17"/>
      <c r="AT95" s="9">
        <v>16</v>
      </c>
    </row>
    <row r="96" spans="1:46" ht="15.95" customHeight="1">
      <c r="A96" s="27"/>
      <c r="B96" s="17"/>
      <c r="C96" s="17"/>
      <c r="D96" s="358"/>
      <c r="E96" s="356"/>
      <c r="F96" s="356"/>
      <c r="G96" s="17"/>
      <c r="H96" s="17"/>
      <c r="I96" s="17"/>
      <c r="J96" s="17"/>
      <c r="K96" s="17"/>
      <c r="L96" s="17"/>
      <c r="M96" s="17"/>
      <c r="N96" s="17"/>
      <c r="O96" s="17"/>
      <c r="P96" s="17"/>
      <c r="Q96" s="17"/>
      <c r="R96" s="17"/>
      <c r="S96" s="17"/>
      <c r="T96" s="17"/>
      <c r="U96" s="17"/>
      <c r="V96" s="17"/>
      <c r="W96" s="256"/>
      <c r="X96" s="256"/>
      <c r="Y96" s="256"/>
      <c r="Z96" s="256"/>
      <c r="AA96" s="256"/>
      <c r="AB96" s="256"/>
      <c r="AC96" s="256"/>
      <c r="AD96" s="256"/>
      <c r="AE96" s="256"/>
      <c r="AF96" s="256"/>
      <c r="AG96" s="256"/>
      <c r="AH96" s="256"/>
      <c r="AI96" s="256"/>
      <c r="AJ96" s="256"/>
      <c r="AK96" s="256"/>
      <c r="AL96" s="17"/>
      <c r="AM96" s="294"/>
      <c r="AN96" s="294"/>
      <c r="AO96" s="294"/>
      <c r="AP96" s="294"/>
      <c r="AQ96" s="17"/>
      <c r="AR96" s="17"/>
      <c r="AS96" s="17"/>
      <c r="AT96" s="9">
        <v>16</v>
      </c>
    </row>
    <row r="97" spans="1:46" ht="15.95" customHeight="1">
      <c r="A97" s="27"/>
      <c r="B97" s="17"/>
      <c r="C97" s="17"/>
      <c r="D97" s="17"/>
      <c r="E97" s="17"/>
      <c r="F97" s="17"/>
      <c r="G97" s="17"/>
      <c r="H97" s="17"/>
      <c r="I97" s="17"/>
      <c r="J97" s="17"/>
      <c r="K97" s="17"/>
      <c r="L97" s="17"/>
      <c r="M97" s="17"/>
      <c r="N97" s="17"/>
      <c r="O97" s="17"/>
      <c r="P97" s="17"/>
      <c r="Q97" s="17"/>
      <c r="R97" s="17"/>
      <c r="S97" s="17"/>
      <c r="T97" s="17"/>
      <c r="U97" s="17"/>
      <c r="V97" s="17"/>
      <c r="W97" s="256"/>
      <c r="X97" s="256"/>
      <c r="Y97" s="256"/>
      <c r="Z97" s="256"/>
      <c r="AA97" s="256"/>
      <c r="AB97" s="256"/>
      <c r="AC97" s="256"/>
      <c r="AD97" s="256"/>
      <c r="AE97" s="256"/>
      <c r="AF97" s="256"/>
      <c r="AG97" s="256"/>
      <c r="AH97" s="256"/>
      <c r="AI97" s="256"/>
      <c r="AJ97" s="256"/>
      <c r="AK97" s="256"/>
      <c r="AL97" s="17"/>
      <c r="AM97" s="294"/>
      <c r="AN97" s="294"/>
      <c r="AO97" s="294"/>
      <c r="AP97" s="294"/>
      <c r="AQ97" s="17"/>
      <c r="AR97" s="17"/>
      <c r="AS97" s="17"/>
      <c r="AT97" s="9">
        <v>16</v>
      </c>
    </row>
    <row r="98" spans="1:46" ht="15.95" customHeight="1">
      <c r="A98" s="27"/>
      <c r="B98" s="361"/>
      <c r="C98" s="357"/>
      <c r="D98" s="17"/>
      <c r="E98" s="17"/>
      <c r="F98" s="17"/>
      <c r="G98" s="17"/>
      <c r="H98" s="17"/>
      <c r="I98" s="17"/>
      <c r="J98" s="17"/>
      <c r="K98" s="17"/>
      <c r="L98" s="17"/>
      <c r="M98" s="17"/>
      <c r="N98" s="17"/>
      <c r="O98" s="17"/>
      <c r="P98" s="17"/>
      <c r="Q98" s="17"/>
      <c r="R98" s="17"/>
      <c r="S98" s="17"/>
      <c r="T98" s="17"/>
      <c r="U98" s="17"/>
      <c r="V98" s="17"/>
      <c r="W98" s="256"/>
      <c r="X98" s="256"/>
      <c r="Y98" s="256"/>
      <c r="Z98" s="256"/>
      <c r="AA98" s="256"/>
      <c r="AB98" s="256"/>
      <c r="AC98" s="256"/>
      <c r="AD98" s="256"/>
      <c r="AE98" s="256"/>
      <c r="AF98" s="256"/>
      <c r="AG98" s="256"/>
      <c r="AH98" s="256"/>
      <c r="AI98" s="256"/>
      <c r="AJ98" s="256"/>
      <c r="AK98" s="256"/>
      <c r="AL98" s="17"/>
      <c r="AM98" s="294"/>
      <c r="AN98" s="294"/>
      <c r="AO98" s="294"/>
      <c r="AP98" s="294"/>
      <c r="AQ98" s="17"/>
      <c r="AR98" s="17"/>
      <c r="AS98" s="17"/>
      <c r="AT98" s="9">
        <v>16</v>
      </c>
    </row>
    <row r="99" spans="1:46" ht="15.95" customHeight="1">
      <c r="A99" s="27"/>
      <c r="B99" s="361"/>
      <c r="C99" s="359"/>
      <c r="D99" s="17"/>
      <c r="E99" s="17"/>
      <c r="F99" s="17"/>
      <c r="G99" s="17"/>
      <c r="H99" s="17"/>
      <c r="I99" s="17"/>
      <c r="J99" s="17"/>
      <c r="K99" s="17"/>
      <c r="L99" s="17"/>
      <c r="M99" s="17"/>
      <c r="N99" s="17"/>
      <c r="O99" s="17"/>
      <c r="P99" s="17"/>
      <c r="Q99" s="17"/>
      <c r="R99" s="17"/>
      <c r="S99" s="17"/>
      <c r="T99" s="17"/>
      <c r="U99" s="17"/>
      <c r="V99" s="17"/>
      <c r="W99" s="256"/>
      <c r="X99" s="256"/>
      <c r="Y99" s="256"/>
      <c r="Z99" s="256"/>
      <c r="AA99" s="256"/>
      <c r="AB99" s="256"/>
      <c r="AC99" s="256"/>
      <c r="AD99" s="256"/>
      <c r="AE99" s="256"/>
      <c r="AF99" s="256"/>
      <c r="AG99" s="256"/>
      <c r="AH99" s="256"/>
      <c r="AI99" s="256"/>
      <c r="AJ99" s="256"/>
      <c r="AK99" s="256"/>
      <c r="AL99" s="17"/>
      <c r="AM99" s="294"/>
      <c r="AN99" s="294"/>
      <c r="AO99" s="294"/>
      <c r="AP99" s="294"/>
      <c r="AQ99" s="17"/>
      <c r="AR99" s="17"/>
      <c r="AS99" s="17"/>
      <c r="AT99" s="9">
        <v>16</v>
      </c>
    </row>
    <row r="100" spans="1:46" ht="15.75">
      <c r="A100" s="27"/>
      <c r="B100" s="361"/>
      <c r="C100" s="17"/>
      <c r="D100" s="17"/>
      <c r="E100" s="17"/>
      <c r="F100" s="17"/>
      <c r="G100" s="17"/>
      <c r="H100" s="17"/>
      <c r="I100" s="17"/>
      <c r="J100" s="17"/>
      <c r="K100" s="17"/>
      <c r="L100" s="17"/>
      <c r="M100" s="17"/>
      <c r="N100" s="17"/>
      <c r="O100" s="17"/>
      <c r="P100" s="17"/>
      <c r="Q100" s="17"/>
      <c r="R100" s="17"/>
      <c r="S100" s="17"/>
      <c r="T100" s="17"/>
      <c r="U100" s="17"/>
      <c r="V100" s="17"/>
      <c r="W100" s="27"/>
      <c r="X100" s="27"/>
      <c r="Y100" s="27"/>
      <c r="Z100" s="27"/>
      <c r="AA100" s="27"/>
      <c r="AB100" s="27"/>
      <c r="AC100" s="27"/>
      <c r="AD100" s="27"/>
      <c r="AE100" s="27"/>
      <c r="AF100" s="27"/>
      <c r="AG100" s="27"/>
      <c r="AH100" s="27"/>
      <c r="AI100" s="27"/>
      <c r="AJ100" s="27"/>
      <c r="AK100" s="27"/>
      <c r="AL100" s="27"/>
      <c r="AM100" s="362"/>
      <c r="AN100" s="362"/>
      <c r="AO100" s="362"/>
      <c r="AP100" s="362"/>
      <c r="AQ100" s="27"/>
      <c r="AR100" s="27"/>
      <c r="AS100" s="27"/>
      <c r="AT100" s="363" t="s">
        <v>168</v>
      </c>
    </row>
  </sheetData>
  <mergeCells count="83">
    <mergeCell ref="G71:H71"/>
    <mergeCell ref="AB72:AD73"/>
    <mergeCell ref="AB75:AD76"/>
    <mergeCell ref="G66:H66"/>
    <mergeCell ref="AB66:AD66"/>
    <mergeCell ref="G67:H67"/>
    <mergeCell ref="AB67:AD70"/>
    <mergeCell ref="G68:H68"/>
    <mergeCell ref="G70:H70"/>
    <mergeCell ref="AB62:AD64"/>
    <mergeCell ref="G63:H63"/>
    <mergeCell ref="G64:H64"/>
    <mergeCell ref="G65:H65"/>
    <mergeCell ref="AB65:AD65"/>
    <mergeCell ref="T60:U61"/>
    <mergeCell ref="V60:V61"/>
    <mergeCell ref="W60:W61"/>
    <mergeCell ref="X60:X61"/>
    <mergeCell ref="AB60:AD61"/>
    <mergeCell ref="B60:B61"/>
    <mergeCell ref="C60:C61"/>
    <mergeCell ref="D60:D61"/>
    <mergeCell ref="E60:F61"/>
    <mergeCell ref="G60:G61"/>
    <mergeCell ref="AM55:AO55"/>
    <mergeCell ref="B57:T58"/>
    <mergeCell ref="U57:V58"/>
    <mergeCell ref="W57:W58"/>
    <mergeCell ref="X57:X58"/>
    <mergeCell ref="AB57:AD59"/>
    <mergeCell ref="AM57:AN57"/>
    <mergeCell ref="AM31:AO32"/>
    <mergeCell ref="AM33:AO35"/>
    <mergeCell ref="AM43:AO45"/>
    <mergeCell ref="AM50:AO51"/>
    <mergeCell ref="AK51:AK54"/>
    <mergeCell ref="AM53:AO54"/>
    <mergeCell ref="AM13:AM14"/>
    <mergeCell ref="AN13:AN14"/>
    <mergeCell ref="AO13:AO14"/>
    <mergeCell ref="AM26:AN26"/>
    <mergeCell ref="AM29:AO29"/>
    <mergeCell ref="T11:T13"/>
    <mergeCell ref="U11:U13"/>
    <mergeCell ref="V11:X11"/>
    <mergeCell ref="Y11:Z11"/>
    <mergeCell ref="AA11:AJ11"/>
    <mergeCell ref="V12:V13"/>
    <mergeCell ref="W12:W13"/>
    <mergeCell ref="X12:X13"/>
    <mergeCell ref="Y12:Z12"/>
    <mergeCell ref="B11:B13"/>
    <mergeCell ref="C11:C13"/>
    <mergeCell ref="D11:D13"/>
    <mergeCell ref="E11:E13"/>
    <mergeCell ref="G11:G13"/>
    <mergeCell ref="AD8:AE9"/>
    <mergeCell ref="AF8:AG9"/>
    <mergeCell ref="AH8:AI9"/>
    <mergeCell ref="B9:B10"/>
    <mergeCell ref="C9:C10"/>
    <mergeCell ref="T10:U10"/>
    <mergeCell ref="AH2:AI2"/>
    <mergeCell ref="AK2:AK50"/>
    <mergeCell ref="AM2:AO3"/>
    <mergeCell ref="A3:A54"/>
    <mergeCell ref="AH4:AH5"/>
    <mergeCell ref="AI4:AJ5"/>
    <mergeCell ref="AM4:AO4"/>
    <mergeCell ref="AM5:AO5"/>
    <mergeCell ref="AN6:AO6"/>
    <mergeCell ref="AM7:AN8"/>
    <mergeCell ref="AO7:AO8"/>
    <mergeCell ref="T8:V9"/>
    <mergeCell ref="W8:X9"/>
    <mergeCell ref="Y8:Z9"/>
    <mergeCell ref="AA8:AB9"/>
    <mergeCell ref="AC8:AC9"/>
    <mergeCell ref="AM63:AO63"/>
    <mergeCell ref="AQ63:AQ66"/>
    <mergeCell ref="AM64:AM65"/>
    <mergeCell ref="AN64:AN65"/>
    <mergeCell ref="AO64:AO65"/>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2A25C7-CFFC-441C-A933-B1CF82797479}">
  <dimension ref="A1:BM115"/>
  <sheetViews>
    <sheetView showZeros="0" workbookViewId="0">
      <selection activeCell="AA26" sqref="AA26"/>
    </sheetView>
  </sheetViews>
  <sheetFormatPr baseColWidth="10" defaultRowHeight="15"/>
  <cols>
    <col min="1" max="1" width="3.140625" style="376" customWidth="1"/>
    <col min="2" max="3" width="11.42578125" style="376"/>
    <col min="4" max="4" width="7.7109375" style="376" customWidth="1"/>
    <col min="5" max="5" width="8.7109375" style="376" customWidth="1"/>
    <col min="6" max="6" width="10.7109375" style="376" customWidth="1"/>
    <col min="7" max="7" width="7.7109375" style="376" customWidth="1"/>
    <col min="8" max="8" width="8.7109375" style="376" customWidth="1"/>
    <col min="9" max="9" width="10.7109375" style="376" customWidth="1"/>
    <col min="10" max="10" width="7.7109375" style="376" customWidth="1"/>
    <col min="11" max="11" width="8.7109375" style="376" customWidth="1"/>
    <col min="12" max="12" width="10.7109375" style="376" customWidth="1"/>
    <col min="13" max="13" width="7.7109375" style="376" customWidth="1"/>
    <col min="14" max="14" width="8.7109375" style="376" customWidth="1"/>
    <col min="15" max="15" width="10.7109375" style="376" customWidth="1"/>
    <col min="16" max="16" width="7.7109375" style="376" customWidth="1"/>
    <col min="17" max="17" width="8.7109375" style="376" customWidth="1"/>
    <col min="18" max="18" width="10.7109375" style="376" customWidth="1"/>
    <col min="19" max="19" width="7.7109375" style="376" customWidth="1"/>
    <col min="20" max="20" width="8.7109375" style="376" customWidth="1"/>
    <col min="21" max="21" width="10.7109375" style="376" customWidth="1"/>
    <col min="22" max="24" width="11.7109375" style="376" customWidth="1"/>
    <col min="25" max="25" width="7.7109375" style="376" customWidth="1"/>
    <col min="26" max="26" width="4.42578125" style="376" customWidth="1"/>
    <col min="27" max="31" width="11.7109375" style="376" customWidth="1"/>
    <col min="32" max="33" width="15.7109375" style="376" customWidth="1"/>
    <col min="34" max="40" width="11.7109375" style="376" customWidth="1"/>
    <col min="41" max="41" width="7.7109375" style="376" customWidth="1"/>
    <col min="42" max="42" width="3.5703125" style="376" customWidth="1"/>
    <col min="43" max="56" width="11.42578125" style="376" customWidth="1"/>
    <col min="57" max="59" width="12.7109375" style="376" customWidth="1"/>
    <col min="60" max="64" width="11.42578125" style="376" customWidth="1"/>
    <col min="65" max="16384" width="11.42578125" style="376"/>
  </cols>
  <sheetData>
    <row r="1" spans="1:65" ht="19.5" thickBot="1">
      <c r="A1" s="1" t="s">
        <v>0</v>
      </c>
      <c r="B1" s="3" t="s">
        <v>1</v>
      </c>
      <c r="C1" s="4"/>
      <c r="D1" s="5"/>
      <c r="E1" s="5"/>
      <c r="F1" s="5"/>
      <c r="G1" s="5"/>
      <c r="H1" s="5"/>
      <c r="I1" s="5"/>
      <c r="J1" s="5"/>
      <c r="K1" s="5"/>
      <c r="L1" s="5"/>
      <c r="M1" s="5"/>
      <c r="N1" s="5"/>
      <c r="O1" s="5"/>
      <c r="P1" s="5"/>
      <c r="Q1" s="5"/>
      <c r="R1" s="830"/>
      <c r="S1" s="5"/>
      <c r="T1" s="5"/>
      <c r="U1" s="829"/>
      <c r="V1" s="829"/>
      <c r="W1" s="828"/>
      <c r="X1" s="1" t="s">
        <v>312</v>
      </c>
      <c r="Y1" s="1"/>
      <c r="Z1" s="827">
        <f ca="1">CELL("largeur",Z1)</f>
        <v>4</v>
      </c>
      <c r="AA1" s="3" t="s">
        <v>1</v>
      </c>
      <c r="AB1" s="4"/>
      <c r="AC1" s="4"/>
      <c r="AD1" s="4"/>
      <c r="AE1" s="4"/>
      <c r="AF1" s="4"/>
      <c r="AG1" s="4"/>
      <c r="AH1" s="4"/>
      <c r="AI1" s="4"/>
      <c r="AJ1" s="5"/>
      <c r="AK1" s="5"/>
      <c r="AL1" s="5"/>
      <c r="AM1" s="5"/>
      <c r="AN1" s="5"/>
      <c r="AO1" s="827">
        <f ca="1">CELL("largeur",AO1)</f>
        <v>7</v>
      </c>
      <c r="AP1" s="826"/>
      <c r="AQ1" s="7"/>
      <c r="AR1" s="7"/>
      <c r="AS1" s="7"/>
      <c r="AT1" s="7"/>
      <c r="AU1" s="7"/>
      <c r="AV1" s="7"/>
      <c r="AW1" s="7"/>
      <c r="AX1" s="7"/>
      <c r="AY1" s="7"/>
      <c r="AZ1" s="7"/>
      <c r="BA1" s="7"/>
      <c r="BB1" s="7"/>
      <c r="BC1" s="7"/>
      <c r="BD1" s="7"/>
      <c r="BE1" s="7"/>
      <c r="BF1" s="7"/>
      <c r="BG1" s="7"/>
      <c r="BH1" s="7"/>
      <c r="BI1" s="7"/>
      <c r="BJ1" s="7"/>
      <c r="BK1" s="7"/>
      <c r="BL1" s="7"/>
      <c r="BM1" s="5"/>
    </row>
    <row r="2" spans="1:65" ht="33" customHeight="1" thickBot="1">
      <c r="A2" s="799"/>
      <c r="B2" s="3411" t="s">
        <v>311</v>
      </c>
      <c r="C2" s="824"/>
      <c r="D2" s="824"/>
      <c r="E2" s="824"/>
      <c r="F2" s="824"/>
      <c r="G2" s="824"/>
      <c r="H2" s="824"/>
      <c r="I2" s="824"/>
      <c r="J2" s="824"/>
      <c r="K2" s="824"/>
      <c r="L2" s="824"/>
      <c r="M2" s="824"/>
      <c r="N2" s="824"/>
      <c r="O2" s="824"/>
      <c r="P2" s="824"/>
      <c r="Q2" s="824"/>
      <c r="R2" s="824"/>
      <c r="S2" s="3410"/>
      <c r="T2" s="3410"/>
      <c r="U2" s="3410" t="s">
        <v>9</v>
      </c>
      <c r="V2" s="3410"/>
      <c r="W2" s="824"/>
      <c r="X2" s="824"/>
      <c r="Y2" s="3410" t="s">
        <v>311</v>
      </c>
      <c r="Z2" s="820"/>
      <c r="AA2" s="822" t="s">
        <v>310</v>
      </c>
      <c r="AB2" s="821"/>
      <c r="AC2" s="821"/>
      <c r="AD2" s="821"/>
      <c r="AE2" s="821"/>
      <c r="AF2" s="821"/>
      <c r="AG2" s="821"/>
      <c r="AH2" s="821"/>
      <c r="AI2" s="821"/>
      <c r="AJ2" s="821"/>
      <c r="AK2" s="821"/>
      <c r="AL2" s="821"/>
      <c r="AM2" s="821"/>
      <c r="AN2" s="821"/>
      <c r="AO2" s="821"/>
      <c r="AP2" s="820"/>
      <c r="AQ2" s="7"/>
      <c r="AR2" s="819" t="s">
        <v>309</v>
      </c>
      <c r="AS2" s="818"/>
      <c r="AT2" s="818"/>
      <c r="AU2" s="818"/>
      <c r="AV2" s="818"/>
      <c r="AW2" s="818"/>
      <c r="AX2" s="818"/>
      <c r="AY2" s="818"/>
      <c r="AZ2" s="818"/>
      <c r="BA2" s="818"/>
      <c r="BB2" s="818"/>
      <c r="BC2" s="817"/>
      <c r="BD2" s="7"/>
      <c r="BE2" s="3636" t="s">
        <v>6</v>
      </c>
      <c r="BF2" s="3989"/>
      <c r="BG2" s="3990"/>
      <c r="BH2" s="7"/>
      <c r="BI2" s="3868" t="s">
        <v>308</v>
      </c>
      <c r="BJ2" s="3868"/>
      <c r="BK2" s="3868"/>
      <c r="BL2" s="8"/>
      <c r="BM2" s="381">
        <v>33</v>
      </c>
    </row>
    <row r="3" spans="1:65" ht="28.5" customHeight="1" thickBot="1">
      <c r="A3" s="816" t="s">
        <v>307</v>
      </c>
      <c r="B3" s="815" t="str">
        <f>AA3</f>
        <v>NAVARIN D'AGNEAU PRINTANIER</v>
      </c>
      <c r="C3" s="3409"/>
      <c r="D3" s="3409"/>
      <c r="E3" s="3409"/>
      <c r="F3" s="3409"/>
      <c r="G3" s="3409"/>
      <c r="H3" s="3409"/>
      <c r="I3" s="3409"/>
      <c r="J3" s="3409"/>
      <c r="K3" s="3409"/>
      <c r="L3" s="3409"/>
      <c r="M3" s="3409"/>
      <c r="N3" s="3409"/>
      <c r="O3" s="3409"/>
      <c r="P3" s="3409"/>
      <c r="Q3" s="3409"/>
      <c r="R3" s="3409"/>
      <c r="S3" s="3409"/>
      <c r="T3" s="3409"/>
      <c r="U3" s="3409"/>
      <c r="V3" s="4024" t="str">
        <f>AL3</f>
        <v>Produit principal</v>
      </c>
      <c r="W3" s="4025"/>
      <c r="X3" s="810" t="str">
        <f>AN3</f>
        <v>021</v>
      </c>
      <c r="Y3" s="3408"/>
      <c r="Z3" s="672"/>
      <c r="AA3" s="812" t="s">
        <v>789</v>
      </c>
      <c r="AB3" s="811"/>
      <c r="AC3" s="811"/>
      <c r="AD3" s="811"/>
      <c r="AE3" s="811"/>
      <c r="AF3" s="811"/>
      <c r="AG3" s="811"/>
      <c r="AH3" s="811"/>
      <c r="AI3" s="811"/>
      <c r="AJ3" s="811"/>
      <c r="AK3" s="811"/>
      <c r="AL3" s="3629" t="s">
        <v>305</v>
      </c>
      <c r="AM3" s="3629"/>
      <c r="AN3" s="810" t="s">
        <v>88</v>
      </c>
      <c r="AO3" s="809"/>
      <c r="AP3" s="672"/>
      <c r="AQ3" s="7"/>
      <c r="AR3" s="808" t="s">
        <v>304</v>
      </c>
      <c r="AS3" s="7"/>
      <c r="AT3" s="7"/>
      <c r="AU3" s="7"/>
      <c r="AV3" s="7"/>
      <c r="AW3" s="7"/>
      <c r="AX3" s="7"/>
      <c r="AY3" s="7"/>
      <c r="AZ3" s="7"/>
      <c r="BA3" s="807"/>
      <c r="BB3" s="3407"/>
      <c r="BC3" s="3406"/>
      <c r="BD3" s="7"/>
      <c r="BE3" s="3639"/>
      <c r="BF3" s="3640"/>
      <c r="BG3" s="3641"/>
      <c r="BH3" s="7"/>
      <c r="BI3" s="3868"/>
      <c r="BJ3" s="3868"/>
      <c r="BK3" s="3868"/>
      <c r="BL3" s="804"/>
      <c r="BM3" s="381">
        <v>28.5</v>
      </c>
    </row>
    <row r="4" spans="1:65" ht="28.5" customHeight="1">
      <c r="A4" s="3862" t="str">
        <f>B3</f>
        <v>NAVARIN D'AGNEAU PRINTANIER</v>
      </c>
      <c r="B4" s="803" t="s">
        <v>14</v>
      </c>
      <c r="C4" s="802" t="str">
        <f>AC4</f>
        <v>Annette et Jean Pierre Domergues Fiches techniques de cuisine  Imprimerie Nouvelle Orléans - 1981 (épuisé)</v>
      </c>
      <c r="D4" s="801"/>
      <c r="E4" s="801"/>
      <c r="F4" s="801"/>
      <c r="G4" s="801"/>
      <c r="H4" s="801"/>
      <c r="I4" s="801"/>
      <c r="J4" s="801"/>
      <c r="K4" s="801"/>
      <c r="L4" s="801"/>
      <c r="M4" s="801"/>
      <c r="N4" s="801"/>
      <c r="O4" s="801"/>
      <c r="P4" s="801"/>
      <c r="Q4" s="801"/>
      <c r="R4" s="801"/>
      <c r="S4" s="801"/>
      <c r="T4" s="801"/>
      <c r="U4" s="801"/>
      <c r="V4" s="801"/>
      <c r="W4" s="801"/>
      <c r="X4" s="801"/>
      <c r="Y4" s="4020" t="str">
        <f>AO4</f>
        <v>PLAT PRINCIPAL</v>
      </c>
      <c r="Z4" s="672"/>
      <c r="AA4" s="984" t="s">
        <v>8</v>
      </c>
      <c r="AB4" s="799"/>
      <c r="AC4" s="798" t="s">
        <v>6716</v>
      </c>
      <c r="AD4" s="797"/>
      <c r="AE4" s="797"/>
      <c r="AF4" s="797"/>
      <c r="AG4" s="797"/>
      <c r="AH4" s="796"/>
      <c r="AI4" s="796"/>
      <c r="AJ4" s="796"/>
      <c r="AK4" s="3284"/>
      <c r="AL4" s="3284"/>
      <c r="AM4" s="3284"/>
      <c r="AN4" s="3283"/>
      <c r="AO4" s="3925" t="s">
        <v>302</v>
      </c>
      <c r="AP4" s="672"/>
      <c r="AQ4" s="7"/>
      <c r="AR4" s="793" t="s">
        <v>301</v>
      </c>
      <c r="AS4" s="356"/>
      <c r="AT4" s="356"/>
      <c r="AU4" s="356"/>
      <c r="AV4" s="356"/>
      <c r="AW4" s="356"/>
      <c r="AX4" s="356"/>
      <c r="AY4" s="356"/>
      <c r="AZ4" s="356"/>
      <c r="BA4" s="7"/>
      <c r="BB4" s="7"/>
      <c r="BC4" s="792"/>
      <c r="BD4" s="7"/>
      <c r="BE4" s="3720" t="s">
        <v>11</v>
      </c>
      <c r="BF4" s="3721"/>
      <c r="BG4" s="3722"/>
      <c r="BH4" s="7"/>
      <c r="BI4" s="3872" t="s">
        <v>300</v>
      </c>
      <c r="BJ4" s="4022"/>
      <c r="BK4" s="4023"/>
      <c r="BL4" s="791"/>
      <c r="BM4" s="381">
        <v>28.5</v>
      </c>
    </row>
    <row r="5" spans="1:65" ht="28.5" customHeight="1">
      <c r="A5" s="3862"/>
      <c r="B5" s="764" t="s">
        <v>295</v>
      </c>
      <c r="C5" s="764"/>
      <c r="D5" s="778" t="s">
        <v>768</v>
      </c>
      <c r="E5" s="356"/>
      <c r="F5" s="356"/>
      <c r="G5" s="786"/>
      <c r="H5" s="786"/>
      <c r="I5" s="786"/>
      <c r="J5" s="786"/>
      <c r="K5" s="786"/>
      <c r="L5" s="786"/>
      <c r="M5" s="786"/>
      <c r="N5" s="786"/>
      <c r="O5" s="786"/>
      <c r="P5" s="785"/>
      <c r="Q5" s="785"/>
      <c r="R5" s="785"/>
      <c r="S5" s="784"/>
      <c r="T5" s="784"/>
      <c r="U5" s="784"/>
      <c r="V5" s="784"/>
      <c r="W5" s="784"/>
      <c r="X5" s="3405"/>
      <c r="Y5" s="4021"/>
      <c r="Z5" s="672"/>
      <c r="AA5" s="780"/>
      <c r="AB5" s="789"/>
      <c r="AC5" s="789"/>
      <c r="AD5" s="789"/>
      <c r="AE5" s="789"/>
      <c r="AF5" s="789"/>
      <c r="AG5" s="789"/>
      <c r="AH5" s="3927" t="s">
        <v>21</v>
      </c>
      <c r="AI5" s="3866"/>
      <c r="AJ5" s="3867"/>
      <c r="AK5" s="3930" t="s">
        <v>299</v>
      </c>
      <c r="AL5" s="3881"/>
      <c r="AM5" s="3881"/>
      <c r="AN5" s="3882"/>
      <c r="AO5" s="3926"/>
      <c r="AP5" s="672"/>
      <c r="AQ5" s="7"/>
      <c r="AR5" s="3883" t="s">
        <v>298</v>
      </c>
      <c r="AS5" s="3884"/>
      <c r="AT5" s="356"/>
      <c r="AU5" s="378"/>
      <c r="AV5" s="768"/>
      <c r="AW5" s="378"/>
      <c r="AX5" s="788" t="s">
        <v>297</v>
      </c>
      <c r="AY5" s="378"/>
      <c r="AZ5" s="378"/>
      <c r="BA5" s="7"/>
      <c r="BB5" s="3885" t="s">
        <v>296</v>
      </c>
      <c r="BC5" s="3886"/>
      <c r="BD5" s="7"/>
      <c r="BE5" s="3732" t="s">
        <v>13</v>
      </c>
      <c r="BF5" s="3733"/>
      <c r="BG5" s="3734"/>
      <c r="BH5" s="7"/>
      <c r="BI5" s="3875"/>
      <c r="BJ5" s="3876"/>
      <c r="BK5" s="3877"/>
      <c r="BL5" s="356"/>
      <c r="BM5" s="381">
        <v>28.5</v>
      </c>
    </row>
    <row r="6" spans="1:65" ht="28.5" customHeight="1">
      <c r="A6" s="3862"/>
      <c r="B6" s="764"/>
      <c r="C6" s="764"/>
      <c r="D6" s="787"/>
      <c r="E6" s="356"/>
      <c r="F6" s="31"/>
      <c r="G6" s="786"/>
      <c r="H6" s="786"/>
      <c r="I6" s="786"/>
      <c r="J6" s="786"/>
      <c r="K6" s="786"/>
      <c r="L6" s="786"/>
      <c r="M6" s="786"/>
      <c r="N6" s="786"/>
      <c r="O6" s="786"/>
      <c r="P6" s="785"/>
      <c r="Q6" s="785"/>
      <c r="R6" s="785"/>
      <c r="S6" s="784"/>
      <c r="T6" s="784"/>
      <c r="U6" s="783" t="s">
        <v>21</v>
      </c>
      <c r="V6" s="3424">
        <f>BA13</f>
        <v>112.78664999999999</v>
      </c>
      <c r="W6" s="782"/>
      <c r="X6" s="781"/>
      <c r="Y6" s="4021"/>
      <c r="Z6" s="672"/>
      <c r="AA6" s="780" t="s">
        <v>295</v>
      </c>
      <c r="AB6" s="779"/>
      <c r="AC6" s="778" t="s">
        <v>294</v>
      </c>
      <c r="AD6" s="758"/>
      <c r="AE6" s="758"/>
      <c r="AF6" s="758"/>
      <c r="AG6" s="758"/>
      <c r="AH6" s="777" t="s">
        <v>293</v>
      </c>
      <c r="AI6" s="776" t="s">
        <v>193</v>
      </c>
      <c r="AJ6" s="775" t="s">
        <v>197</v>
      </c>
      <c r="AK6" s="3729"/>
      <c r="AL6" s="3730"/>
      <c r="AM6" s="3730"/>
      <c r="AN6" s="3731"/>
      <c r="AO6" s="3926"/>
      <c r="AP6" s="672"/>
      <c r="AQ6" s="7"/>
      <c r="AR6" s="774" t="s">
        <v>63</v>
      </c>
      <c r="AS6" s="773" t="s">
        <v>135</v>
      </c>
      <c r="AT6" s="356"/>
      <c r="AU6" s="772" t="s">
        <v>63</v>
      </c>
      <c r="AV6" s="772" t="s">
        <v>193</v>
      </c>
      <c r="AW6" s="771" t="s">
        <v>197</v>
      </c>
      <c r="AX6" s="770" t="s">
        <v>292</v>
      </c>
      <c r="AY6" s="769" t="s">
        <v>230</v>
      </c>
      <c r="AZ6" s="768" t="s">
        <v>291</v>
      </c>
      <c r="BA6" s="767" t="s">
        <v>290</v>
      </c>
      <c r="BB6" s="3878" t="s">
        <v>193</v>
      </c>
      <c r="BC6" s="3879"/>
      <c r="BD6" s="7"/>
      <c r="BE6" s="35" t="s">
        <v>14</v>
      </c>
      <c r="BF6" s="3753" t="s">
        <v>15</v>
      </c>
      <c r="BG6" s="3880"/>
      <c r="BH6" s="7"/>
      <c r="BI6" s="3809" t="s">
        <v>93</v>
      </c>
      <c r="BJ6" s="3810"/>
      <c r="BK6" s="3871"/>
      <c r="BL6" s="356"/>
      <c r="BM6" s="381">
        <v>28.5</v>
      </c>
    </row>
    <row r="7" spans="1:65" ht="28.5" customHeight="1">
      <c r="A7" s="3862"/>
      <c r="B7" s="764"/>
      <c r="C7" s="764"/>
      <c r="D7" s="641"/>
      <c r="E7" s="641"/>
      <c r="F7" s="641"/>
      <c r="G7" s="763"/>
      <c r="H7" s="763"/>
      <c r="I7" s="763"/>
      <c r="J7" s="763"/>
      <c r="K7" s="763"/>
      <c r="L7" s="763"/>
      <c r="M7" s="763"/>
      <c r="N7" s="763"/>
      <c r="O7" s="763"/>
      <c r="P7" s="763"/>
      <c r="Q7" s="763"/>
      <c r="R7" s="641"/>
      <c r="S7" s="641"/>
      <c r="T7" s="3404"/>
      <c r="U7" s="3403"/>
      <c r="V7" s="3403"/>
      <c r="W7" s="760"/>
      <c r="X7" s="759"/>
      <c r="Y7" s="4021"/>
      <c r="Z7" s="672"/>
      <c r="AA7" s="745"/>
      <c r="AB7" s="744"/>
      <c r="AC7" s="758"/>
      <c r="AD7" s="744"/>
      <c r="AE7" s="744"/>
      <c r="AF7" s="744"/>
      <c r="AG7" s="744"/>
      <c r="AH7" s="757">
        <v>150</v>
      </c>
      <c r="AI7" s="669">
        <v>450</v>
      </c>
      <c r="AJ7" s="756">
        <f>(AI7*AH7)/1000</f>
        <v>67.5</v>
      </c>
      <c r="AK7" s="3645" t="s">
        <v>289</v>
      </c>
      <c r="AL7" s="3646"/>
      <c r="AM7" s="3646"/>
      <c r="AN7" s="3647"/>
      <c r="AO7" s="3926"/>
      <c r="AP7" s="672"/>
      <c r="AQ7" s="7"/>
      <c r="AR7" s="3888">
        <f>AB10</f>
        <v>10</v>
      </c>
      <c r="AS7" s="3889">
        <f>AD10</f>
        <v>4.7699999999999996</v>
      </c>
      <c r="AT7" s="671" t="s">
        <v>189</v>
      </c>
      <c r="AU7" s="670">
        <v>125</v>
      </c>
      <c r="AV7" s="669">
        <v>50</v>
      </c>
      <c r="AW7" s="493">
        <f t="shared" ref="AW7:AW12" si="0">(AU7*AV7)/1000</f>
        <v>6.25</v>
      </c>
      <c r="AX7" s="3402">
        <v>2</v>
      </c>
      <c r="AY7" s="3401">
        <v>6.25</v>
      </c>
      <c r="AZ7" s="666" t="s">
        <v>288</v>
      </c>
      <c r="BA7" s="493">
        <f>IF(ISBLANK(AY7),0,(AA10/AX7)*AY7)</f>
        <v>14.906249999999998</v>
      </c>
      <c r="BB7" s="665">
        <f t="shared" ref="BB7:BB12" si="1">(AY7/AU7)*1000</f>
        <v>50</v>
      </c>
      <c r="BC7" s="664">
        <f t="shared" ref="BC7:BC12" si="2">BA7/AU7</f>
        <v>0.11924999999999998</v>
      </c>
      <c r="BD7" s="7"/>
      <c r="BE7" s="3755" t="s">
        <v>17</v>
      </c>
      <c r="BF7" s="3756"/>
      <c r="BG7" s="3890" t="str">
        <f>LEFT(ADDRESS(1,COLUMN(AF12),4),LEN(ADDRESS(1,COLUMN(AF12),4))-1)</f>
        <v>AF</v>
      </c>
      <c r="BH7" s="7"/>
      <c r="BI7" s="3809"/>
      <c r="BJ7" s="3810"/>
      <c r="BK7" s="3871"/>
      <c r="BL7" s="356"/>
      <c r="BM7" s="381">
        <v>28.5</v>
      </c>
    </row>
    <row r="8" spans="1:65" ht="28.5" customHeight="1">
      <c r="A8" s="3862"/>
      <c r="B8" s="753" t="s">
        <v>287</v>
      </c>
      <c r="C8" s="3400"/>
      <c r="D8" s="3399"/>
      <c r="E8" s="3399"/>
      <c r="F8" s="3399"/>
      <c r="G8" s="3398"/>
      <c r="H8" s="3398"/>
      <c r="I8" s="3397"/>
      <c r="J8" s="3397"/>
      <c r="K8" s="3397"/>
      <c r="L8" s="3397"/>
      <c r="M8" s="3397"/>
      <c r="N8" s="3397"/>
      <c r="O8" s="3397"/>
      <c r="P8" s="3396"/>
      <c r="Q8" s="3396"/>
      <c r="R8" s="3394"/>
      <c r="S8" s="3395"/>
      <c r="T8" s="3395"/>
      <c r="U8" s="3394" t="s">
        <v>285</v>
      </c>
      <c r="V8" s="3887">
        <f ca="1">TODAY()</f>
        <v>44608</v>
      </c>
      <c r="W8" s="3887"/>
      <c r="X8" s="3887"/>
      <c r="Y8" s="4021"/>
      <c r="Z8" s="672"/>
      <c r="AA8" s="745"/>
      <c r="AB8" s="744"/>
      <c r="AC8" s="744"/>
      <c r="AD8" s="744"/>
      <c r="AE8" s="744"/>
      <c r="AF8" s="744"/>
      <c r="AG8" s="744"/>
      <c r="AH8" s="743" t="s">
        <v>231</v>
      </c>
      <c r="AI8" s="742" t="s">
        <v>230</v>
      </c>
      <c r="AJ8" s="741" t="s">
        <v>286</v>
      </c>
      <c r="AK8" s="3393"/>
      <c r="AL8" s="3393" t="s">
        <v>285</v>
      </c>
      <c r="AM8" s="3933">
        <f ca="1">TODAY()</f>
        <v>44608</v>
      </c>
      <c r="AN8" s="3933"/>
      <c r="AO8" s="3926"/>
      <c r="AP8" s="672"/>
      <c r="AQ8" s="7"/>
      <c r="AR8" s="3888"/>
      <c r="AS8" s="3889"/>
      <c r="AT8" s="671" t="s">
        <v>282</v>
      </c>
      <c r="AU8" s="670">
        <v>260</v>
      </c>
      <c r="AV8" s="669">
        <v>70</v>
      </c>
      <c r="AW8" s="493">
        <f t="shared" si="0"/>
        <v>18.2</v>
      </c>
      <c r="AX8" s="693">
        <v>2</v>
      </c>
      <c r="AY8" s="692">
        <v>18.2</v>
      </c>
      <c r="AZ8" s="666" t="s">
        <v>288</v>
      </c>
      <c r="BA8" s="493">
        <f>IF(ISBLANK(AY8),0,(AA10/AX8)*AY8)</f>
        <v>43.406999999999996</v>
      </c>
      <c r="BB8" s="665">
        <f t="shared" si="1"/>
        <v>69.999999999999986</v>
      </c>
      <c r="BC8" s="664">
        <f t="shared" si="2"/>
        <v>0.16694999999999999</v>
      </c>
      <c r="BD8" s="7"/>
      <c r="BE8" s="3755"/>
      <c r="BF8" s="3756"/>
      <c r="BG8" s="3890"/>
      <c r="BH8" s="7"/>
      <c r="BI8" s="3601" t="s">
        <v>284</v>
      </c>
      <c r="BJ8" s="3602"/>
      <c r="BK8" s="3603"/>
      <c r="BL8" s="356"/>
      <c r="BM8" s="381">
        <v>28.5</v>
      </c>
    </row>
    <row r="9" spans="1:65" ht="28.5" customHeight="1">
      <c r="A9" s="3862"/>
      <c r="B9" s="4026" t="s">
        <v>283</v>
      </c>
      <c r="C9" s="4027"/>
      <c r="D9" s="4028" t="s">
        <v>189</v>
      </c>
      <c r="E9" s="3860"/>
      <c r="F9" s="4029"/>
      <c r="G9" s="4028" t="s">
        <v>282</v>
      </c>
      <c r="H9" s="3860"/>
      <c r="I9" s="4029"/>
      <c r="J9" s="4028" t="s">
        <v>28</v>
      </c>
      <c r="K9" s="3860"/>
      <c r="L9" s="4029"/>
      <c r="M9" s="4028" t="s">
        <v>136</v>
      </c>
      <c r="N9" s="3860"/>
      <c r="O9" s="4029"/>
      <c r="P9" s="4028" t="s">
        <v>56</v>
      </c>
      <c r="Q9" s="3860"/>
      <c r="R9" s="4029"/>
      <c r="S9" s="4028" t="s">
        <v>57</v>
      </c>
      <c r="T9" s="3860"/>
      <c r="U9" s="4029"/>
      <c r="V9" s="3420" t="s">
        <v>281</v>
      </c>
      <c r="W9" s="739">
        <f>D11+G11+J11+M11+P11+S11</f>
        <v>597</v>
      </c>
      <c r="X9" s="739" t="s">
        <v>280</v>
      </c>
      <c r="Y9" s="4021"/>
      <c r="Z9" s="672"/>
      <c r="AA9" s="3392" t="s">
        <v>279</v>
      </c>
      <c r="AB9" s="737" t="s">
        <v>246</v>
      </c>
      <c r="AC9" s="736" t="s">
        <v>193</v>
      </c>
      <c r="AD9" s="736" t="s">
        <v>135</v>
      </c>
      <c r="AE9" s="735" t="s">
        <v>46</v>
      </c>
      <c r="AF9" s="734" t="s">
        <v>278</v>
      </c>
      <c r="AG9" s="733" t="s">
        <v>193</v>
      </c>
      <c r="AH9" s="732"/>
      <c r="AI9" s="731"/>
      <c r="AJ9" s="730"/>
      <c r="AK9" s="729" t="s">
        <v>277</v>
      </c>
      <c r="AL9" s="729"/>
      <c r="AM9" s="356"/>
      <c r="AN9" s="356"/>
      <c r="AO9" s="3926"/>
      <c r="AP9" s="672"/>
      <c r="AQ9" s="7"/>
      <c r="AR9" s="3888"/>
      <c r="AS9" s="3889"/>
      <c r="AT9" s="671" t="s">
        <v>28</v>
      </c>
      <c r="AU9" s="670">
        <v>120</v>
      </c>
      <c r="AV9" s="669">
        <v>110</v>
      </c>
      <c r="AW9" s="493">
        <f t="shared" si="0"/>
        <v>13.2</v>
      </c>
      <c r="AX9" s="693">
        <v>2</v>
      </c>
      <c r="AY9" s="692">
        <v>13.2</v>
      </c>
      <c r="AZ9" s="666" t="s">
        <v>288</v>
      </c>
      <c r="BA9" s="493">
        <f>IF(ISBLANK(AY9),0,(AA10/AX9)*AY9)</f>
        <v>31.481999999999996</v>
      </c>
      <c r="BB9" s="665">
        <f t="shared" si="1"/>
        <v>110</v>
      </c>
      <c r="BC9" s="664">
        <f t="shared" si="2"/>
        <v>0.26234999999999997</v>
      </c>
      <c r="BD9" s="7"/>
      <c r="BE9" s="46"/>
      <c r="BF9" s="47" t="s">
        <v>26</v>
      </c>
      <c r="BG9" s="455" t="str">
        <f>LEFT(ADDRESS(1,COLUMN(AA12),4),LEN(ADDRESS(1,COLUMN(AA12),4))-1)</f>
        <v>AA</v>
      </c>
      <c r="BH9" s="7"/>
      <c r="BI9" s="3601"/>
      <c r="BJ9" s="3602"/>
      <c r="BK9" s="3603"/>
      <c r="BL9" s="356"/>
      <c r="BM9" s="381">
        <v>28.5</v>
      </c>
    </row>
    <row r="10" spans="1:65" ht="23.25" customHeight="1" thickBot="1">
      <c r="A10" s="3862"/>
      <c r="B10" s="3857"/>
      <c r="C10" s="3858"/>
      <c r="D10" s="481" t="s">
        <v>190</v>
      </c>
      <c r="E10" s="491" t="s">
        <v>193</v>
      </c>
      <c r="F10" s="765" t="str">
        <f>F65</f>
        <v>Total ❿</v>
      </c>
      <c r="G10" s="481" t="s">
        <v>190</v>
      </c>
      <c r="H10" s="491" t="s">
        <v>193</v>
      </c>
      <c r="I10" s="765" t="str">
        <f>I65</f>
        <v>Total ❿</v>
      </c>
      <c r="J10" s="481" t="s">
        <v>190</v>
      </c>
      <c r="K10" s="491" t="s">
        <v>193</v>
      </c>
      <c r="L10" s="765" t="str">
        <f>L65</f>
        <v>Total ❿</v>
      </c>
      <c r="M10" s="481" t="s">
        <v>190</v>
      </c>
      <c r="N10" s="491" t="s">
        <v>193</v>
      </c>
      <c r="O10" s="765" t="str">
        <f>O65</f>
        <v>Total ❿</v>
      </c>
      <c r="P10" s="481" t="s">
        <v>190</v>
      </c>
      <c r="Q10" s="491" t="s">
        <v>193</v>
      </c>
      <c r="R10" s="765" t="str">
        <f>R65</f>
        <v>Total ❿</v>
      </c>
      <c r="S10" s="481" t="s">
        <v>190</v>
      </c>
      <c r="T10" s="491" t="s">
        <v>193</v>
      </c>
      <c r="U10" s="765" t="str">
        <f>U65</f>
        <v>Total ❿</v>
      </c>
      <c r="V10" s="727"/>
      <c r="W10" s="726" t="s">
        <v>276</v>
      </c>
      <c r="X10" s="725">
        <f>SUM(X13:X62)</f>
        <v>374.06389999999993</v>
      </c>
      <c r="Y10" s="4021"/>
      <c r="Z10" s="672"/>
      <c r="AA10" s="3274">
        <f>IF(ISBLANK(AA13),AC13,AA13*AC13)+IF(ISBLANK(AA14),AC14,AA14*AC14)+IF(ISBLANK(AA15),AC15,AA15*AC15)+IF(ISBLANK(AA16),AC16,AA16*AC16)+IF(ISBLANK(AA17),AC17,AA17*AC17)+IF(ISBLANK(AA18),AC18,AA18*AC18)+IF(ISBLANK(AA19),AC19,AA19*AC19)+IF(ISBLANK(AA20),AC20,AA20*AC20)+IF(ISBLANK(AA21),AC21,AA21*AC21)+IF(ISBLANK(AA22),AC22,AA22*AC22)+IF(ISBLANK(AA23),AC23,AA23*AC23)+IF(ISBLANK(AA24),AC24,AA24*AC24)+IF(ISBLANK(AA25),AC25,AA25*AC25)+IF(ISBLANK(AA26),AC26,AA26*AC26)+IF(ISBLANK(AA27),AC27,AA27*AC27)+IF(ISBLANK(AA28),AC28,AA28*AC28)+IF(ISBLANK(AA29),AC29,AA29*AC29)+IF(ISBLANK(AA30),AC30,AA30*AC30)+IF(ISBLANK(AA31),AC31,AA31*AC31)+IF(ISBLANK(AA32),AC32,AA32*AC32)+IF(ISBLANK(AA33),AC33,AA33*AC33)+IF(ISBLANK(AA34),AC34,AA34*AC34)+IF(ISBLANK(AA35),AC35,AA35*AC35)+IF(ISBLANK(AA36),AC36,AA36*AC36)+IF(ISBLANK(AA37),AC37,AA37*AC37)+IF(ISBLANK(AA38),AC38,AA38*AC38)+IF(ISBLANK(AA39),AC39,AA39*AC39)+ IF(ISBLANK(AA40),AC40,AA40*AC40)+ IF(ISBLANK(AA41),AC41,AA41*AC41)+ IF(ISBLANK(AA42),AC42,AA42*AC42)+ IF(ISBLANK(AA43),AC43,AA43*AC43)+ IF(ISBLANK(AA44),AC44,AA44*AC44)+ IF(ISBLANK(AA45),AC45,AA45*AC45)+ IF(ISBLANK(AA46),AC46,AA46*AC46)+ IF(ISBLANK(AA47),AC47,AA47*AC47)+ IF(ISBLANK(AA48),AC48,AA48*AC48)+IF(ISBLANK(AA49),AC49,AA49*AC49)+IF(ISBLANK(AA50),AC50,AA50*AC50)+ IF(ISBLANK(AA51),AC51,AA51*AC51) +IF(ISBLANK(AA52),AC52,AA52*AC52) +IF(ISBLANK(AA53),AC53,AA53*AC53) +IF(ISBLANK(AA54),AC54,AA54*AC54) +IF(ISBLANK(AA55),AC55,AA55*AC55) +IF(ISBLANK(AA56),AC56,AA56*AC56) +IF(ISBLANK(AA57),AC57,AA57*AC57) +IF(ISBLANK(AA58),AC58,AA58*AC58) +IF(ISBLANK(AA59),AC59,AA59*AC59) +IF(ISBLANK(AA60),AC60,AA60*AC60) +IF(ISBLANK(AA61),AC61,AA61*AC61) +IF(ISBLANK(AA62),AC62,AA62*AC62)</f>
        <v>4.7699999999999996</v>
      </c>
      <c r="AB10" s="723">
        <v>10</v>
      </c>
      <c r="AC10" s="722">
        <f>(AD10/AB10)*1000</f>
        <v>477</v>
      </c>
      <c r="AD10" s="728">
        <f>SUM(AD13:AD62)</f>
        <v>4.7699999999999996</v>
      </c>
      <c r="AE10" s="720">
        <v>10</v>
      </c>
      <c r="AF10" s="719">
        <f>IF(ISBLANK(AE10),"",IF(AD10=0,0,((AD10-(AD10*AE10%)))))</f>
        <v>4.2929999999999993</v>
      </c>
      <c r="AG10" s="718">
        <f>IF(ISBLANK(AE10),"",(AF10/AB10)*1000)</f>
        <v>429.2999999999999</v>
      </c>
      <c r="AH10" s="717" t="s">
        <v>190</v>
      </c>
      <c r="AI10" s="711"/>
      <c r="AJ10" s="716" t="s">
        <v>37</v>
      </c>
      <c r="AK10" s="715">
        <f>IF(ISBLANK(AI9),AH7,"")</f>
        <v>150</v>
      </c>
      <c r="AL10" s="714" t="str">
        <f>IF(ISBLANK(AI9),"Portions","")</f>
        <v>Portions</v>
      </c>
      <c r="AM10" s="713">
        <f>IF(ISBLANK(AI9),AJ7,AI9)</f>
        <v>67.5</v>
      </c>
      <c r="AN10" s="712" t="str">
        <f>IF(ISBLANK(AI9),"Kg",AJ9)</f>
        <v>Kg</v>
      </c>
      <c r="AO10" s="3926"/>
      <c r="AP10" s="672"/>
      <c r="AQ10" s="7"/>
      <c r="AR10" s="3888"/>
      <c r="AS10" s="711" t="s">
        <v>193</v>
      </c>
      <c r="AT10" s="671" t="s">
        <v>136</v>
      </c>
      <c r="AU10" s="670">
        <v>60</v>
      </c>
      <c r="AV10" s="669">
        <v>120</v>
      </c>
      <c r="AW10" s="493">
        <f t="shared" si="0"/>
        <v>7.2</v>
      </c>
      <c r="AX10" s="693">
        <v>2</v>
      </c>
      <c r="AY10" s="692">
        <v>7.2</v>
      </c>
      <c r="AZ10" s="666" t="s">
        <v>288</v>
      </c>
      <c r="BA10" s="493">
        <f>IF(ISBLANK(AY10),0,(AA10/AX10)*AY10)</f>
        <v>17.172000000000001</v>
      </c>
      <c r="BB10" s="665">
        <f t="shared" si="1"/>
        <v>120.00000000000001</v>
      </c>
      <c r="BC10" s="664">
        <f t="shared" si="2"/>
        <v>0.28620000000000001</v>
      </c>
      <c r="BD10" s="7"/>
      <c r="BE10" s="59"/>
      <c r="BF10" s="60" t="s">
        <v>38</v>
      </c>
      <c r="BG10" s="455" t="str">
        <f>LEFT(ADDRESS(1,COLUMN(AB12),4),LEN(ADDRESS(1,COLUMN(AB12),4))-1)</f>
        <v>AB</v>
      </c>
      <c r="BH10" s="7"/>
      <c r="BI10" s="3601" t="s">
        <v>275</v>
      </c>
      <c r="BJ10" s="3602"/>
      <c r="BK10" s="3603"/>
      <c r="BL10" s="356"/>
      <c r="BM10" s="381">
        <v>23.25</v>
      </c>
    </row>
    <row r="11" spans="1:65" ht="23.25" customHeight="1" thickTop="1" thickBot="1">
      <c r="A11" s="3862"/>
      <c r="B11" s="710" t="s">
        <v>135</v>
      </c>
      <c r="C11" s="709">
        <f>V64</f>
        <v>112.78664999999999</v>
      </c>
      <c r="D11" s="708">
        <f>AU7</f>
        <v>125</v>
      </c>
      <c r="E11" s="286">
        <f>E66</f>
        <v>119.24999999999999</v>
      </c>
      <c r="F11" s="707">
        <f>F66</f>
        <v>14.906249999999998</v>
      </c>
      <c r="G11" s="708">
        <f>AU8</f>
        <v>260</v>
      </c>
      <c r="H11" s="286">
        <f>H66</f>
        <v>166.95</v>
      </c>
      <c r="I11" s="707">
        <f>I66</f>
        <v>43.406999999999996</v>
      </c>
      <c r="J11" s="708">
        <f>AU9</f>
        <v>120</v>
      </c>
      <c r="K11" s="286">
        <f>K66</f>
        <v>262.34999999999991</v>
      </c>
      <c r="L11" s="707">
        <f>L66</f>
        <v>31.481999999999996</v>
      </c>
      <c r="M11" s="708">
        <f>AU10</f>
        <v>60</v>
      </c>
      <c r="N11" s="286">
        <f>N66</f>
        <v>286.2</v>
      </c>
      <c r="O11" s="707">
        <f>O66</f>
        <v>17.172000000000001</v>
      </c>
      <c r="P11" s="708">
        <f>AU11</f>
        <v>20</v>
      </c>
      <c r="Q11" s="286">
        <f>Q66</f>
        <v>190.80000000000004</v>
      </c>
      <c r="R11" s="707">
        <f>R66</f>
        <v>3.8159999999999998</v>
      </c>
      <c r="S11" s="708">
        <f>AU12</f>
        <v>12</v>
      </c>
      <c r="T11" s="286">
        <f>T66</f>
        <v>166.95000000000002</v>
      </c>
      <c r="U11" s="707">
        <f>U66</f>
        <v>2.0033999999999996</v>
      </c>
      <c r="V11" s="3391"/>
      <c r="W11" s="705" t="s">
        <v>274</v>
      </c>
      <c r="X11" s="704">
        <v>2.5</v>
      </c>
      <c r="Y11" s="4021"/>
      <c r="Z11" s="672"/>
      <c r="AA11" s="703" t="s">
        <v>59</v>
      </c>
      <c r="AB11" s="702" t="s">
        <v>60</v>
      </c>
      <c r="AC11" s="701" t="s">
        <v>61</v>
      </c>
      <c r="AD11" s="700"/>
      <c r="AE11" s="3934" t="s">
        <v>44</v>
      </c>
      <c r="AF11" s="3934"/>
      <c r="AG11" s="3934"/>
      <c r="AH11" s="699">
        <f>AB10</f>
        <v>10</v>
      </c>
      <c r="AI11" s="384"/>
      <c r="AJ11" s="698">
        <f>AJ64</f>
        <v>67.499999999999986</v>
      </c>
      <c r="AK11" s="697">
        <f>AL65</f>
        <v>9.9056603773584868</v>
      </c>
      <c r="AL11" s="696">
        <f>AL64</f>
        <v>57.594339622641499</v>
      </c>
      <c r="AM11" s="695"/>
      <c r="AN11" s="694" t="s">
        <v>37</v>
      </c>
      <c r="AO11" s="3926"/>
      <c r="AP11" s="672"/>
      <c r="AQ11" s="7"/>
      <c r="AR11" s="3888"/>
      <c r="AS11" s="3900">
        <f>AC10</f>
        <v>477</v>
      </c>
      <c r="AT11" s="671" t="s">
        <v>56</v>
      </c>
      <c r="AU11" s="670">
        <v>20</v>
      </c>
      <c r="AV11" s="669">
        <v>80</v>
      </c>
      <c r="AW11" s="493">
        <f t="shared" si="0"/>
        <v>1.6</v>
      </c>
      <c r="AX11" s="693">
        <v>2</v>
      </c>
      <c r="AY11" s="692">
        <v>1.6</v>
      </c>
      <c r="AZ11" s="666" t="s">
        <v>288</v>
      </c>
      <c r="BA11" s="493">
        <f>IF(ISBLANK(AY11),0,(AA10/AX11)*AY11)</f>
        <v>3.8159999999999998</v>
      </c>
      <c r="BB11" s="665">
        <f t="shared" si="1"/>
        <v>80</v>
      </c>
      <c r="BC11" s="664">
        <f t="shared" si="2"/>
        <v>0.1908</v>
      </c>
      <c r="BD11" s="7"/>
      <c r="BE11" s="59"/>
      <c r="BF11" s="60" t="s">
        <v>51</v>
      </c>
      <c r="BG11" s="455" t="str">
        <f>LEFT(ADDRESS(1,COLUMN(AC12),4),LEN(ADDRESS(1,COLUMN(AC12),4))-1)</f>
        <v>AC</v>
      </c>
      <c r="BH11" s="7"/>
      <c r="BI11" s="3601"/>
      <c r="BJ11" s="3602"/>
      <c r="BK11" s="3603"/>
      <c r="BL11" s="356"/>
      <c r="BM11" s="381">
        <v>23.25</v>
      </c>
    </row>
    <row r="12" spans="1:65" ht="23.25" customHeight="1" thickTop="1">
      <c r="A12" s="3862"/>
      <c r="B12" s="691" t="s">
        <v>273</v>
      </c>
      <c r="C12" s="3390"/>
      <c r="D12" s="689" t="s">
        <v>40</v>
      </c>
      <c r="E12" s="688" t="s">
        <v>41</v>
      </c>
      <c r="F12" s="687" t="s">
        <v>272</v>
      </c>
      <c r="G12" s="689" t="s">
        <v>40</v>
      </c>
      <c r="H12" s="688" t="s">
        <v>41</v>
      </c>
      <c r="I12" s="687" t="s">
        <v>272</v>
      </c>
      <c r="J12" s="689" t="s">
        <v>40</v>
      </c>
      <c r="K12" s="688" t="s">
        <v>41</v>
      </c>
      <c r="L12" s="687" t="s">
        <v>272</v>
      </c>
      <c r="M12" s="689" t="s">
        <v>40</v>
      </c>
      <c r="N12" s="688" t="s">
        <v>41</v>
      </c>
      <c r="O12" s="687" t="s">
        <v>272</v>
      </c>
      <c r="P12" s="689" t="s">
        <v>40</v>
      </c>
      <c r="Q12" s="688" t="s">
        <v>41</v>
      </c>
      <c r="R12" s="687" t="s">
        <v>272</v>
      </c>
      <c r="S12" s="689" t="s">
        <v>40</v>
      </c>
      <c r="T12" s="688" t="s">
        <v>41</v>
      </c>
      <c r="U12" s="687" t="s">
        <v>272</v>
      </c>
      <c r="V12" s="686" t="s">
        <v>272</v>
      </c>
      <c r="W12" s="685" t="s">
        <v>271</v>
      </c>
      <c r="X12" s="684">
        <f>X10*X11</f>
        <v>935.1597499999998</v>
      </c>
      <c r="Y12" s="4021"/>
      <c r="Z12" s="672"/>
      <c r="AA12" s="3273" t="s">
        <v>270</v>
      </c>
      <c r="AB12" s="3271" t="s">
        <v>41</v>
      </c>
      <c r="AC12" s="3271" t="s">
        <v>65</v>
      </c>
      <c r="AD12" s="3270" t="s">
        <v>269</v>
      </c>
      <c r="AE12" s="680" t="s">
        <v>268</v>
      </c>
      <c r="AF12" s="679" t="s">
        <v>267</v>
      </c>
      <c r="AG12" s="3389"/>
      <c r="AH12" s="1645" t="s">
        <v>40</v>
      </c>
      <c r="AI12" s="676" t="s">
        <v>41</v>
      </c>
      <c r="AJ12" s="676" t="s">
        <v>20</v>
      </c>
      <c r="AK12" s="430" t="s">
        <v>46</v>
      </c>
      <c r="AL12" s="675" t="s">
        <v>47</v>
      </c>
      <c r="AM12" s="674" t="s">
        <v>266</v>
      </c>
      <c r="AN12" s="673">
        <f>SUM(AN13:AN62)</f>
        <v>223.86792452830196</v>
      </c>
      <c r="AO12" s="3926"/>
      <c r="AP12" s="672"/>
      <c r="AQ12" s="7"/>
      <c r="AR12" s="3888"/>
      <c r="AS12" s="3900"/>
      <c r="AT12" s="671" t="s">
        <v>57</v>
      </c>
      <c r="AU12" s="670">
        <v>12</v>
      </c>
      <c r="AV12" s="669">
        <v>70</v>
      </c>
      <c r="AW12" s="493">
        <f t="shared" si="0"/>
        <v>0.84</v>
      </c>
      <c r="AX12" s="3388">
        <v>2</v>
      </c>
      <c r="AY12" s="3387">
        <v>0.84</v>
      </c>
      <c r="AZ12" s="666" t="s">
        <v>288</v>
      </c>
      <c r="BA12" s="493">
        <f>IF(ISBLANK(AY12),0,(AA10/AX12)*AY12)</f>
        <v>2.0033999999999996</v>
      </c>
      <c r="BB12" s="665">
        <f t="shared" si="1"/>
        <v>69.999999999999986</v>
      </c>
      <c r="BC12" s="664">
        <f t="shared" si="2"/>
        <v>0.16694999999999996</v>
      </c>
      <c r="BD12" s="7"/>
      <c r="BE12" s="74" t="s">
        <v>59</v>
      </c>
      <c r="BF12" s="75" t="s">
        <v>60</v>
      </c>
      <c r="BG12" s="663" t="s">
        <v>61</v>
      </c>
      <c r="BH12" s="7"/>
      <c r="BI12" s="3630" t="s">
        <v>265</v>
      </c>
      <c r="BJ12" s="3631"/>
      <c r="BK12" s="3632"/>
      <c r="BL12" s="356"/>
      <c r="BM12" s="381">
        <v>23.25</v>
      </c>
    </row>
    <row r="13" spans="1:65" ht="15" customHeight="1" thickBot="1">
      <c r="A13" s="3862"/>
      <c r="B13" s="551" t="str">
        <f t="shared" ref="B13:B44" si="3">AF13</f>
        <v>AGNEAU : Sauté d'agneau sans os- épaule - collier</v>
      </c>
      <c r="C13" s="546"/>
      <c r="D13" s="3374">
        <f>IF(ISBLANK(AX7),(AA13/AS7)*AW7,(AA13/AX7)*AY7)</f>
        <v>0</v>
      </c>
      <c r="E13" s="533">
        <f t="shared" ref="E13:E44" si="4">AB13</f>
        <v>0</v>
      </c>
      <c r="F13" s="532">
        <f>IF(ISBLANK(AX7),(AD13/AS7)*AW7,(AD13/AX7)*AY7)</f>
        <v>6.25</v>
      </c>
      <c r="G13" s="3374">
        <f>IF(ISBLANK(AX8),(AA13/AS7)*AW8,(AA13/AX8)*AY8)</f>
        <v>0</v>
      </c>
      <c r="H13" s="533">
        <f t="shared" ref="H13:H44" si="5">AB13</f>
        <v>0</v>
      </c>
      <c r="I13" s="532">
        <f>IF(ISBLANK(AX8),(AD13/AS7)*AW8,(AD13/AX8)*AY8)</f>
        <v>18.2</v>
      </c>
      <c r="J13" s="3374">
        <f>IF(ISBLANK(AX9),(AA13/AS7)*AW9,(AA13/AX9)*AY9)</f>
        <v>0</v>
      </c>
      <c r="K13" s="533">
        <f t="shared" ref="K13:K44" si="6">AB13</f>
        <v>0</v>
      </c>
      <c r="L13" s="532">
        <f>IF(ISBLANK(AX9),(AD13/AS7)*AW9,(AD13/AX9)*AY9)</f>
        <v>13.2</v>
      </c>
      <c r="M13" s="3374">
        <f>IF(ISBLANK(AX10),(AA13/AS7)*AW10,(AA13/AX10)*AY10)</f>
        <v>0</v>
      </c>
      <c r="N13" s="533">
        <f t="shared" ref="N13:N44" si="7">AB13</f>
        <v>0</v>
      </c>
      <c r="O13" s="532">
        <f>IF(ISBLANK(AX10),(AD13/AS7)*AW10,(AD13/AX10)*AY10)</f>
        <v>7.2</v>
      </c>
      <c r="P13" s="3374">
        <f>IF(ISBLANK(AX11),(AA13/AS7)*AW11,(AA13/AX11)*AY11)</f>
        <v>0</v>
      </c>
      <c r="Q13" s="533">
        <f t="shared" ref="Q13:Q44" si="8">AB13</f>
        <v>0</v>
      </c>
      <c r="R13" s="532">
        <f>IF(ISBLANK(AX11),(AD13/AS7)*AW11,(AD13/AX11)*AY11)</f>
        <v>1.6</v>
      </c>
      <c r="S13" s="3374">
        <f>IF(ISBLANK(AX12),(AA13/AS7)*AW12,(AA13/AX12)*AY12)</f>
        <v>0</v>
      </c>
      <c r="T13" s="533">
        <f t="shared" ref="T13:T44" si="9">AB13</f>
        <v>0</v>
      </c>
      <c r="U13" s="532">
        <f>IF(ISBLANK(AX12),(AD13/AS7)*AW12,(AD13/AX12)*AY12)</f>
        <v>0.84</v>
      </c>
      <c r="V13" s="531">
        <f t="shared" ref="V13:V44" si="10">SUM(F13,I13,L13,O13,R13,U13)</f>
        <v>47.290000000000006</v>
      </c>
      <c r="W13" s="530">
        <f t="shared" ref="W13:W44" si="11">SUM(D13,G13,J13,M13,P13,S13)</f>
        <v>0</v>
      </c>
      <c r="X13" s="529">
        <f t="shared" ref="X13:X44" si="12">IF(V13&lt;0.001,AM13*W13,AM13*V13)</f>
        <v>307.38500000000005</v>
      </c>
      <c r="Y13" s="4021"/>
      <c r="Z13" s="515"/>
      <c r="AA13" s="545"/>
      <c r="AB13" s="544"/>
      <c r="AC13" s="543">
        <v>2</v>
      </c>
      <c r="AD13" s="3268">
        <f t="shared" ref="AD13:AD44" si="13">IF(ISBLANK(AA13),AC13,AA13*AC13)</f>
        <v>2</v>
      </c>
      <c r="AE13" s="541">
        <v>263551</v>
      </c>
      <c r="AF13" s="661" t="s">
        <v>768</v>
      </c>
      <c r="AG13" s="3266"/>
      <c r="AH13" s="540">
        <f>IF(ISBLANK(AH9),(AA13/AD10)*AJ7,(AA13/AH9)*AI9)</f>
        <v>0</v>
      </c>
      <c r="AI13" s="539">
        <f t="shared" ref="AI13:AI44" si="14">AB13</f>
        <v>0</v>
      </c>
      <c r="AJ13" s="538">
        <f>IF(ISBLANK(AH9),(AD13/AD10)*AJ7,(AD13/AH9)*AI9)</f>
        <v>28.301886792452834</v>
      </c>
      <c r="AK13" s="518">
        <v>35</v>
      </c>
      <c r="AL13" s="537">
        <f t="shared" ref="AL13:AL44" si="15">IF(AD13=0,0,((AJ13-(AJ13*AK13%))))</f>
        <v>18.396226415094343</v>
      </c>
      <c r="AM13" s="516">
        <v>6.5</v>
      </c>
      <c r="AN13" s="372">
        <f t="shared" ref="AN13:AN44" si="16">IF(ISBLANK(AC13),AH13*AM13,AJ13*AM13)</f>
        <v>183.96226415094341</v>
      </c>
      <c r="AO13" s="3926"/>
      <c r="AP13" s="515"/>
      <c r="AQ13" s="378"/>
      <c r="AR13" s="3256"/>
      <c r="AS13" s="3255"/>
      <c r="AT13" s="3255"/>
      <c r="AU13" s="3255"/>
      <c r="AV13" s="3255"/>
      <c r="AW13" s="3385"/>
      <c r="AX13" s="3386"/>
      <c r="AY13" s="3385"/>
      <c r="AZ13" s="3384" t="s">
        <v>264</v>
      </c>
      <c r="BA13" s="3383">
        <f>IF(ISBLANK(AY7),AW7,BA7)+IF(ISBLANK(AY8),AW8,BA8)+IF(ISBLANK(AY9),AW9,BA9)+IF(ISBLANK(AY10),AW10,BA10)+IF(ISBLANK(AY11),AW11,BA11)+IF(ISBLANK(AY12),AW12,BA12)</f>
        <v>112.78664999999999</v>
      </c>
      <c r="BB13" s="3383"/>
      <c r="BC13" s="3382"/>
      <c r="BD13" s="654"/>
      <c r="BE13" s="3718" t="s">
        <v>64</v>
      </c>
      <c r="BF13" s="3650" t="s">
        <v>41</v>
      </c>
      <c r="BG13" s="3652" t="s">
        <v>65</v>
      </c>
      <c r="BH13" s="7"/>
      <c r="BI13" s="3630"/>
      <c r="BJ13" s="3631"/>
      <c r="BK13" s="3632"/>
      <c r="BL13" s="356"/>
      <c r="BM13" s="381">
        <v>15</v>
      </c>
    </row>
    <row r="14" spans="1:65" ht="15" customHeight="1" thickBot="1">
      <c r="A14" s="3862"/>
      <c r="B14" s="551" t="str">
        <f t="shared" si="3"/>
        <v>margarine</v>
      </c>
      <c r="C14" s="546"/>
      <c r="D14" s="3374">
        <f>IF(ISBLANK(AX7),(AA14/AS7)*AW7,(AA14/AX7)*AY7)</f>
        <v>0</v>
      </c>
      <c r="E14" s="533">
        <f t="shared" si="4"/>
        <v>0</v>
      </c>
      <c r="F14" s="532">
        <f>IF(ISBLANK(AX7),(AD14/AS7)*AW7,(AD14/AX7)*AY7)</f>
        <v>0.3125</v>
      </c>
      <c r="G14" s="3374">
        <f>IF(ISBLANK(AX8),(AA14/AS7)*AW8,(AA14/AX8)*AY8)</f>
        <v>0</v>
      </c>
      <c r="H14" s="533">
        <f t="shared" si="5"/>
        <v>0</v>
      </c>
      <c r="I14" s="532">
        <f>IF(ISBLANK(AX8),(AD14/AS7)*AW8,(AD14/AX8)*AY8)</f>
        <v>0.91</v>
      </c>
      <c r="J14" s="3374">
        <f>IF(ISBLANK(AX9),(AA14/AS7)*AW9,(AA14/AX9)*AY9)</f>
        <v>0</v>
      </c>
      <c r="K14" s="533">
        <f t="shared" si="6"/>
        <v>0</v>
      </c>
      <c r="L14" s="532">
        <f>IF(ISBLANK(AX9),(AD14/AS7)*AW9,(AD14/AX9)*AY9)</f>
        <v>0.66</v>
      </c>
      <c r="M14" s="3374">
        <f>IF(ISBLANK(AX10),(AA14/AS7)*AW10,(AA14/AX10)*AY10)</f>
        <v>0</v>
      </c>
      <c r="N14" s="533">
        <f t="shared" si="7"/>
        <v>0</v>
      </c>
      <c r="O14" s="532">
        <f>IF(ISBLANK(AX10),(AD14/AS7)*AW10,(AD14/AX10)*AY10)</f>
        <v>0.36000000000000004</v>
      </c>
      <c r="P14" s="3374">
        <f>IF(ISBLANK(AX11),(AA14/AS7)*AW11,(AA14/AX11)*AY11)</f>
        <v>0</v>
      </c>
      <c r="Q14" s="533">
        <f t="shared" si="8"/>
        <v>0</v>
      </c>
      <c r="R14" s="532">
        <f>IF(ISBLANK(AX11),(AD14/AS7)*AW11,(AD14/AX11)*AY11)</f>
        <v>8.0000000000000016E-2</v>
      </c>
      <c r="S14" s="3374">
        <f>IF(ISBLANK(AX12),(AA14/AS7)*AW12,(AA14/AX12)*AY12)</f>
        <v>0</v>
      </c>
      <c r="T14" s="533">
        <f t="shared" si="9"/>
        <v>0</v>
      </c>
      <c r="U14" s="532">
        <f>IF(ISBLANK(AX12),(AD14/AS7)*AW12,(AD14/AX12)*AY12)</f>
        <v>4.2000000000000003E-2</v>
      </c>
      <c r="V14" s="531">
        <f t="shared" si="10"/>
        <v>2.3645</v>
      </c>
      <c r="W14" s="530">
        <f t="shared" si="11"/>
        <v>0</v>
      </c>
      <c r="X14" s="529">
        <f t="shared" si="12"/>
        <v>2.3645</v>
      </c>
      <c r="Y14" s="4021"/>
      <c r="Z14" s="515"/>
      <c r="AA14" s="528"/>
      <c r="AB14" s="527"/>
      <c r="AC14" s="526">
        <v>0.1</v>
      </c>
      <c r="AD14" s="525">
        <f t="shared" si="13"/>
        <v>0.1</v>
      </c>
      <c r="AE14" s="524"/>
      <c r="AF14" s="523" t="s">
        <v>766</v>
      </c>
      <c r="AG14" s="522"/>
      <c r="AH14" s="521">
        <f>IF(ISBLANK(AH9),(AA14/AD10)*AJ7,(AA14/AH9)*AI9)</f>
        <v>0</v>
      </c>
      <c r="AI14" s="520">
        <f t="shared" si="14"/>
        <v>0</v>
      </c>
      <c r="AJ14" s="519">
        <f>IF(ISBLANK(AH9),(AD14/AD10)*AJ7,(AD14/AH9)*AI9)</f>
        <v>1.4150943396226419</v>
      </c>
      <c r="AK14" s="518"/>
      <c r="AL14" s="517">
        <f t="shared" si="15"/>
        <v>1.4150943396226419</v>
      </c>
      <c r="AM14" s="516">
        <v>1</v>
      </c>
      <c r="AN14" s="372">
        <f t="shared" si="16"/>
        <v>1.4150943396226419</v>
      </c>
      <c r="AO14" s="3926"/>
      <c r="AP14" s="515"/>
      <c r="AQ14" s="378"/>
      <c r="AZ14" s="653" t="s">
        <v>262</v>
      </c>
      <c r="BA14" s="652" t="s">
        <v>261</v>
      </c>
      <c r="BB14" s="7"/>
      <c r="BC14" s="7"/>
      <c r="BD14" s="7"/>
      <c r="BE14" s="3935"/>
      <c r="BF14" s="3936"/>
      <c r="BG14" s="3937"/>
      <c r="BH14" s="7"/>
      <c r="BI14" s="3630"/>
      <c r="BJ14" s="3631"/>
      <c r="BK14" s="3632"/>
      <c r="BL14" s="356"/>
      <c r="BM14" s="381">
        <v>15</v>
      </c>
    </row>
    <row r="15" spans="1:65" ht="15" customHeight="1">
      <c r="A15" s="3862"/>
      <c r="B15" s="551" t="str">
        <f t="shared" si="3"/>
        <v>oignons frais</v>
      </c>
      <c r="C15" s="546"/>
      <c r="D15" s="3374">
        <f>IF(ISBLANK(AX7),(AA15/AS7)*AW7,(AA15/AX7)*AY7)</f>
        <v>0</v>
      </c>
      <c r="E15" s="533">
        <f t="shared" si="4"/>
        <v>0</v>
      </c>
      <c r="F15" s="532">
        <f>IF(ISBLANK(AX7),(AD15/AS7)*AW7,(AD15/AX7)*AY7)</f>
        <v>0.46875</v>
      </c>
      <c r="G15" s="3374">
        <f>IF(ISBLANK(AX8),(AA15/AS7)*AW8,(AA15/AX8)*AY8)</f>
        <v>0</v>
      </c>
      <c r="H15" s="533">
        <f t="shared" si="5"/>
        <v>0</v>
      </c>
      <c r="I15" s="532">
        <f>IF(ISBLANK(AX8),(AD15/AS7)*AW8,(AD15/AX8)*AY8)</f>
        <v>1.365</v>
      </c>
      <c r="J15" s="3374">
        <f>IF(ISBLANK(AX9),(AA15/AS7)*AW9,(AA15/AX9)*AY9)</f>
        <v>0</v>
      </c>
      <c r="K15" s="533">
        <f t="shared" si="6"/>
        <v>0</v>
      </c>
      <c r="L15" s="532">
        <f>IF(ISBLANK(AX9),(AD15/AS7)*AW9,(AD15/AX9)*AY9)</f>
        <v>0.98999999999999988</v>
      </c>
      <c r="M15" s="3374">
        <f>IF(ISBLANK(AX10),(AA15/AS7)*AW10,(AA15/AX10)*AY10)</f>
        <v>0</v>
      </c>
      <c r="N15" s="533">
        <f t="shared" si="7"/>
        <v>0</v>
      </c>
      <c r="O15" s="532">
        <f>IF(ISBLANK(AX10),(AD15/AS7)*AW10,(AD15/AX10)*AY10)</f>
        <v>0.54</v>
      </c>
      <c r="P15" s="3374">
        <f>IF(ISBLANK(AX11),(AA15/AS7)*AW11,(AA15/AX11)*AY11)</f>
        <v>0</v>
      </c>
      <c r="Q15" s="533">
        <f t="shared" si="8"/>
        <v>0</v>
      </c>
      <c r="R15" s="532">
        <f>IF(ISBLANK(AX11),(AD15/AS7)*AW11,(AD15/AX11)*AY11)</f>
        <v>0.12</v>
      </c>
      <c r="S15" s="3374">
        <f>IF(ISBLANK(AX12),(AA15/AS7)*AW12,(AA15/AX12)*AY12)</f>
        <v>0</v>
      </c>
      <c r="T15" s="533">
        <f t="shared" si="9"/>
        <v>0</v>
      </c>
      <c r="U15" s="532">
        <f>IF(ISBLANK(AX12),(AD15/AS7)*AW12,(AD15/AX12)*AY12)</f>
        <v>6.3E-2</v>
      </c>
      <c r="V15" s="531">
        <f t="shared" si="10"/>
        <v>3.5467500000000003</v>
      </c>
      <c r="W15" s="530">
        <f t="shared" si="11"/>
        <v>0</v>
      </c>
      <c r="X15" s="529">
        <f t="shared" si="12"/>
        <v>3.5467500000000003</v>
      </c>
      <c r="Y15" s="4021"/>
      <c r="Z15" s="515"/>
      <c r="AA15" s="545"/>
      <c r="AB15" s="544"/>
      <c r="AC15" s="543">
        <v>0.15</v>
      </c>
      <c r="AD15" s="542">
        <f t="shared" si="13"/>
        <v>0.15</v>
      </c>
      <c r="AE15" s="541">
        <v>2124568</v>
      </c>
      <c r="AF15" s="523" t="s">
        <v>764</v>
      </c>
      <c r="AG15" s="522"/>
      <c r="AH15" s="540">
        <f>IF(ISBLANK(AH9),(AA15/AD10)*AJ7,(AA15/AH9)*AI9)</f>
        <v>0</v>
      </c>
      <c r="AI15" s="539">
        <f t="shared" si="14"/>
        <v>0</v>
      </c>
      <c r="AJ15" s="538">
        <f>IF(ISBLANK(AH9),(AD15/AD10)*AJ7,(AD15/AH9)*AI9)</f>
        <v>2.1226415094339623</v>
      </c>
      <c r="AK15" s="518"/>
      <c r="AL15" s="537">
        <f t="shared" si="15"/>
        <v>2.1226415094339623</v>
      </c>
      <c r="AM15" s="516">
        <v>1</v>
      </c>
      <c r="AN15" s="372">
        <f t="shared" si="16"/>
        <v>2.1226415094339623</v>
      </c>
      <c r="AO15" s="3926"/>
      <c r="AP15" s="515"/>
      <c r="AQ15" s="378"/>
      <c r="AR15" s="651" t="s">
        <v>259</v>
      </c>
      <c r="AS15" s="3381"/>
      <c r="AT15" s="3381"/>
      <c r="AU15" s="3381"/>
      <c r="AV15" s="3381"/>
      <c r="AW15" s="3381"/>
      <c r="AX15" s="3381"/>
      <c r="AY15" s="3381"/>
      <c r="AZ15" s="3380"/>
      <c r="BA15" s="7"/>
      <c r="BB15" s="7"/>
      <c r="BC15" s="7"/>
      <c r="BD15" s="7"/>
      <c r="BE15" s="126">
        <v>2</v>
      </c>
      <c r="BF15" s="127" t="s">
        <v>71</v>
      </c>
      <c r="BG15" s="633">
        <v>0.05</v>
      </c>
      <c r="BH15" s="7"/>
      <c r="BI15" s="3630" t="s">
        <v>258</v>
      </c>
      <c r="BJ15" s="3631"/>
      <c r="BK15" s="3632"/>
      <c r="BL15" s="356"/>
      <c r="BM15" s="381">
        <v>15</v>
      </c>
    </row>
    <row r="16" spans="1:65" ht="15" customHeight="1">
      <c r="A16" s="3862"/>
      <c r="B16" s="551" t="str">
        <f t="shared" si="3"/>
        <v>ail frais</v>
      </c>
      <c r="C16" s="546"/>
      <c r="D16" s="3374">
        <f>IF(ISBLANK(AX7),(AA16/AS7)*AW7,(AA16/AX7)*AY7)</f>
        <v>0</v>
      </c>
      <c r="E16" s="533">
        <f t="shared" si="4"/>
        <v>0</v>
      </c>
      <c r="F16" s="532">
        <f>IF(ISBLANK(AX7),(AD16/AS7)*AW7,(AD16/AX7)*AY7)</f>
        <v>6.25E-2</v>
      </c>
      <c r="G16" s="3374">
        <f>IF(ISBLANK(AX8),(AA16/AS7)*AW8,(AA16/AX8)*AY8)</f>
        <v>0</v>
      </c>
      <c r="H16" s="533">
        <f t="shared" si="5"/>
        <v>0</v>
      </c>
      <c r="I16" s="532">
        <f>IF(ISBLANK(AX8),(AD16/AS7)*AW8,(AD16/AX8)*AY8)</f>
        <v>0.182</v>
      </c>
      <c r="J16" s="3374">
        <f>IF(ISBLANK(AX9),(AA16/AS7)*AW9,(AA16/AX9)*AY9)</f>
        <v>0</v>
      </c>
      <c r="K16" s="533">
        <f t="shared" si="6"/>
        <v>0</v>
      </c>
      <c r="L16" s="532">
        <f>IF(ISBLANK(AX9),(AD16/AS7)*AW9,(AD16/AX9)*AY9)</f>
        <v>0.13200000000000001</v>
      </c>
      <c r="M16" s="3374">
        <f>IF(ISBLANK(AX10),(AA16/AS7)*AW10,(AA16/AX10)*AY10)</f>
        <v>0</v>
      </c>
      <c r="N16" s="533">
        <f t="shared" si="7"/>
        <v>0</v>
      </c>
      <c r="O16" s="532">
        <f>IF(ISBLANK(AX10),(AD16/AS7)*AW10,(AD16/AX10)*AY10)</f>
        <v>7.2000000000000008E-2</v>
      </c>
      <c r="P16" s="3374">
        <f>IF(ISBLANK(AX11),(AA16/AS7)*AW11,(AA16/AX11)*AY11)</f>
        <v>0</v>
      </c>
      <c r="Q16" s="533">
        <f t="shared" si="8"/>
        <v>0</v>
      </c>
      <c r="R16" s="532">
        <f>IF(ISBLANK(AX11),(AD16/AS7)*AW11,(AD16/AX11)*AY11)</f>
        <v>1.6E-2</v>
      </c>
      <c r="S16" s="3374">
        <f>IF(ISBLANK(AX12),(AA16/AS7)*AW12,(AA16/AX12)*AY12)</f>
        <v>0</v>
      </c>
      <c r="T16" s="533">
        <f t="shared" si="9"/>
        <v>0</v>
      </c>
      <c r="U16" s="532">
        <f>IF(ISBLANK(AX12),(AD16/AS7)*AW12,(AD16/AX12)*AY12)</f>
        <v>8.3999999999999995E-3</v>
      </c>
      <c r="V16" s="531">
        <f t="shared" si="10"/>
        <v>0.47290000000000004</v>
      </c>
      <c r="W16" s="530">
        <f t="shared" si="11"/>
        <v>0</v>
      </c>
      <c r="X16" s="529">
        <f t="shared" si="12"/>
        <v>0.47290000000000004</v>
      </c>
      <c r="Y16" s="4021"/>
      <c r="Z16" s="515"/>
      <c r="AA16" s="528"/>
      <c r="AB16" s="527"/>
      <c r="AC16" s="526">
        <v>0.02</v>
      </c>
      <c r="AD16" s="525">
        <f t="shared" si="13"/>
        <v>0.02</v>
      </c>
      <c r="AE16" s="524"/>
      <c r="AF16" s="523" t="s">
        <v>758</v>
      </c>
      <c r="AG16" s="522"/>
      <c r="AH16" s="521">
        <f>IF(ISBLANK(AH9),(AA16/AD10)*AJ7,(AA16/AH9)*AI9)</f>
        <v>0</v>
      </c>
      <c r="AI16" s="520">
        <f t="shared" si="14"/>
        <v>0</v>
      </c>
      <c r="AJ16" s="519">
        <f>IF(ISBLANK(AH9),(AD16/AD10)*AJ7,(AD16/AH9)*AI9)</f>
        <v>0.28301886792452829</v>
      </c>
      <c r="AK16" s="518"/>
      <c r="AL16" s="517">
        <f t="shared" si="15"/>
        <v>0.28301886792452829</v>
      </c>
      <c r="AM16" s="516">
        <v>1</v>
      </c>
      <c r="AN16" s="372">
        <f t="shared" si="16"/>
        <v>0.28301886792452829</v>
      </c>
      <c r="AO16" s="3926"/>
      <c r="AP16" s="515"/>
      <c r="AQ16" s="378"/>
      <c r="AR16" s="648"/>
      <c r="AS16" s="356"/>
      <c r="AT16" s="356"/>
      <c r="AU16" s="378"/>
      <c r="AV16" s="378"/>
      <c r="AW16" s="647" t="s">
        <v>256</v>
      </c>
      <c r="AX16" s="3642" t="s">
        <v>255</v>
      </c>
      <c r="AY16" s="3642"/>
      <c r="AZ16" s="646"/>
      <c r="BA16" s="7"/>
      <c r="BB16" s="7"/>
      <c r="BC16" s="7"/>
      <c r="BD16" s="7"/>
      <c r="BE16" s="145"/>
      <c r="BF16" s="146" t="s">
        <v>73</v>
      </c>
      <c r="BG16" s="635"/>
      <c r="BH16" s="7"/>
      <c r="BI16" s="3630"/>
      <c r="BJ16" s="3631"/>
      <c r="BK16" s="3632"/>
      <c r="BL16" s="356"/>
      <c r="BM16" s="381">
        <v>15</v>
      </c>
    </row>
    <row r="17" spans="1:65" ht="15" customHeight="1">
      <c r="A17" s="3862"/>
      <c r="B17" s="551" t="str">
        <f t="shared" si="3"/>
        <v>bouquet garni PM Pour Mémoire</v>
      </c>
      <c r="C17" s="546"/>
      <c r="D17" s="3374">
        <f>IF(ISBLANK(AX7),(AA17/AS7)*AW7,(AA17/AX7)*AY7)</f>
        <v>3.125</v>
      </c>
      <c r="E17" s="533" t="str">
        <f t="shared" si="4"/>
        <v>bouquet</v>
      </c>
      <c r="F17" s="532">
        <f>IF(ISBLANK(AX7),(AD17/AS7)*AW7,(AD17/AX7)*AY7)</f>
        <v>0</v>
      </c>
      <c r="G17" s="3374">
        <f>IF(ISBLANK(AX8),(AA17/AS7)*AW8,(AA17/AX8)*AY8)</f>
        <v>9.1</v>
      </c>
      <c r="H17" s="533" t="str">
        <f t="shared" si="5"/>
        <v>bouquet</v>
      </c>
      <c r="I17" s="532">
        <f>IF(ISBLANK(AX8),(AD17/AS7)*AW8,(AD17/AX8)*AY8)</f>
        <v>0</v>
      </c>
      <c r="J17" s="3374">
        <f>IF(ISBLANK(AX9),(AA17/AS7)*AW9,(AA17/AX9)*AY9)</f>
        <v>6.6</v>
      </c>
      <c r="K17" s="533" t="str">
        <f t="shared" si="6"/>
        <v>bouquet</v>
      </c>
      <c r="L17" s="532">
        <f>IF(ISBLANK(AX9),(AD17/AS7)*AW9,(AD17/AX9)*AY9)</f>
        <v>0</v>
      </c>
      <c r="M17" s="3374">
        <f>IF(ISBLANK(AX10),(AA17/AS7)*AW10,(AA17/AX10)*AY10)</f>
        <v>3.6</v>
      </c>
      <c r="N17" s="533" t="str">
        <f t="shared" si="7"/>
        <v>bouquet</v>
      </c>
      <c r="O17" s="532">
        <f>IF(ISBLANK(AX10),(AD17/AS7)*AW10,(AD17/AX10)*AY10)</f>
        <v>0</v>
      </c>
      <c r="P17" s="3374">
        <f>IF(ISBLANK(AX11),(AA17/AS7)*AW11,(AA17/AX11)*AY11)</f>
        <v>0.8</v>
      </c>
      <c r="Q17" s="533" t="str">
        <f t="shared" si="8"/>
        <v>bouquet</v>
      </c>
      <c r="R17" s="532">
        <f>IF(ISBLANK(AX11),(AD17/AS7)*AW11,(AD17/AX11)*AY11)</f>
        <v>0</v>
      </c>
      <c r="S17" s="3374">
        <f>IF(ISBLANK(AX12),(AA17/AS7)*AW12,(AA17/AX12)*AY12)</f>
        <v>0.42</v>
      </c>
      <c r="T17" s="533" t="str">
        <f t="shared" si="9"/>
        <v>bouquet</v>
      </c>
      <c r="U17" s="532">
        <f>IF(ISBLANK(AX12),(AD17/AS7)*AW12,(AD17/AX12)*AY12)</f>
        <v>0</v>
      </c>
      <c r="V17" s="531">
        <f t="shared" si="10"/>
        <v>0</v>
      </c>
      <c r="W17" s="530">
        <f t="shared" si="11"/>
        <v>23.645000000000003</v>
      </c>
      <c r="X17" s="529">
        <f t="shared" si="12"/>
        <v>1.1822500000000002</v>
      </c>
      <c r="Y17" s="4021"/>
      <c r="Z17" s="515"/>
      <c r="AA17" s="545">
        <v>1</v>
      </c>
      <c r="AB17" s="544" t="s">
        <v>2917</v>
      </c>
      <c r="AC17" s="543"/>
      <c r="AD17" s="542">
        <f t="shared" si="13"/>
        <v>0</v>
      </c>
      <c r="AE17" s="541"/>
      <c r="AF17" s="523" t="s">
        <v>756</v>
      </c>
      <c r="AG17" s="522"/>
      <c r="AH17" s="540">
        <f>IF(ISBLANK(AH9),(AA17/AD10)*AJ7,(AA17/AH9)*AI9)</f>
        <v>14.150943396226417</v>
      </c>
      <c r="AI17" s="539" t="str">
        <f t="shared" si="14"/>
        <v>bouquet</v>
      </c>
      <c r="AJ17" s="538">
        <f>IF(ISBLANK(AH9),(AD17/AD10)*AJ7,(AD17/AH9)*AI9)</f>
        <v>0</v>
      </c>
      <c r="AK17" s="518"/>
      <c r="AL17" s="537">
        <f t="shared" si="15"/>
        <v>0</v>
      </c>
      <c r="AM17" s="642">
        <v>0.05</v>
      </c>
      <c r="AN17" s="372">
        <f t="shared" si="16"/>
        <v>0.70754716981132093</v>
      </c>
      <c r="AO17" s="3926"/>
      <c r="AP17" s="515"/>
      <c r="AQ17" s="378"/>
      <c r="AR17" s="645"/>
      <c r="AS17" s="590"/>
      <c r="AT17" s="590"/>
      <c r="AU17" s="644"/>
      <c r="AV17" s="590"/>
      <c r="AW17" s="644"/>
      <c r="AX17" s="643"/>
      <c r="AY17" s="643"/>
      <c r="AZ17" s="608"/>
      <c r="BA17" s="378"/>
      <c r="BB17" s="378"/>
      <c r="BC17" s="378"/>
      <c r="BD17" s="378"/>
      <c r="BE17" s="126"/>
      <c r="BF17" s="127"/>
      <c r="BG17" s="633">
        <v>0.15</v>
      </c>
      <c r="BH17" s="378"/>
      <c r="BI17" s="3630"/>
      <c r="BJ17" s="3631"/>
      <c r="BK17" s="3632"/>
      <c r="BL17" s="356"/>
      <c r="BM17" s="381">
        <v>15</v>
      </c>
    </row>
    <row r="18" spans="1:65" ht="15" customHeight="1">
      <c r="A18" s="3862"/>
      <c r="B18" s="551" t="str">
        <f t="shared" si="3"/>
        <v>carottes fraiches</v>
      </c>
      <c r="C18" s="546"/>
      <c r="D18" s="3374">
        <f>IF(ISBLANK(AX7),(AA18/AS7)*AW7,(AA18/AX7)*AY7)</f>
        <v>0</v>
      </c>
      <c r="E18" s="533">
        <f t="shared" si="4"/>
        <v>0</v>
      </c>
      <c r="F18" s="532">
        <f>IF(ISBLANK(AX7),(AD18/AS7)*AW7,(AD18/AX7)*AY7)</f>
        <v>2.1875</v>
      </c>
      <c r="G18" s="3374">
        <f>IF(ISBLANK(AX8),(AA18/AS7)*AW8,(AA18/AX8)*AY8)</f>
        <v>0</v>
      </c>
      <c r="H18" s="533">
        <f t="shared" si="5"/>
        <v>0</v>
      </c>
      <c r="I18" s="532">
        <f>IF(ISBLANK(AX8),(AD18/AS7)*AW8,(AD18/AX8)*AY8)</f>
        <v>6.3699999999999992</v>
      </c>
      <c r="J18" s="3374">
        <f>IF(ISBLANK(AX9),(AA18/AS7)*AW9,(AA18/AX9)*AY9)</f>
        <v>0</v>
      </c>
      <c r="K18" s="533">
        <f t="shared" si="6"/>
        <v>0</v>
      </c>
      <c r="L18" s="532">
        <f>IF(ISBLANK(AX9),(AD18/AS7)*AW9,(AD18/AX9)*AY9)</f>
        <v>4.6199999999999992</v>
      </c>
      <c r="M18" s="3374">
        <f>IF(ISBLANK(AX10),(AA18/AS7)*AW10,(AA18/AX10)*AY10)</f>
        <v>0</v>
      </c>
      <c r="N18" s="533">
        <f t="shared" si="7"/>
        <v>0</v>
      </c>
      <c r="O18" s="532">
        <f>IF(ISBLANK(AX10),(AD18/AS7)*AW10,(AD18/AX10)*AY10)</f>
        <v>2.52</v>
      </c>
      <c r="P18" s="3374">
        <f>IF(ISBLANK(AX11),(AA18/AS7)*AW11,(AA18/AX11)*AY11)</f>
        <v>0</v>
      </c>
      <c r="Q18" s="533">
        <f t="shared" si="8"/>
        <v>0</v>
      </c>
      <c r="R18" s="532">
        <f>IF(ISBLANK(AX11),(AD18/AS7)*AW11,(AD18/AX11)*AY11)</f>
        <v>0.55999999999999994</v>
      </c>
      <c r="S18" s="3374">
        <f>IF(ISBLANK(AX12),(AA18/AS7)*AW12,(AA18/AX12)*AY12)</f>
        <v>0</v>
      </c>
      <c r="T18" s="533">
        <f t="shared" si="9"/>
        <v>0</v>
      </c>
      <c r="U18" s="532">
        <f>IF(ISBLANK(AX12),(AD18/AS7)*AW12,(AD18/AX12)*AY12)</f>
        <v>0.29399999999999998</v>
      </c>
      <c r="V18" s="531">
        <f t="shared" si="10"/>
        <v>16.551499999999997</v>
      </c>
      <c r="W18" s="530">
        <f t="shared" si="11"/>
        <v>0</v>
      </c>
      <c r="X18" s="529">
        <f t="shared" si="12"/>
        <v>16.551499999999997</v>
      </c>
      <c r="Y18" s="4021"/>
      <c r="Z18" s="515"/>
      <c r="AA18" s="528"/>
      <c r="AB18" s="527"/>
      <c r="AC18" s="526">
        <v>0.7</v>
      </c>
      <c r="AD18" s="525">
        <f t="shared" si="13"/>
        <v>0.7</v>
      </c>
      <c r="AE18" s="524"/>
      <c r="AF18" s="523" t="s">
        <v>6720</v>
      </c>
      <c r="AG18" s="522"/>
      <c r="AH18" s="521">
        <f>IF(ISBLANK(AH9),(AA18/AD10)*AJ7,(AA18/AH9)*AI9)</f>
        <v>0</v>
      </c>
      <c r="AI18" s="520">
        <f t="shared" si="14"/>
        <v>0</v>
      </c>
      <c r="AJ18" s="519">
        <f>IF(ISBLANK(AH9),(AD18/AD10)*AJ7,(AD18/AH9)*AI9)</f>
        <v>9.9056603773584904</v>
      </c>
      <c r="AK18" s="518"/>
      <c r="AL18" s="517">
        <f t="shared" si="15"/>
        <v>9.9056603773584904</v>
      </c>
      <c r="AM18" s="516">
        <v>1</v>
      </c>
      <c r="AN18" s="372">
        <f t="shared" si="16"/>
        <v>9.9056603773584904</v>
      </c>
      <c r="AO18" s="3926"/>
      <c r="AP18" s="515"/>
      <c r="AQ18" s="378"/>
      <c r="AR18" s="639" t="s">
        <v>250</v>
      </c>
      <c r="AS18" s="378"/>
      <c r="AT18" s="378"/>
      <c r="AU18" s="638" t="s">
        <v>249</v>
      </c>
      <c r="AV18" s="378"/>
      <c r="AW18" s="638" t="s">
        <v>242</v>
      </c>
      <c r="AX18" s="641"/>
      <c r="AY18" s="641"/>
      <c r="AZ18" s="640"/>
      <c r="BA18" s="378"/>
      <c r="BB18" s="378"/>
      <c r="BC18" s="378"/>
      <c r="BD18" s="378"/>
      <c r="BE18" s="145"/>
      <c r="BF18" s="146" t="s">
        <v>77</v>
      </c>
      <c r="BG18" s="635"/>
      <c r="BH18" s="378"/>
      <c r="BI18" s="3630" t="s">
        <v>248</v>
      </c>
      <c r="BJ18" s="3631"/>
      <c r="BK18" s="3632"/>
      <c r="BL18" s="356"/>
      <c r="BM18" s="381">
        <v>15</v>
      </c>
    </row>
    <row r="19" spans="1:65" ht="15" customHeight="1">
      <c r="A19" s="3862"/>
      <c r="B19" s="551" t="str">
        <f t="shared" si="3"/>
        <v>navets frais</v>
      </c>
      <c r="C19" s="546"/>
      <c r="D19" s="3374">
        <f>IF(ISBLANK(AX7),(AA19/AS7)*AW7,(AA19/AX7)*AY7)</f>
        <v>0</v>
      </c>
      <c r="E19" s="533">
        <f t="shared" si="4"/>
        <v>0</v>
      </c>
      <c r="F19" s="532">
        <f>IF(ISBLANK(AX7),(AD19/AS7)*AW7,(AD19/AX7)*AY7)</f>
        <v>1.25</v>
      </c>
      <c r="G19" s="3374">
        <f>IF(ISBLANK(AX8),(AA19/AS7)*AW8,(AA19/AX8)*AY8)</f>
        <v>0</v>
      </c>
      <c r="H19" s="533">
        <f t="shared" si="5"/>
        <v>0</v>
      </c>
      <c r="I19" s="532">
        <f>IF(ISBLANK(AX8),(AD19/AS7)*AW8,(AD19/AX8)*AY8)</f>
        <v>3.64</v>
      </c>
      <c r="J19" s="3374">
        <f>IF(ISBLANK(AX9),(AA19/AS7)*AW9,(AA19/AX9)*AY9)</f>
        <v>0</v>
      </c>
      <c r="K19" s="533">
        <f t="shared" si="6"/>
        <v>0</v>
      </c>
      <c r="L19" s="532">
        <f>IF(ISBLANK(AX9),(AD19/AS7)*AW9,(AD19/AX9)*AY9)</f>
        <v>2.64</v>
      </c>
      <c r="M19" s="3374">
        <f>IF(ISBLANK(AX10),(AA19/AS7)*AW10,(AA19/AX10)*AY10)</f>
        <v>0</v>
      </c>
      <c r="N19" s="533">
        <f t="shared" si="7"/>
        <v>0</v>
      </c>
      <c r="O19" s="532">
        <f>IF(ISBLANK(AX10),(AD19/AS7)*AW10,(AD19/AX10)*AY10)</f>
        <v>1.4400000000000002</v>
      </c>
      <c r="P19" s="3374">
        <f>IF(ISBLANK(AX11),(AA19/AS7)*AW11,(AA19/AX11)*AY11)</f>
        <v>0</v>
      </c>
      <c r="Q19" s="533">
        <f t="shared" si="8"/>
        <v>0</v>
      </c>
      <c r="R19" s="532">
        <f>IF(ISBLANK(AX11),(AD19/AS7)*AW11,(AD19/AX11)*AY11)</f>
        <v>0.32000000000000006</v>
      </c>
      <c r="S19" s="3374">
        <f>IF(ISBLANK(AX12),(AA19/AS7)*AW12,(AA19/AX12)*AY12)</f>
        <v>0</v>
      </c>
      <c r="T19" s="533">
        <f t="shared" si="9"/>
        <v>0</v>
      </c>
      <c r="U19" s="532">
        <f>IF(ISBLANK(AX12),(AD19/AS7)*AW12,(AD19/AX12)*AY12)</f>
        <v>0.16800000000000001</v>
      </c>
      <c r="V19" s="531">
        <f t="shared" si="10"/>
        <v>9.4580000000000002</v>
      </c>
      <c r="W19" s="530">
        <f t="shared" si="11"/>
        <v>0</v>
      </c>
      <c r="X19" s="529">
        <f t="shared" si="12"/>
        <v>9.4580000000000002</v>
      </c>
      <c r="Y19" s="4021"/>
      <c r="Z19" s="515"/>
      <c r="AA19" s="545"/>
      <c r="AB19" s="544"/>
      <c r="AC19" s="543">
        <v>0.4</v>
      </c>
      <c r="AD19" s="542">
        <f t="shared" si="13"/>
        <v>0.4</v>
      </c>
      <c r="AE19" s="541"/>
      <c r="AF19" s="523" t="s">
        <v>6719</v>
      </c>
      <c r="AG19" s="522"/>
      <c r="AH19" s="540">
        <f>IF(ISBLANK(AH9),(AA19/AD10)*AJ7,(AA19/AH9)*AI9)</f>
        <v>0</v>
      </c>
      <c r="AI19" s="539">
        <f t="shared" si="14"/>
        <v>0</v>
      </c>
      <c r="AJ19" s="538">
        <f>IF(ISBLANK(AH9),(AD19/AD10)*AJ7,(AD19/AH9)*AI9)</f>
        <v>5.6603773584905674</v>
      </c>
      <c r="AK19" s="518"/>
      <c r="AL19" s="537">
        <f t="shared" si="15"/>
        <v>5.6603773584905674</v>
      </c>
      <c r="AM19" s="516">
        <v>1</v>
      </c>
      <c r="AN19" s="372">
        <f t="shared" si="16"/>
        <v>5.6603773584905674</v>
      </c>
      <c r="AO19" s="3926"/>
      <c r="AP19" s="515"/>
      <c r="AQ19" s="378"/>
      <c r="AR19" s="639"/>
      <c r="AS19" s="378"/>
      <c r="AT19" s="378"/>
      <c r="AU19" s="638"/>
      <c r="AV19" s="378"/>
      <c r="AW19" s="637" t="s">
        <v>247</v>
      </c>
      <c r="AX19" s="637"/>
      <c r="AY19" s="637"/>
      <c r="AZ19" s="636"/>
      <c r="BA19" s="378"/>
      <c r="BB19" s="378"/>
      <c r="BC19" s="378"/>
      <c r="BD19" s="378"/>
      <c r="BE19" s="126">
        <v>3</v>
      </c>
      <c r="BF19" s="127" t="s">
        <v>79</v>
      </c>
      <c r="BG19" s="633">
        <v>0.02</v>
      </c>
      <c r="BH19" s="378"/>
      <c r="BI19" s="3630"/>
      <c r="BJ19" s="3631"/>
      <c r="BK19" s="3632"/>
      <c r="BL19" s="356"/>
      <c r="BM19" s="381">
        <v>15</v>
      </c>
    </row>
    <row r="20" spans="1:65" ht="15" customHeight="1">
      <c r="A20" s="3862"/>
      <c r="B20" s="551" t="str">
        <f t="shared" si="3"/>
        <v>petits pois surgelés</v>
      </c>
      <c r="C20" s="546"/>
      <c r="D20" s="3374">
        <f>IF(ISBLANK(AX7),(AA20/AS7)*AW7,(AA20/AX7)*AY7)</f>
        <v>0</v>
      </c>
      <c r="E20" s="533">
        <f t="shared" si="4"/>
        <v>0</v>
      </c>
      <c r="F20" s="532">
        <f>IF(ISBLANK(AX7),(AD20/AS7)*AW7,(AD20/AX7)*AY7)</f>
        <v>0.625</v>
      </c>
      <c r="G20" s="3374">
        <f>IF(ISBLANK(AX8),(AA20/AS7)*AW8,(AA20/AX8)*AY8)</f>
        <v>0</v>
      </c>
      <c r="H20" s="533">
        <f t="shared" si="5"/>
        <v>0</v>
      </c>
      <c r="I20" s="532">
        <f>IF(ISBLANK(AX8),(AD20/AS7)*AW8,(AD20/AX8)*AY8)</f>
        <v>1.82</v>
      </c>
      <c r="J20" s="3374">
        <f>IF(ISBLANK(AX9),(AA20/AS7)*AW9,(AA20/AX9)*AY9)</f>
        <v>0</v>
      </c>
      <c r="K20" s="533">
        <f t="shared" si="6"/>
        <v>0</v>
      </c>
      <c r="L20" s="532">
        <f>IF(ISBLANK(AX9),(AD20/AS7)*AW9,(AD20/AX9)*AY9)</f>
        <v>1.32</v>
      </c>
      <c r="M20" s="3374">
        <f>IF(ISBLANK(AX10),(AA20/AS7)*AW10,(AA20/AX10)*AY10)</f>
        <v>0</v>
      </c>
      <c r="N20" s="533">
        <f t="shared" si="7"/>
        <v>0</v>
      </c>
      <c r="O20" s="532">
        <f>IF(ISBLANK(AX10),(AD20/AS7)*AW10,(AD20/AX10)*AY10)</f>
        <v>0.72000000000000008</v>
      </c>
      <c r="P20" s="3374">
        <f>IF(ISBLANK(AX11),(AA20/AS7)*AW11,(AA20/AX11)*AY11)</f>
        <v>0</v>
      </c>
      <c r="Q20" s="533">
        <f t="shared" si="8"/>
        <v>0</v>
      </c>
      <c r="R20" s="532">
        <f>IF(ISBLANK(AX11),(AD20/AS7)*AW11,(AD20/AX11)*AY11)</f>
        <v>0.16000000000000003</v>
      </c>
      <c r="S20" s="3374">
        <f>IF(ISBLANK(AX12),(AA20/AS7)*AW12,(AA20/AX12)*AY12)</f>
        <v>0</v>
      </c>
      <c r="T20" s="533">
        <f t="shared" si="9"/>
        <v>0</v>
      </c>
      <c r="U20" s="532">
        <f>IF(ISBLANK(AX12),(AD20/AS7)*AW12,(AD20/AX12)*AY12)</f>
        <v>8.4000000000000005E-2</v>
      </c>
      <c r="V20" s="531">
        <f t="shared" si="10"/>
        <v>4.7290000000000001</v>
      </c>
      <c r="W20" s="530">
        <f t="shared" si="11"/>
        <v>0</v>
      </c>
      <c r="X20" s="529">
        <f t="shared" si="12"/>
        <v>4.7290000000000001</v>
      </c>
      <c r="Y20" s="4021"/>
      <c r="Z20" s="515"/>
      <c r="AA20" s="528"/>
      <c r="AB20" s="527"/>
      <c r="AC20" s="526">
        <v>0.2</v>
      </c>
      <c r="AD20" s="525">
        <f t="shared" si="13"/>
        <v>0.2</v>
      </c>
      <c r="AE20" s="524"/>
      <c r="AF20" s="523" t="s">
        <v>752</v>
      </c>
      <c r="AG20" s="522"/>
      <c r="AH20" s="521">
        <f>IF(ISBLANK(AH9),(AA20/AD10)*AJ7,(AA20/AH9)*AI9)</f>
        <v>0</v>
      </c>
      <c r="AI20" s="520">
        <f t="shared" si="14"/>
        <v>0</v>
      </c>
      <c r="AJ20" s="519">
        <f>IF(ISBLANK(AH9),(AD20/AD10)*AJ7,(AD20/AH9)*AI9)</f>
        <v>2.8301886792452837</v>
      </c>
      <c r="AK20" s="518"/>
      <c r="AL20" s="517">
        <f t="shared" si="15"/>
        <v>2.8301886792452837</v>
      </c>
      <c r="AM20" s="516">
        <v>1</v>
      </c>
      <c r="AN20" s="372">
        <f t="shared" si="16"/>
        <v>2.8301886792452837</v>
      </c>
      <c r="AO20" s="3926"/>
      <c r="AP20" s="515"/>
      <c r="AQ20" s="378"/>
      <c r="AR20" s="609"/>
      <c r="AS20" s="378"/>
      <c r="AT20" s="378"/>
      <c r="AU20" s="378"/>
      <c r="AV20" s="378"/>
      <c r="AW20" s="378"/>
      <c r="AX20" s="378"/>
      <c r="AY20" s="378"/>
      <c r="AZ20" s="608"/>
      <c r="BA20" s="378"/>
      <c r="BB20" s="378"/>
      <c r="BC20" s="378"/>
      <c r="BD20" s="378"/>
      <c r="BE20" s="145"/>
      <c r="BF20" s="146" t="s">
        <v>81</v>
      </c>
      <c r="BG20" s="635"/>
      <c r="BH20" s="378"/>
      <c r="BI20" s="3630"/>
      <c r="BJ20" s="3631"/>
      <c r="BK20" s="3632"/>
      <c r="BL20" s="356"/>
      <c r="BM20" s="381">
        <v>15</v>
      </c>
    </row>
    <row r="21" spans="1:65" ht="15" customHeight="1">
      <c r="A21" s="3862"/>
      <c r="B21" s="551" t="str">
        <f t="shared" si="3"/>
        <v>haricots verts surgelés</v>
      </c>
      <c r="C21" s="546"/>
      <c r="D21" s="3374">
        <f>IF(ISBLANK(AX7),(AA21/AS7)*AW7,(AA21/AX7)*AY7)</f>
        <v>0</v>
      </c>
      <c r="E21" s="533">
        <f t="shared" si="4"/>
        <v>0</v>
      </c>
      <c r="F21" s="532">
        <f>IF(ISBLANK(AX7),(AD21/AS7)*AW7,(AD21/AX7)*AY7)</f>
        <v>0.625</v>
      </c>
      <c r="G21" s="3374">
        <f>IF(ISBLANK(AX8),(AA21/AS7)*AW8,(AA21/AX8)*AY8)</f>
        <v>0</v>
      </c>
      <c r="H21" s="533">
        <f t="shared" si="5"/>
        <v>0</v>
      </c>
      <c r="I21" s="532">
        <f>IF(ISBLANK(AX8),(AD21/AS7)*AW8,(AD21/AX8)*AY8)</f>
        <v>1.82</v>
      </c>
      <c r="J21" s="3374">
        <f>IF(ISBLANK(AX9),(AA21/AS7)*AW9,(AA21/AX9)*AY9)</f>
        <v>0</v>
      </c>
      <c r="K21" s="533">
        <f t="shared" si="6"/>
        <v>0</v>
      </c>
      <c r="L21" s="532">
        <f>IF(ISBLANK(AX9),(AD21/AS7)*AW9,(AD21/AX9)*AY9)</f>
        <v>1.32</v>
      </c>
      <c r="M21" s="3374">
        <f>IF(ISBLANK(AX10),(AA21/AS7)*AW10,(AA21/AX10)*AY10)</f>
        <v>0</v>
      </c>
      <c r="N21" s="533">
        <f t="shared" si="7"/>
        <v>0</v>
      </c>
      <c r="O21" s="532">
        <f>IF(ISBLANK(AX10),(AD21/AS7)*AW10,(AD21/AX10)*AY10)</f>
        <v>0.72000000000000008</v>
      </c>
      <c r="P21" s="3374">
        <f>IF(ISBLANK(AX11),(AA21/AS7)*AW11,(AA21/AX11)*AY11)</f>
        <v>0</v>
      </c>
      <c r="Q21" s="533">
        <f t="shared" si="8"/>
        <v>0</v>
      </c>
      <c r="R21" s="532">
        <f>IF(ISBLANK(AX11),(AD21/AS7)*AW11,(AD21/AX11)*AY11)</f>
        <v>0.16000000000000003</v>
      </c>
      <c r="S21" s="3374">
        <f>IF(ISBLANK(AX12),(AA21/AS7)*AW12,(AA21/AX12)*AY12)</f>
        <v>0</v>
      </c>
      <c r="T21" s="533">
        <f t="shared" si="9"/>
        <v>0</v>
      </c>
      <c r="U21" s="532">
        <f>IF(ISBLANK(AX12),(AD21/AS7)*AW12,(AD21/AX12)*AY12)</f>
        <v>8.4000000000000005E-2</v>
      </c>
      <c r="V21" s="531">
        <f t="shared" si="10"/>
        <v>4.7290000000000001</v>
      </c>
      <c r="W21" s="530">
        <f t="shared" si="11"/>
        <v>0</v>
      </c>
      <c r="X21" s="529">
        <f t="shared" si="12"/>
        <v>4.7290000000000001</v>
      </c>
      <c r="Y21" s="4021"/>
      <c r="Z21" s="515"/>
      <c r="AA21" s="545"/>
      <c r="AB21" s="544"/>
      <c r="AC21" s="543">
        <v>0.2</v>
      </c>
      <c r="AD21" s="542">
        <f t="shared" si="13"/>
        <v>0.2</v>
      </c>
      <c r="AE21" s="541"/>
      <c r="AF21" s="523" t="s">
        <v>750</v>
      </c>
      <c r="AG21" s="522"/>
      <c r="AH21" s="540">
        <f>IF(ISBLANK(AH9),(AA21/AD10)*AJ7,(AA21/AH9)*AI9)</f>
        <v>0</v>
      </c>
      <c r="AI21" s="539">
        <f t="shared" si="14"/>
        <v>0</v>
      </c>
      <c r="AJ21" s="538">
        <f>IF(ISBLANK(AH9),(AD21/AD10)*AJ7,(AD21/AH9)*AI9)</f>
        <v>2.8301886792452837</v>
      </c>
      <c r="AK21" s="518"/>
      <c r="AL21" s="537">
        <f t="shared" si="15"/>
        <v>2.8301886792452837</v>
      </c>
      <c r="AM21" s="516">
        <v>1</v>
      </c>
      <c r="AN21" s="372">
        <f t="shared" si="16"/>
        <v>2.8301886792452837</v>
      </c>
      <c r="AO21" s="3926"/>
      <c r="AP21" s="515"/>
      <c r="AQ21" s="378"/>
      <c r="AR21" s="609"/>
      <c r="AS21" s="3737" t="s">
        <v>246</v>
      </c>
      <c r="AT21" s="3738" t="s">
        <v>245</v>
      </c>
      <c r="AU21" s="3697" t="s">
        <v>46</v>
      </c>
      <c r="AV21" s="3698" t="s">
        <v>244</v>
      </c>
      <c r="AW21" s="3735" t="s">
        <v>243</v>
      </c>
      <c r="AX21" s="3736" t="s">
        <v>225</v>
      </c>
      <c r="AY21" s="634"/>
      <c r="AZ21" s="608"/>
      <c r="BA21" s="378"/>
      <c r="BB21" s="378"/>
      <c r="BC21" s="378"/>
      <c r="BD21" s="378"/>
      <c r="BE21" s="126">
        <v>5</v>
      </c>
      <c r="BF21" s="127" t="s">
        <v>83</v>
      </c>
      <c r="BG21" s="633">
        <v>0.05</v>
      </c>
      <c r="BH21" s="378"/>
      <c r="BI21" s="3610" t="s">
        <v>177</v>
      </c>
      <c r="BJ21" s="3611"/>
      <c r="BK21" s="3612"/>
      <c r="BL21" s="356"/>
      <c r="BM21" s="381">
        <v>15</v>
      </c>
    </row>
    <row r="22" spans="1:65" ht="15" customHeight="1">
      <c r="A22" s="3862"/>
      <c r="B22" s="551" t="str">
        <f t="shared" si="3"/>
        <v xml:space="preserve">pommes de terre BF 15 </v>
      </c>
      <c r="C22" s="546"/>
      <c r="D22" s="3374">
        <f>IF(ISBLANK(AX7),(AA22/AS7)*AW7,(AA22/AX7)*AY7)</f>
        <v>0</v>
      </c>
      <c r="E22" s="533">
        <f t="shared" si="4"/>
        <v>0</v>
      </c>
      <c r="F22" s="532">
        <f>IF(ISBLANK(AX7),(AD22/AS7)*AW7,(AD22/AX7)*AY7)</f>
        <v>2.1875</v>
      </c>
      <c r="G22" s="3374">
        <f>IF(ISBLANK(AX8),(AA22/AS7)*AW8,(AA22/AX8)*AY8)</f>
        <v>0</v>
      </c>
      <c r="H22" s="533">
        <f t="shared" si="5"/>
        <v>0</v>
      </c>
      <c r="I22" s="532">
        <f>IF(ISBLANK(AX8),(AD22/AS7)*AW8,(AD22/AX8)*AY8)</f>
        <v>6.3699999999999992</v>
      </c>
      <c r="J22" s="3374">
        <f>IF(ISBLANK(AX9),(AA22/AS7)*AW9,(AA22/AX9)*AY9)</f>
        <v>0</v>
      </c>
      <c r="K22" s="533">
        <f t="shared" si="6"/>
        <v>0</v>
      </c>
      <c r="L22" s="532">
        <f>IF(ISBLANK(AX9),(AD22/AS7)*AW9,(AD22/AX9)*AY9)</f>
        <v>4.6199999999999992</v>
      </c>
      <c r="M22" s="3374">
        <f>IF(ISBLANK(AX10),(AA22/AS7)*AW10,(AA22/AX10)*AY10)</f>
        <v>0</v>
      </c>
      <c r="N22" s="533">
        <f t="shared" si="7"/>
        <v>0</v>
      </c>
      <c r="O22" s="532">
        <f>IF(ISBLANK(AX10),(AD22/AS7)*AW10,(AD22/AX10)*AY10)</f>
        <v>2.52</v>
      </c>
      <c r="P22" s="3374">
        <f>IF(ISBLANK(AX11),(AA22/AS7)*AW11,(AA22/AX11)*AY11)</f>
        <v>0</v>
      </c>
      <c r="Q22" s="533">
        <f t="shared" si="8"/>
        <v>0</v>
      </c>
      <c r="R22" s="532">
        <f>IF(ISBLANK(AX11),(AD22/AS7)*AW11,(AD22/AX11)*AY11)</f>
        <v>0.55999999999999994</v>
      </c>
      <c r="S22" s="3374">
        <f>IF(ISBLANK(AX12),(AA22/AS7)*AW12,(AA22/AX12)*AY12)</f>
        <v>0</v>
      </c>
      <c r="T22" s="533">
        <f t="shared" si="9"/>
        <v>0</v>
      </c>
      <c r="U22" s="532">
        <f>IF(ISBLANK(AX12),(AD22/AS7)*AW12,(AD22/AX12)*AY12)</f>
        <v>0.29399999999999998</v>
      </c>
      <c r="V22" s="531">
        <f t="shared" si="10"/>
        <v>16.551499999999997</v>
      </c>
      <c r="W22" s="530">
        <f t="shared" si="11"/>
        <v>0</v>
      </c>
      <c r="X22" s="529">
        <f t="shared" si="12"/>
        <v>16.551499999999997</v>
      </c>
      <c r="Y22" s="4021"/>
      <c r="Z22" s="515"/>
      <c r="AA22" s="528"/>
      <c r="AB22" s="527"/>
      <c r="AC22" s="526">
        <v>0.7</v>
      </c>
      <c r="AD22" s="525">
        <f t="shared" si="13"/>
        <v>0.7</v>
      </c>
      <c r="AE22" s="524"/>
      <c r="AF22" s="523" t="s">
        <v>6718</v>
      </c>
      <c r="AG22" s="522"/>
      <c r="AH22" s="521">
        <f>IF(ISBLANK(AH9),(AA22/AD10)*AJ7,(AA22/AH9)*AI9)</f>
        <v>0</v>
      </c>
      <c r="AI22" s="520">
        <f t="shared" si="14"/>
        <v>0</v>
      </c>
      <c r="AJ22" s="519">
        <f>IF(ISBLANK(AH9),(AD22/AD10)*AJ7,(AD22/AH9)*AI9)</f>
        <v>9.9056603773584904</v>
      </c>
      <c r="AK22" s="518"/>
      <c r="AL22" s="517">
        <f t="shared" si="15"/>
        <v>9.9056603773584904</v>
      </c>
      <c r="AM22" s="516">
        <v>1</v>
      </c>
      <c r="AN22" s="372">
        <f t="shared" si="16"/>
        <v>9.9056603773584904</v>
      </c>
      <c r="AO22" s="3926"/>
      <c r="AP22" s="515"/>
      <c r="AQ22" s="378"/>
      <c r="AR22" s="609"/>
      <c r="AS22" s="3737"/>
      <c r="AT22" s="3738"/>
      <c r="AU22" s="3697"/>
      <c r="AV22" s="3698"/>
      <c r="AW22" s="3735"/>
      <c r="AX22" s="3736"/>
      <c r="AY22" s="632" t="str">
        <f>ADDRESS(ROW(AX23),COLUMN(AX23),4)</f>
        <v>AX23</v>
      </c>
      <c r="AZ22" s="608"/>
      <c r="BA22" s="378"/>
      <c r="BB22" s="378"/>
      <c r="BC22" s="378"/>
      <c r="BD22" s="378"/>
      <c r="BE22" s="168"/>
      <c r="BF22" s="169"/>
      <c r="BG22" s="447"/>
      <c r="BH22" s="378"/>
      <c r="BI22" s="3610"/>
      <c r="BJ22" s="3611"/>
      <c r="BK22" s="3612"/>
      <c r="BL22" s="356"/>
      <c r="BM22" s="381">
        <v>15</v>
      </c>
    </row>
    <row r="23" spans="1:65" ht="15" customHeight="1">
      <c r="A23" s="3862"/>
      <c r="B23" s="551" t="str">
        <f t="shared" si="3"/>
        <v>persil</v>
      </c>
      <c r="C23" s="546"/>
      <c r="D23" s="3374">
        <f>IF(ISBLANK(AX7),(AA23/AS7)*AW7,(AA23/AX7)*AY7)</f>
        <v>0</v>
      </c>
      <c r="E23" s="533">
        <f t="shared" si="4"/>
        <v>0</v>
      </c>
      <c r="F23" s="532">
        <f>IF(ISBLANK(AX7),(AD23/AS7)*AW7,(AD23/AX7)*AY7)</f>
        <v>6.25E-2</v>
      </c>
      <c r="G23" s="3374">
        <f>IF(ISBLANK(AX8),(AA23/AS7)*AW8,(AA23/AX8)*AY8)</f>
        <v>0</v>
      </c>
      <c r="H23" s="533">
        <f t="shared" si="5"/>
        <v>0</v>
      </c>
      <c r="I23" s="532">
        <f>IF(ISBLANK(AX8),(AD23/AS7)*AW8,(AD23/AX8)*AY8)</f>
        <v>0.182</v>
      </c>
      <c r="J23" s="3374">
        <f>IF(ISBLANK(AX9),(AA23/AS7)*AW9,(AA23/AX9)*AY9)</f>
        <v>0</v>
      </c>
      <c r="K23" s="533">
        <f t="shared" si="6"/>
        <v>0</v>
      </c>
      <c r="L23" s="532">
        <f>IF(ISBLANK(AX9),(AD23/AS7)*AW9,(AD23/AX9)*AY9)</f>
        <v>0.13200000000000001</v>
      </c>
      <c r="M23" s="3374">
        <f>IF(ISBLANK(AX10),(AA23/AS7)*AW10,(AA23/AX10)*AY10)</f>
        <v>0</v>
      </c>
      <c r="N23" s="533">
        <f t="shared" si="7"/>
        <v>0</v>
      </c>
      <c r="O23" s="532">
        <f>IF(ISBLANK(AX10),(AD23/AS7)*AW10,(AD23/AX10)*AY10)</f>
        <v>7.2000000000000008E-2</v>
      </c>
      <c r="P23" s="3374">
        <f>IF(ISBLANK(AX11),(AA23/AS7)*AW11,(AA23/AX11)*AY11)</f>
        <v>0</v>
      </c>
      <c r="Q23" s="533">
        <f t="shared" si="8"/>
        <v>0</v>
      </c>
      <c r="R23" s="532">
        <f>IF(ISBLANK(AX11),(AD23/AS7)*AW11,(AD23/AX11)*AY11)</f>
        <v>1.6E-2</v>
      </c>
      <c r="S23" s="3374">
        <f>IF(ISBLANK(AX12),(AA23/AS7)*AW12,(AA23/AX12)*AY12)</f>
        <v>0</v>
      </c>
      <c r="T23" s="533">
        <f t="shared" si="9"/>
        <v>0</v>
      </c>
      <c r="U23" s="532">
        <f>IF(ISBLANK(AX12),(AD23/AS7)*AW12,(AD23/AX12)*AY12)</f>
        <v>8.3999999999999995E-3</v>
      </c>
      <c r="V23" s="531">
        <f t="shared" si="10"/>
        <v>0.47290000000000004</v>
      </c>
      <c r="W23" s="530">
        <f t="shared" si="11"/>
        <v>0</v>
      </c>
      <c r="X23" s="529">
        <f t="shared" si="12"/>
        <v>0.47290000000000004</v>
      </c>
      <c r="Y23" s="4021"/>
      <c r="Z23" s="515"/>
      <c r="AA23" s="545"/>
      <c r="AB23" s="544"/>
      <c r="AC23" s="543">
        <v>0.02</v>
      </c>
      <c r="AD23" s="542">
        <f t="shared" si="13"/>
        <v>0.02</v>
      </c>
      <c r="AE23" s="541"/>
      <c r="AF23" s="523" t="s">
        <v>744</v>
      </c>
      <c r="AG23" s="522"/>
      <c r="AH23" s="540">
        <f>IF(ISBLANK(AH9),(AA23/AD10)*AJ7,(AA23/AH9)*AI9)</f>
        <v>0</v>
      </c>
      <c r="AI23" s="539">
        <f t="shared" si="14"/>
        <v>0</v>
      </c>
      <c r="AJ23" s="538">
        <f>IF(ISBLANK(AH9),(AD23/AD10)*AJ7,(AD23/AH9)*AI9)</f>
        <v>0.28301886792452829</v>
      </c>
      <c r="AK23" s="518"/>
      <c r="AL23" s="537">
        <f t="shared" si="15"/>
        <v>0.28301886792452829</v>
      </c>
      <c r="AM23" s="516">
        <v>1</v>
      </c>
      <c r="AN23" s="372">
        <f t="shared" si="16"/>
        <v>0.28301886792452829</v>
      </c>
      <c r="AO23" s="3926"/>
      <c r="AP23" s="515"/>
      <c r="AQ23" s="378"/>
      <c r="AR23" s="609"/>
      <c r="AS23" s="631">
        <f>AB10</f>
        <v>10</v>
      </c>
      <c r="AT23" s="630">
        <v>14</v>
      </c>
      <c r="AU23" s="308">
        <v>35</v>
      </c>
      <c r="AV23" s="485">
        <f>IF(AT23=0,0,((AT23-(AT23*AU23%))))</f>
        <v>9.1000000000000014</v>
      </c>
      <c r="AW23" s="286">
        <f>IF(ISBLANK(AS23),0,(AT23/AS23)*1000)</f>
        <v>1400</v>
      </c>
      <c r="AX23" s="286">
        <f>IF(ISBLANK(AS23),0,(AV23/AS23)*1000)</f>
        <v>910.00000000000011</v>
      </c>
      <c r="AY23" s="3695" t="s">
        <v>242</v>
      </c>
      <c r="AZ23" s="3696"/>
      <c r="BA23" s="378"/>
      <c r="BB23" s="378"/>
      <c r="BC23" s="378"/>
      <c r="BD23" s="378"/>
      <c r="BE23" s="171"/>
      <c r="BF23" s="172" t="s">
        <v>241</v>
      </c>
      <c r="BG23" s="581" t="str">
        <f>ADDRESS(ROW(AB10),COLUMN(AB10),4)</f>
        <v>AB10</v>
      </c>
      <c r="BH23" s="378"/>
      <c r="BI23" s="3610"/>
      <c r="BJ23" s="3611"/>
      <c r="BK23" s="3612"/>
      <c r="BL23" s="356"/>
      <c r="BM23" s="381">
        <v>15</v>
      </c>
    </row>
    <row r="24" spans="1:65" ht="15" customHeight="1">
      <c r="A24" s="3862"/>
      <c r="B24" s="551" t="str">
        <f t="shared" si="3"/>
        <v>pettits oignons</v>
      </c>
      <c r="C24" s="546"/>
      <c r="D24" s="3374">
        <f>IF(ISBLANK(AX7),(AA24/AS7)*AW7,(AA24/AX7)*AY7)</f>
        <v>0</v>
      </c>
      <c r="E24" s="533">
        <f t="shared" si="4"/>
        <v>0</v>
      </c>
      <c r="F24" s="532">
        <f>IF(ISBLANK(AX7),(AD24/AS7)*AW7,(AD24/AX7)*AY7)</f>
        <v>0.46875</v>
      </c>
      <c r="G24" s="3374">
        <f>IF(ISBLANK(AX8),(AA24/AS7)*AW8,(AA24/AX8)*AY8)</f>
        <v>0</v>
      </c>
      <c r="H24" s="533">
        <f t="shared" si="5"/>
        <v>0</v>
      </c>
      <c r="I24" s="532">
        <f>IF(ISBLANK(AX8),(AD24/AS7)*AW8,(AD24/AX8)*AY8)</f>
        <v>1.365</v>
      </c>
      <c r="J24" s="3374">
        <f>IF(ISBLANK(AX9),(AA24/AS7)*AW9,(AA24/AX9)*AY9)</f>
        <v>0</v>
      </c>
      <c r="K24" s="533">
        <f t="shared" si="6"/>
        <v>0</v>
      </c>
      <c r="L24" s="532">
        <f>IF(ISBLANK(AX9),(AD24/AS7)*AW9,(AD24/AX9)*AY9)</f>
        <v>0.98999999999999988</v>
      </c>
      <c r="M24" s="3374">
        <f>IF(ISBLANK(AX10),(AA24/AS7)*AW10,(AA24/AX10)*AY10)</f>
        <v>0</v>
      </c>
      <c r="N24" s="533">
        <f t="shared" si="7"/>
        <v>0</v>
      </c>
      <c r="O24" s="532">
        <f>IF(ISBLANK(AX10),(AD24/AS7)*AW10,(AD24/AX10)*AY10)</f>
        <v>0.54</v>
      </c>
      <c r="P24" s="3374">
        <f>IF(ISBLANK(AX11),(AA24/AS7)*AW11,(AA24/AX11)*AY11)</f>
        <v>0</v>
      </c>
      <c r="Q24" s="533">
        <f t="shared" si="8"/>
        <v>0</v>
      </c>
      <c r="R24" s="532">
        <f>IF(ISBLANK(AX11),(AD24/AS7)*AW11,(AD24/AX11)*AY11)</f>
        <v>0.12</v>
      </c>
      <c r="S24" s="3374">
        <f>IF(ISBLANK(AX12),(AA24/AS7)*AW12,(AA24/AX12)*AY12)</f>
        <v>0</v>
      </c>
      <c r="T24" s="533">
        <f t="shared" si="9"/>
        <v>0</v>
      </c>
      <c r="U24" s="532">
        <f>IF(ISBLANK(AX12),(AD24/AS7)*AW12,(AD24/AX12)*AY12)</f>
        <v>6.3E-2</v>
      </c>
      <c r="V24" s="531">
        <f t="shared" si="10"/>
        <v>3.5467500000000003</v>
      </c>
      <c r="W24" s="530">
        <f t="shared" si="11"/>
        <v>0</v>
      </c>
      <c r="X24" s="529">
        <f t="shared" si="12"/>
        <v>3.5467500000000003</v>
      </c>
      <c r="Y24" s="4021"/>
      <c r="Z24" s="515"/>
      <c r="AA24" s="528"/>
      <c r="AB24" s="527"/>
      <c r="AC24" s="526">
        <v>0.15</v>
      </c>
      <c r="AD24" s="525">
        <f t="shared" si="13"/>
        <v>0.15</v>
      </c>
      <c r="AE24" s="524"/>
      <c r="AF24" s="523" t="s">
        <v>748</v>
      </c>
      <c r="AG24" s="522"/>
      <c r="AH24" s="521">
        <f>IF(ISBLANK(AH9),(AA24/AD10)*AJ7,(AA24/AH9)*AI9)</f>
        <v>0</v>
      </c>
      <c r="AI24" s="520">
        <f t="shared" si="14"/>
        <v>0</v>
      </c>
      <c r="AJ24" s="519">
        <f>IF(ISBLANK(AH9),(AD24/AD10)*AJ7,(AD24/AH9)*AI9)</f>
        <v>2.1226415094339623</v>
      </c>
      <c r="AK24" s="518"/>
      <c r="AL24" s="517">
        <f t="shared" si="15"/>
        <v>2.1226415094339623</v>
      </c>
      <c r="AM24" s="516">
        <v>1</v>
      </c>
      <c r="AN24" s="372">
        <f t="shared" si="16"/>
        <v>2.1226415094339623</v>
      </c>
      <c r="AO24" s="3926"/>
      <c r="AP24" s="515"/>
      <c r="AQ24" s="378"/>
      <c r="AR24" s="609"/>
      <c r="AS24" s="629"/>
      <c r="AU24" s="628"/>
      <c r="AV24" s="628"/>
      <c r="AX24" s="378"/>
      <c r="AY24" s="3695"/>
      <c r="AZ24" s="3696"/>
      <c r="BA24" s="378"/>
      <c r="BB24" s="378"/>
      <c r="BC24" s="378"/>
      <c r="BD24" s="378"/>
      <c r="BE24" s="3379"/>
      <c r="BF24" s="3378"/>
      <c r="BG24" s="3377"/>
      <c r="BH24" s="378"/>
      <c r="BI24" s="3891" t="s">
        <v>176</v>
      </c>
      <c r="BJ24" s="3892"/>
      <c r="BK24" s="3893"/>
      <c r="BL24" s="356"/>
      <c r="BM24" s="381">
        <v>15</v>
      </c>
    </row>
    <row r="25" spans="1:65" ht="15" customHeight="1">
      <c r="A25" s="3862"/>
      <c r="B25" s="551">
        <f t="shared" si="3"/>
        <v>0</v>
      </c>
      <c r="C25" s="546"/>
      <c r="D25" s="3374">
        <f>IF(ISBLANK(AX7),(AA25/AS7)*AW7,(AA25/AX7)*AY7)</f>
        <v>0</v>
      </c>
      <c r="E25" s="533">
        <f t="shared" si="4"/>
        <v>0</v>
      </c>
      <c r="F25" s="532">
        <f>IF(ISBLANK(AX7),(AD25/AS7)*AW7,(AD25/AX7)*AY7)</f>
        <v>0</v>
      </c>
      <c r="G25" s="3374">
        <f>IF(ISBLANK(AX8),(AA25/AS7)*AW8,(AA25/AX8)*AY8)</f>
        <v>0</v>
      </c>
      <c r="H25" s="533">
        <f t="shared" si="5"/>
        <v>0</v>
      </c>
      <c r="I25" s="532">
        <f>IF(ISBLANK(AX8),(AD25/AS7)*AW8,(AD25/AX8)*AY8)</f>
        <v>0</v>
      </c>
      <c r="J25" s="3374">
        <f>IF(ISBLANK(AX9),(AA25/AS7)*AW9,(AA25/AX9)*AY9)</f>
        <v>0</v>
      </c>
      <c r="K25" s="533">
        <f t="shared" si="6"/>
        <v>0</v>
      </c>
      <c r="L25" s="532">
        <f>IF(ISBLANK(AX9),(AD25/AS7)*AW9,(AD25/AX9)*AY9)</f>
        <v>0</v>
      </c>
      <c r="M25" s="3374">
        <f>IF(ISBLANK(AX10),(AA25/AS7)*AW10,(AA25/AX10)*AY10)</f>
        <v>0</v>
      </c>
      <c r="N25" s="533">
        <f t="shared" si="7"/>
        <v>0</v>
      </c>
      <c r="O25" s="532">
        <f>IF(ISBLANK(AX10),(AD25/AS7)*AW10,(AD25/AX10)*AY10)</f>
        <v>0</v>
      </c>
      <c r="P25" s="3374">
        <f>IF(ISBLANK(AX11),(AA25/AS7)*AW11,(AA25/AX11)*AY11)</f>
        <v>0</v>
      </c>
      <c r="Q25" s="533">
        <f t="shared" si="8"/>
        <v>0</v>
      </c>
      <c r="R25" s="532">
        <f>IF(ISBLANK(AX11),(AD25/AS7)*AW11,(AD25/AX11)*AY11)</f>
        <v>0</v>
      </c>
      <c r="S25" s="3374">
        <f>IF(ISBLANK(AX12),(AA25/AS7)*AW12,(AA25/AX12)*AY12)</f>
        <v>0</v>
      </c>
      <c r="T25" s="533">
        <f t="shared" si="9"/>
        <v>0</v>
      </c>
      <c r="U25" s="532">
        <f>IF(ISBLANK(AX12),(AD25/AS7)*AW12,(AD25/AX12)*AY12)</f>
        <v>0</v>
      </c>
      <c r="V25" s="531">
        <f t="shared" si="10"/>
        <v>0</v>
      </c>
      <c r="W25" s="530">
        <f t="shared" si="11"/>
        <v>0</v>
      </c>
      <c r="X25" s="529">
        <f t="shared" si="12"/>
        <v>0</v>
      </c>
      <c r="Y25" s="4021"/>
      <c r="Z25" s="515"/>
      <c r="AA25" s="545"/>
      <c r="AB25" s="544"/>
      <c r="AC25" s="543"/>
      <c r="AD25" s="542">
        <f t="shared" si="13"/>
        <v>0</v>
      </c>
      <c r="AE25" s="541"/>
      <c r="AF25" s="523"/>
      <c r="AG25" s="522"/>
      <c r="AH25" s="540">
        <f>IF(ISBLANK(AH9),(AA25/AD10)*AJ7,(AA25/AH9)*AI9)</f>
        <v>0</v>
      </c>
      <c r="AI25" s="539">
        <f t="shared" si="14"/>
        <v>0</v>
      </c>
      <c r="AJ25" s="538">
        <f>IF(ISBLANK(AH9),(AD25/AD10)*AJ7,(AD25/AH9)*AI9)</f>
        <v>0</v>
      </c>
      <c r="AK25" s="518"/>
      <c r="AL25" s="537">
        <f t="shared" si="15"/>
        <v>0</v>
      </c>
      <c r="AM25" s="516"/>
      <c r="AN25" s="372">
        <f t="shared" si="16"/>
        <v>0</v>
      </c>
      <c r="AO25" s="3926"/>
      <c r="AP25" s="515"/>
      <c r="AQ25" s="378"/>
      <c r="AR25" s="609"/>
      <c r="AS25" s="624" t="s">
        <v>240</v>
      </c>
      <c r="AT25" s="623">
        <f>(AT23/AX23)*AX25</f>
        <v>1.8461538461538458</v>
      </c>
      <c r="AU25" s="622"/>
      <c r="AW25" s="286">
        <f>(AW23/AX23)*AX25</f>
        <v>184.61538461538458</v>
      </c>
      <c r="AX25" s="621">
        <v>120</v>
      </c>
      <c r="AY25" s="620" t="s">
        <v>223</v>
      </c>
      <c r="AZ25" s="619"/>
      <c r="BA25" s="378"/>
      <c r="BB25" s="378"/>
      <c r="BC25" s="378"/>
      <c r="BD25" s="378"/>
      <c r="BE25" s="3894" t="s">
        <v>239</v>
      </c>
      <c r="BF25" s="4030"/>
      <c r="BG25" s="4031"/>
      <c r="BH25" s="378"/>
      <c r="BI25" s="3891"/>
      <c r="BJ25" s="3892"/>
      <c r="BK25" s="3893"/>
      <c r="BL25" s="356"/>
      <c r="BM25" s="381">
        <v>15</v>
      </c>
    </row>
    <row r="26" spans="1:65" ht="15" customHeight="1">
      <c r="A26" s="3862"/>
      <c r="B26" s="551" t="str">
        <f t="shared" si="3"/>
        <v>farine</v>
      </c>
      <c r="C26" s="546"/>
      <c r="D26" s="3374">
        <f>IF(ISBLANK(AX7),(AA26/AS7)*AW7,(AA26/AX7)*AY7)</f>
        <v>0</v>
      </c>
      <c r="E26" s="533">
        <f t="shared" si="4"/>
        <v>0</v>
      </c>
      <c r="F26" s="532">
        <f>IF(ISBLANK(AX7),(AD26/AS7)*AW7,(AD26/AX7)*AY7)</f>
        <v>0.15625</v>
      </c>
      <c r="G26" s="3374">
        <f>IF(ISBLANK(AX8),(AA26/AS7)*AW8,(AA26/AX8)*AY8)</f>
        <v>0</v>
      </c>
      <c r="H26" s="533">
        <f t="shared" si="5"/>
        <v>0</v>
      </c>
      <c r="I26" s="532">
        <f>IF(ISBLANK(AX8),(AD26/AS7)*AW8,(AD26/AX8)*AY8)</f>
        <v>0.45500000000000002</v>
      </c>
      <c r="J26" s="3374">
        <f>IF(ISBLANK(AX9),(AA26/AS7)*AW9,(AA26/AX9)*AY9)</f>
        <v>0</v>
      </c>
      <c r="K26" s="533">
        <f t="shared" si="6"/>
        <v>0</v>
      </c>
      <c r="L26" s="532">
        <f>IF(ISBLANK(AX9),(AD26/AS7)*AW9,(AD26/AX9)*AY9)</f>
        <v>0.33</v>
      </c>
      <c r="M26" s="3374">
        <f>IF(ISBLANK(AX10),(AA26/AS7)*AW10,(AA26/AX10)*AY10)</f>
        <v>0</v>
      </c>
      <c r="N26" s="533">
        <f t="shared" si="7"/>
        <v>0</v>
      </c>
      <c r="O26" s="532">
        <f>IF(ISBLANK(AX10),(AD26/AS7)*AW10,(AD26/AX10)*AY10)</f>
        <v>0.18000000000000002</v>
      </c>
      <c r="P26" s="3374">
        <f>IF(ISBLANK(AX11),(AA26/AS7)*AW11,(AA26/AX11)*AY11)</f>
        <v>0</v>
      </c>
      <c r="Q26" s="533">
        <f t="shared" si="8"/>
        <v>0</v>
      </c>
      <c r="R26" s="532">
        <f>IF(ISBLANK(AX11),(AD26/AS7)*AW11,(AD26/AX11)*AY11)</f>
        <v>4.0000000000000008E-2</v>
      </c>
      <c r="S26" s="3374">
        <f>IF(ISBLANK(AX12),(AA26/AS7)*AW12,(AA26/AX12)*AY12)</f>
        <v>0</v>
      </c>
      <c r="T26" s="533">
        <f t="shared" si="9"/>
        <v>0</v>
      </c>
      <c r="U26" s="532">
        <f>IF(ISBLANK(AX12),(AD26/AS7)*AW12,(AD26/AX12)*AY12)</f>
        <v>2.1000000000000001E-2</v>
      </c>
      <c r="V26" s="531">
        <f t="shared" si="10"/>
        <v>1.18225</v>
      </c>
      <c r="W26" s="530">
        <f t="shared" si="11"/>
        <v>0</v>
      </c>
      <c r="X26" s="529">
        <f t="shared" si="12"/>
        <v>1.18225</v>
      </c>
      <c r="Y26" s="4021"/>
      <c r="Z26" s="515"/>
      <c r="AA26" s="528"/>
      <c r="AB26" s="527"/>
      <c r="AC26" s="526">
        <v>0.05</v>
      </c>
      <c r="AD26" s="525">
        <f t="shared" si="13"/>
        <v>0.05</v>
      </c>
      <c r="AE26" s="524"/>
      <c r="AF26" s="523" t="s">
        <v>762</v>
      </c>
      <c r="AG26" s="522"/>
      <c r="AH26" s="521">
        <f>IF(ISBLANK(AH9),(AA26/AD10)*AJ7,(AA26/AH9)*AI9)</f>
        <v>0</v>
      </c>
      <c r="AI26" s="520">
        <f t="shared" si="14"/>
        <v>0</v>
      </c>
      <c r="AJ26" s="519">
        <f>IF(ISBLANK(AH9),(AD26/AD10)*AJ7,(AD26/AH9)*AI9)</f>
        <v>0.70754716981132093</v>
      </c>
      <c r="AK26" s="518"/>
      <c r="AL26" s="517">
        <f t="shared" si="15"/>
        <v>0.70754716981132093</v>
      </c>
      <c r="AM26" s="516">
        <v>1</v>
      </c>
      <c r="AN26" s="372">
        <f t="shared" si="16"/>
        <v>0.70754716981132093</v>
      </c>
      <c r="AO26" s="3926"/>
      <c r="AP26" s="515"/>
      <c r="AQ26" s="378"/>
      <c r="AR26" s="618" t="s">
        <v>238</v>
      </c>
      <c r="AS26" s="617"/>
      <c r="AT26" s="617"/>
      <c r="AU26" s="617"/>
      <c r="AV26" s="617"/>
      <c r="AW26" s="617"/>
      <c r="AX26" s="617"/>
      <c r="AY26" s="617"/>
      <c r="AZ26" s="616"/>
      <c r="BA26" s="378"/>
      <c r="BB26" s="378"/>
      <c r="BC26" s="378"/>
      <c r="BD26" s="378"/>
      <c r="BE26" s="3897"/>
      <c r="BF26" s="3898"/>
      <c r="BG26" s="3899"/>
      <c r="BH26" s="378"/>
      <c r="BI26" s="3891"/>
      <c r="BJ26" s="3892"/>
      <c r="BK26" s="3893"/>
      <c r="BL26" s="356"/>
      <c r="BM26" s="381">
        <v>15</v>
      </c>
    </row>
    <row r="27" spans="1:65" ht="15" customHeight="1">
      <c r="A27" s="3862"/>
      <c r="B27" s="551" t="str">
        <f t="shared" si="3"/>
        <v>concentré de tomate</v>
      </c>
      <c r="C27" s="546"/>
      <c r="D27" s="3374">
        <f>IF(ISBLANK(AX7),(AA27/AS7)*AW7,(AA27/AX7)*AY7)</f>
        <v>0</v>
      </c>
      <c r="E27" s="533">
        <f t="shared" si="4"/>
        <v>0</v>
      </c>
      <c r="F27" s="532">
        <f>IF(ISBLANK(AX7),(AD27/AS7)*AW7,(AD27/AX7)*AY7)</f>
        <v>0.25</v>
      </c>
      <c r="G27" s="3374">
        <f>IF(ISBLANK(AX8),(AA27/AS7)*AW8,(AA27/AX8)*AY8)</f>
        <v>0</v>
      </c>
      <c r="H27" s="533">
        <f t="shared" si="5"/>
        <v>0</v>
      </c>
      <c r="I27" s="532">
        <f>IF(ISBLANK(AX8),(AD27/AS7)*AW8,(AD27/AX8)*AY8)</f>
        <v>0.72799999999999998</v>
      </c>
      <c r="J27" s="3374">
        <f>IF(ISBLANK(AX9),(AA27/AS7)*AW9,(AA27/AX9)*AY9)</f>
        <v>0</v>
      </c>
      <c r="K27" s="533">
        <f t="shared" si="6"/>
        <v>0</v>
      </c>
      <c r="L27" s="532">
        <f>IF(ISBLANK(AX9),(AD27/AS7)*AW9,(AD27/AX9)*AY9)</f>
        <v>0.52800000000000002</v>
      </c>
      <c r="M27" s="3374">
        <f>IF(ISBLANK(AX10),(AA27/AS7)*AW10,(AA27/AX10)*AY10)</f>
        <v>0</v>
      </c>
      <c r="N27" s="533">
        <f t="shared" si="7"/>
        <v>0</v>
      </c>
      <c r="O27" s="532">
        <f>IF(ISBLANK(AX10),(AD27/AS7)*AW10,(AD27/AX10)*AY10)</f>
        <v>0.28800000000000003</v>
      </c>
      <c r="P27" s="3374">
        <f>IF(ISBLANK(AX11),(AA27/AS7)*AW11,(AA27/AX11)*AY11)</f>
        <v>0</v>
      </c>
      <c r="Q27" s="533">
        <f t="shared" si="8"/>
        <v>0</v>
      </c>
      <c r="R27" s="532">
        <f>IF(ISBLANK(AX11),(AD27/AS7)*AW11,(AD27/AX11)*AY11)</f>
        <v>6.4000000000000001E-2</v>
      </c>
      <c r="S27" s="3374">
        <f>IF(ISBLANK(AX12),(AA27/AS7)*AW12,(AA27/AX12)*AY12)</f>
        <v>0</v>
      </c>
      <c r="T27" s="533">
        <f t="shared" si="9"/>
        <v>0</v>
      </c>
      <c r="U27" s="532">
        <f>IF(ISBLANK(AX12),(AD27/AS7)*AW12,(AD27/AX12)*AY12)</f>
        <v>3.3599999999999998E-2</v>
      </c>
      <c r="V27" s="531">
        <f t="shared" si="10"/>
        <v>1.8916000000000002</v>
      </c>
      <c r="W27" s="530">
        <f t="shared" si="11"/>
        <v>0</v>
      </c>
      <c r="X27" s="529">
        <f t="shared" si="12"/>
        <v>1.8916000000000002</v>
      </c>
      <c r="Y27" s="4021"/>
      <c r="Z27" s="515"/>
      <c r="AA27" s="545"/>
      <c r="AB27" s="544"/>
      <c r="AC27" s="543">
        <v>0.08</v>
      </c>
      <c r="AD27" s="542">
        <f t="shared" si="13"/>
        <v>0.08</v>
      </c>
      <c r="AE27" s="541"/>
      <c r="AF27" s="523" t="s">
        <v>754</v>
      </c>
      <c r="AG27" s="522"/>
      <c r="AH27" s="540">
        <f>IF(ISBLANK(AH9),(AA27/AD10)*AJ7,(AA27/AH9)*AI9)</f>
        <v>0</v>
      </c>
      <c r="AI27" s="539">
        <f t="shared" si="14"/>
        <v>0</v>
      </c>
      <c r="AJ27" s="538">
        <f>IF(ISBLANK(AH9),(AD27/AD10)*AJ7,(AD27/AH9)*AI9)</f>
        <v>1.1320754716981132</v>
      </c>
      <c r="AK27" s="518"/>
      <c r="AL27" s="537">
        <f t="shared" si="15"/>
        <v>1.1320754716981132</v>
      </c>
      <c r="AM27" s="516">
        <v>1</v>
      </c>
      <c r="AN27" s="372">
        <f t="shared" si="16"/>
        <v>1.1320754716981132</v>
      </c>
      <c r="AO27" s="3926"/>
      <c r="AP27" s="515"/>
      <c r="AQ27" s="378"/>
      <c r="AR27" s="615">
        <v>14</v>
      </c>
      <c r="AS27" s="378" t="s">
        <v>237</v>
      </c>
      <c r="AT27" s="378"/>
      <c r="AU27" s="378"/>
      <c r="AV27" s="378"/>
      <c r="AW27" s="378"/>
      <c r="AX27" s="378"/>
      <c r="AY27" s="378"/>
      <c r="AZ27" s="608"/>
      <c r="BA27" s="378"/>
      <c r="BB27" s="378"/>
      <c r="BC27" s="378"/>
      <c r="BD27" s="378"/>
      <c r="BE27" s="3625" t="s">
        <v>236</v>
      </c>
      <c r="BF27" s="3626"/>
      <c r="BG27" s="3627"/>
      <c r="BH27" s="378"/>
      <c r="BI27" s="3908" t="s">
        <v>235</v>
      </c>
      <c r="BJ27" s="3909"/>
      <c r="BK27" s="3910"/>
      <c r="BL27" s="356"/>
      <c r="BM27" s="381">
        <v>15</v>
      </c>
    </row>
    <row r="28" spans="1:65" ht="15" customHeight="1">
      <c r="A28" s="3862"/>
      <c r="B28" s="551">
        <f t="shared" si="3"/>
        <v>0</v>
      </c>
      <c r="C28" s="546"/>
      <c r="D28" s="3374">
        <f>IF(ISBLANK(AX7),(AA28/AS7)*AW7,(AA28/AX7)*AY7)</f>
        <v>0</v>
      </c>
      <c r="E28" s="533">
        <f t="shared" si="4"/>
        <v>0</v>
      </c>
      <c r="F28" s="532">
        <f>IF(ISBLANK(AX7),(AD28/AS7)*AW7,(AD28/AX7)*AY7)</f>
        <v>0</v>
      </c>
      <c r="G28" s="3374">
        <f>IF(ISBLANK(AX8),(AA28/AS7)*AW8,(AA28/AX8)*AY8)</f>
        <v>0</v>
      </c>
      <c r="H28" s="533">
        <f t="shared" si="5"/>
        <v>0</v>
      </c>
      <c r="I28" s="532">
        <f>IF(ISBLANK(AX8),(AD28/AS7)*AW8,(AD28/AX8)*AY8)</f>
        <v>0</v>
      </c>
      <c r="J28" s="3374">
        <f>IF(ISBLANK(AX9),(AA28/AS7)*AW9,(AA28/AX9)*AY9)</f>
        <v>0</v>
      </c>
      <c r="K28" s="533">
        <f t="shared" si="6"/>
        <v>0</v>
      </c>
      <c r="L28" s="532">
        <f>IF(ISBLANK(AX9),(AD28/AS7)*AW9,(AD28/AX9)*AY9)</f>
        <v>0</v>
      </c>
      <c r="M28" s="3374">
        <f>IF(ISBLANK(AX10),(AA28/AS7)*AW10,(AA28/AX10)*AY10)</f>
        <v>0</v>
      </c>
      <c r="N28" s="533">
        <f t="shared" si="7"/>
        <v>0</v>
      </c>
      <c r="O28" s="532">
        <f>IF(ISBLANK(AX10),(AD28/AS7)*AW10,(AD28/AX10)*AY10)</f>
        <v>0</v>
      </c>
      <c r="P28" s="3374">
        <f>IF(ISBLANK(AX11),(AA28/AS7)*AW11,(AA28/AX11)*AY11)</f>
        <v>0</v>
      </c>
      <c r="Q28" s="533">
        <f t="shared" si="8"/>
        <v>0</v>
      </c>
      <c r="R28" s="532">
        <f>IF(ISBLANK(AX11),(AD28/AS7)*AW11,(AD28/AX11)*AY11)</f>
        <v>0</v>
      </c>
      <c r="S28" s="3374">
        <f>IF(ISBLANK(AX12),(AA28/AS7)*AW12,(AA28/AX12)*AY12)</f>
        <v>0</v>
      </c>
      <c r="T28" s="533">
        <f t="shared" si="9"/>
        <v>0</v>
      </c>
      <c r="U28" s="532">
        <f>IF(ISBLANK(AX12),(AD28/AS7)*AW12,(AD28/AX12)*AY12)</f>
        <v>0</v>
      </c>
      <c r="V28" s="531">
        <f t="shared" si="10"/>
        <v>0</v>
      </c>
      <c r="W28" s="530">
        <f t="shared" si="11"/>
        <v>0</v>
      </c>
      <c r="X28" s="529">
        <f t="shared" si="12"/>
        <v>0</v>
      </c>
      <c r="Y28" s="4021"/>
      <c r="Z28" s="515"/>
      <c r="AA28" s="528"/>
      <c r="AB28" s="527"/>
      <c r="AC28" s="526"/>
      <c r="AD28" s="525">
        <f t="shared" si="13"/>
        <v>0</v>
      </c>
      <c r="AE28" s="524"/>
      <c r="AF28" s="523"/>
      <c r="AG28" s="522"/>
      <c r="AH28" s="521">
        <f>IF(ISBLANK(AH9),(AA28/AD10)*AJ7,(AA28/AH9)*AI9)</f>
        <v>0</v>
      </c>
      <c r="AI28" s="520">
        <f t="shared" si="14"/>
        <v>0</v>
      </c>
      <c r="AJ28" s="519">
        <f>IF(ISBLANK(AH9),(AD28/AD10)*AJ7,(AD28/AH9)*AI9)</f>
        <v>0</v>
      </c>
      <c r="AK28" s="518"/>
      <c r="AL28" s="517">
        <f t="shared" si="15"/>
        <v>0</v>
      </c>
      <c r="AM28" s="516"/>
      <c r="AN28" s="372">
        <f t="shared" si="16"/>
        <v>0</v>
      </c>
      <c r="AO28" s="3926"/>
      <c r="AP28" s="515"/>
      <c r="AQ28" s="378"/>
      <c r="AR28" s="609"/>
      <c r="AS28" s="378" t="s">
        <v>234</v>
      </c>
      <c r="AT28" s="378"/>
      <c r="AU28" s="378"/>
      <c r="AV28" s="378"/>
      <c r="AW28" s="378"/>
      <c r="AX28" s="378"/>
      <c r="AY28" s="378"/>
      <c r="AZ28" s="608"/>
      <c r="BA28" s="378"/>
      <c r="BB28" s="378"/>
      <c r="BC28" s="378"/>
      <c r="BD28" s="378"/>
      <c r="BE28" s="3625"/>
      <c r="BF28" s="3626"/>
      <c r="BG28" s="3627"/>
      <c r="BH28" s="378"/>
      <c r="BI28" s="3908"/>
      <c r="BJ28" s="3909"/>
      <c r="BK28" s="3910"/>
      <c r="BL28" s="356"/>
      <c r="BM28" s="381">
        <v>15</v>
      </c>
    </row>
    <row r="29" spans="1:65" ht="15" customHeight="1">
      <c r="A29" s="3862"/>
      <c r="B29" s="551">
        <f t="shared" si="3"/>
        <v>0</v>
      </c>
      <c r="C29" s="546"/>
      <c r="D29" s="3374">
        <f>IF(ISBLANK(AX7),(AA29/AS7)*AW7,(AA29/AX7)*AY7)</f>
        <v>0</v>
      </c>
      <c r="E29" s="533">
        <f t="shared" si="4"/>
        <v>0</v>
      </c>
      <c r="F29" s="532">
        <f>IF(ISBLANK(AX7),(AD29/AS7)*AW7,(AD29/AX7)*AY7)</f>
        <v>0</v>
      </c>
      <c r="G29" s="3374">
        <f>IF(ISBLANK(AX8),(AA29/AS7)*AW8,(AA29/AX8)*AY8)</f>
        <v>0</v>
      </c>
      <c r="H29" s="533">
        <f t="shared" si="5"/>
        <v>0</v>
      </c>
      <c r="I29" s="532">
        <f>IF(ISBLANK(AX8),(AD29/AS7)*AW8,(AD29/AX8)*AY8)</f>
        <v>0</v>
      </c>
      <c r="J29" s="3374">
        <f>IF(ISBLANK(AX9),(AA29/AS7)*AW9,(AA29/AX9)*AY9)</f>
        <v>0</v>
      </c>
      <c r="K29" s="533">
        <f t="shared" si="6"/>
        <v>0</v>
      </c>
      <c r="L29" s="532">
        <f>IF(ISBLANK(AX9),(AD29/AS7)*AW9,(AD29/AX9)*AY9)</f>
        <v>0</v>
      </c>
      <c r="M29" s="3374">
        <f>IF(ISBLANK(AX10),(AA29/AS7)*AW10,(AA29/AX10)*AY10)</f>
        <v>0</v>
      </c>
      <c r="N29" s="533">
        <f t="shared" si="7"/>
        <v>0</v>
      </c>
      <c r="O29" s="532">
        <f>IF(ISBLANK(AX10),(AD29/AS7)*AW10,(AD29/AX10)*AY10)</f>
        <v>0</v>
      </c>
      <c r="P29" s="3374">
        <f>IF(ISBLANK(AX11),(AA29/AS7)*AW11,(AA29/AX11)*AY11)</f>
        <v>0</v>
      </c>
      <c r="Q29" s="533">
        <f t="shared" si="8"/>
        <v>0</v>
      </c>
      <c r="R29" s="532">
        <f>IF(ISBLANK(AX11),(AD29/AS7)*AW11,(AD29/AX11)*AY11)</f>
        <v>0</v>
      </c>
      <c r="S29" s="3374">
        <f>IF(ISBLANK(AX12),(AA29/AS7)*AW12,(AA29/AX12)*AY12)</f>
        <v>0</v>
      </c>
      <c r="T29" s="533">
        <f t="shared" si="9"/>
        <v>0</v>
      </c>
      <c r="U29" s="532">
        <f>IF(ISBLANK(AX12),(AD29/AS7)*AW12,(AD29/AX12)*AY12)</f>
        <v>0</v>
      </c>
      <c r="V29" s="531">
        <f t="shared" si="10"/>
        <v>0</v>
      </c>
      <c r="W29" s="530">
        <f t="shared" si="11"/>
        <v>0</v>
      </c>
      <c r="X29" s="529">
        <f t="shared" si="12"/>
        <v>0</v>
      </c>
      <c r="Y29" s="4021"/>
      <c r="Z29" s="515"/>
      <c r="AA29" s="545"/>
      <c r="AB29" s="544"/>
      <c r="AC29" s="543"/>
      <c r="AD29" s="542">
        <f t="shared" si="13"/>
        <v>0</v>
      </c>
      <c r="AE29" s="541"/>
      <c r="AF29" s="523"/>
      <c r="AG29" s="522"/>
      <c r="AH29" s="540">
        <f>IF(ISBLANK(AH9),(AA29/AD10)*AJ7,(AA29/AH9)*AI9)</f>
        <v>0</v>
      </c>
      <c r="AI29" s="539">
        <f t="shared" si="14"/>
        <v>0</v>
      </c>
      <c r="AJ29" s="538">
        <f>IF(ISBLANK(AH9),(AD29/AD10)*AJ7,(AD29/AH9)*AI9)</f>
        <v>0</v>
      </c>
      <c r="AK29" s="518"/>
      <c r="AL29" s="537">
        <f t="shared" si="15"/>
        <v>0</v>
      </c>
      <c r="AM29" s="516"/>
      <c r="AN29" s="372">
        <f t="shared" si="16"/>
        <v>0</v>
      </c>
      <c r="AO29" s="3926"/>
      <c r="AP29" s="515"/>
      <c r="AQ29" s="378"/>
      <c r="AR29" s="609"/>
      <c r="AS29" s="378" t="s">
        <v>233</v>
      </c>
      <c r="AT29" s="378"/>
      <c r="AU29" s="378"/>
      <c r="AV29" s="378"/>
      <c r="AW29" s="378"/>
      <c r="AX29" s="378"/>
      <c r="AY29" s="378"/>
      <c r="AZ29" s="608"/>
      <c r="BA29" s="378"/>
      <c r="BB29" s="378"/>
      <c r="BC29" s="378"/>
      <c r="BD29" s="378"/>
      <c r="BE29" s="3625"/>
      <c r="BF29" s="3626"/>
      <c r="BG29" s="3627"/>
      <c r="BH29" s="378"/>
      <c r="BI29" s="3908"/>
      <c r="BJ29" s="3909"/>
      <c r="BK29" s="3910"/>
      <c r="BL29" s="356"/>
      <c r="BM29" s="381">
        <v>15</v>
      </c>
    </row>
    <row r="30" spans="1:65" ht="15" customHeight="1" thickBot="1">
      <c r="A30" s="3862"/>
      <c r="B30" s="551">
        <f t="shared" si="3"/>
        <v>0</v>
      </c>
      <c r="C30" s="546"/>
      <c r="D30" s="3374">
        <f>IF(ISBLANK(AX7),(AA30/AS7)*AW7,(AA30/AX7)*AY7)</f>
        <v>0</v>
      </c>
      <c r="E30" s="533">
        <f t="shared" si="4"/>
        <v>0</v>
      </c>
      <c r="F30" s="532">
        <f>IF(ISBLANK(AX7),(AD30/AS7)*AW7,(AD30/AX7)*AY7)</f>
        <v>0</v>
      </c>
      <c r="G30" s="3374">
        <f>IF(ISBLANK(AX8),(AA30/AS7)*AW8,(AA30/AX8)*AY8)</f>
        <v>0</v>
      </c>
      <c r="H30" s="533">
        <f t="shared" si="5"/>
        <v>0</v>
      </c>
      <c r="I30" s="532">
        <f>IF(ISBLANK(AX8),(AD30/AS7)*AW8,(AD30/AX8)*AY8)</f>
        <v>0</v>
      </c>
      <c r="J30" s="3374">
        <f>IF(ISBLANK(AX9),(AA30/AS7)*AW9,(AA30/AX9)*AY9)</f>
        <v>0</v>
      </c>
      <c r="K30" s="533">
        <f t="shared" si="6"/>
        <v>0</v>
      </c>
      <c r="L30" s="532">
        <f>IF(ISBLANK(AX9),(AD30/AS7)*AW9,(AD30/AX9)*AY9)</f>
        <v>0</v>
      </c>
      <c r="M30" s="3374">
        <f>IF(ISBLANK(AX10),(AA30/AS7)*AW10,(AA30/AX10)*AY10)</f>
        <v>0</v>
      </c>
      <c r="N30" s="533">
        <f t="shared" si="7"/>
        <v>0</v>
      </c>
      <c r="O30" s="532">
        <f>IF(ISBLANK(AX10),(AD30/AS7)*AW10,(AD30/AX10)*AY10)</f>
        <v>0</v>
      </c>
      <c r="P30" s="3374">
        <f>IF(ISBLANK(AX11),(AA30/AS7)*AW11,(AA30/AX11)*AY11)</f>
        <v>0</v>
      </c>
      <c r="Q30" s="533">
        <f t="shared" si="8"/>
        <v>0</v>
      </c>
      <c r="R30" s="532">
        <f>IF(ISBLANK(AX11),(AD30/AS7)*AW11,(AD30/AX11)*AY11)</f>
        <v>0</v>
      </c>
      <c r="S30" s="3374">
        <f>IF(ISBLANK(AX12),(AA30/AS7)*AW12,(AA30/AX12)*AY12)</f>
        <v>0</v>
      </c>
      <c r="T30" s="533">
        <f t="shared" si="9"/>
        <v>0</v>
      </c>
      <c r="U30" s="532">
        <f>IF(ISBLANK(AX12),(AD30/AS7)*AW12,(AD30/AX12)*AY12)</f>
        <v>0</v>
      </c>
      <c r="V30" s="531">
        <f t="shared" si="10"/>
        <v>0</v>
      </c>
      <c r="W30" s="530">
        <f t="shared" si="11"/>
        <v>0</v>
      </c>
      <c r="X30" s="529">
        <f t="shared" si="12"/>
        <v>0</v>
      </c>
      <c r="Y30" s="4021"/>
      <c r="Z30" s="515"/>
      <c r="AA30" s="528"/>
      <c r="AB30" s="527"/>
      <c r="AC30" s="526"/>
      <c r="AD30" s="525">
        <f t="shared" si="13"/>
        <v>0</v>
      </c>
      <c r="AE30" s="524"/>
      <c r="AF30" s="523"/>
      <c r="AG30" s="522"/>
      <c r="AH30" s="521">
        <f>IF(ISBLANK(AH9),(AA30/AD10)*AJ7,(AA30/AH9)*AI9)</f>
        <v>0</v>
      </c>
      <c r="AI30" s="520">
        <f t="shared" si="14"/>
        <v>0</v>
      </c>
      <c r="AJ30" s="519">
        <f>IF(ISBLANK(AH9),(AD30/AD10)*AJ7,(AD30/AH9)*AI9)</f>
        <v>0</v>
      </c>
      <c r="AK30" s="518"/>
      <c r="AL30" s="517">
        <f t="shared" si="15"/>
        <v>0</v>
      </c>
      <c r="AM30" s="516"/>
      <c r="AN30" s="372">
        <f t="shared" si="16"/>
        <v>0</v>
      </c>
      <c r="AO30" s="3926"/>
      <c r="AP30" s="515"/>
      <c r="AQ30" s="378"/>
      <c r="AR30" s="614" t="s">
        <v>232</v>
      </c>
      <c r="AS30" s="3938" t="s">
        <v>231</v>
      </c>
      <c r="AT30" s="3939" t="s">
        <v>230</v>
      </c>
      <c r="AU30" s="3265"/>
      <c r="AV30" s="3265"/>
      <c r="AW30" s="3265"/>
      <c r="AX30" s="3265"/>
      <c r="AY30" s="3265"/>
      <c r="AZ30" s="3264"/>
      <c r="BA30" s="378"/>
      <c r="BB30" s="378"/>
      <c r="BC30" s="378"/>
      <c r="BD30" s="378"/>
      <c r="BE30" s="583" t="s">
        <v>229</v>
      </c>
      <c r="BF30" s="611"/>
      <c r="BG30" s="610"/>
      <c r="BH30" s="378"/>
      <c r="BI30" s="3908"/>
      <c r="BJ30" s="3909"/>
      <c r="BK30" s="3910"/>
      <c r="BL30" s="356"/>
      <c r="BM30" s="381">
        <v>15</v>
      </c>
    </row>
    <row r="31" spans="1:65" ht="15" customHeight="1">
      <c r="A31" s="3862"/>
      <c r="B31" s="551">
        <f t="shared" si="3"/>
        <v>0</v>
      </c>
      <c r="C31" s="546"/>
      <c r="D31" s="3374">
        <f>IF(ISBLANK(AX7),(AA31/AS7)*AW7,(AA31/AX7)*AY7)</f>
        <v>0</v>
      </c>
      <c r="E31" s="533">
        <f t="shared" si="4"/>
        <v>0</v>
      </c>
      <c r="F31" s="532">
        <f>IF(ISBLANK(AX7),(AD31/AS7)*AW7,(AD31/AX7)*AY7)</f>
        <v>0</v>
      </c>
      <c r="G31" s="3374">
        <f>IF(ISBLANK(AX8),(AA31/AS7)*AW8,(AA31/AX8)*AY8)</f>
        <v>0</v>
      </c>
      <c r="H31" s="533">
        <f t="shared" si="5"/>
        <v>0</v>
      </c>
      <c r="I31" s="532">
        <f>IF(ISBLANK(AX8),(AD31/AS7)*AW8,(AD31/AX8)*AY8)</f>
        <v>0</v>
      </c>
      <c r="J31" s="3374">
        <f>IF(ISBLANK(AX9),(AA31/AS7)*AW9,(AA31/AX9)*AY9)</f>
        <v>0</v>
      </c>
      <c r="K31" s="533">
        <f t="shared" si="6"/>
        <v>0</v>
      </c>
      <c r="L31" s="532">
        <f>IF(ISBLANK(AX9),(AD31/AS7)*AW9,(AD31/AX9)*AY9)</f>
        <v>0</v>
      </c>
      <c r="M31" s="3374">
        <f>IF(ISBLANK(AX10),(AA31/AS7)*AW10,(AA31/AX10)*AY10)</f>
        <v>0</v>
      </c>
      <c r="N31" s="533">
        <f t="shared" si="7"/>
        <v>0</v>
      </c>
      <c r="O31" s="532">
        <f>IF(ISBLANK(AX10),(AD31/AS7)*AW10,(AD31/AX10)*AY10)</f>
        <v>0</v>
      </c>
      <c r="P31" s="3374">
        <f>IF(ISBLANK(AX11),(AA31/AS7)*AW11,(AA31/AX11)*AY11)</f>
        <v>0</v>
      </c>
      <c r="Q31" s="533">
        <f t="shared" si="8"/>
        <v>0</v>
      </c>
      <c r="R31" s="532">
        <f>IF(ISBLANK(AX11),(AD31/AS7)*AW11,(AD31/AX11)*AY11)</f>
        <v>0</v>
      </c>
      <c r="S31" s="3374">
        <f>IF(ISBLANK(AX12),(AA31/AS7)*AW12,(AA31/AX12)*AY12)</f>
        <v>0</v>
      </c>
      <c r="T31" s="533">
        <f t="shared" si="9"/>
        <v>0</v>
      </c>
      <c r="U31" s="532">
        <f>IF(ISBLANK(AX12),(AD31/AS7)*AW12,(AD31/AX12)*AY12)</f>
        <v>0</v>
      </c>
      <c r="V31" s="531">
        <f t="shared" si="10"/>
        <v>0</v>
      </c>
      <c r="W31" s="530">
        <f t="shared" si="11"/>
        <v>0</v>
      </c>
      <c r="X31" s="529">
        <f t="shared" si="12"/>
        <v>0</v>
      </c>
      <c r="Y31" s="4021"/>
      <c r="Z31" s="515"/>
      <c r="AA31" s="545"/>
      <c r="AB31" s="544"/>
      <c r="AC31" s="543"/>
      <c r="AD31" s="542">
        <f t="shared" si="13"/>
        <v>0</v>
      </c>
      <c r="AE31" s="541"/>
      <c r="AF31" s="523"/>
      <c r="AG31" s="522"/>
      <c r="AH31" s="540">
        <f>IF(ISBLANK(AH9),(AA31/AD10)*AJ7,(AA31/AH9)*AI9)</f>
        <v>0</v>
      </c>
      <c r="AI31" s="539">
        <f t="shared" si="14"/>
        <v>0</v>
      </c>
      <c r="AJ31" s="538">
        <f>IF(ISBLANK(AH9),(AD31/AD10)*AJ7,(AD31/AH9)*AI9)</f>
        <v>0</v>
      </c>
      <c r="AK31" s="518"/>
      <c r="AL31" s="537">
        <f t="shared" si="15"/>
        <v>0</v>
      </c>
      <c r="AM31" s="516"/>
      <c r="AN31" s="372">
        <f t="shared" si="16"/>
        <v>0</v>
      </c>
      <c r="AO31" s="3926"/>
      <c r="AP31" s="515"/>
      <c r="AQ31" s="378"/>
      <c r="AR31" s="609"/>
      <c r="AS31" s="3688"/>
      <c r="AT31" s="3690"/>
      <c r="AU31" s="378"/>
      <c r="AV31" s="378"/>
      <c r="AW31" s="378"/>
      <c r="AX31" s="378"/>
      <c r="AY31" s="378"/>
      <c r="AZ31" s="608"/>
      <c r="BA31" s="378"/>
      <c r="BB31" s="378"/>
      <c r="BC31" s="378"/>
      <c r="BD31" s="378"/>
      <c r="BE31" s="3628" t="s">
        <v>87</v>
      </c>
      <c r="BF31" s="3629"/>
      <c r="BG31" s="178" t="s">
        <v>88</v>
      </c>
      <c r="BH31" s="378"/>
      <c r="BI31" s="3908"/>
      <c r="BJ31" s="3909"/>
      <c r="BK31" s="3910"/>
      <c r="BL31" s="356"/>
      <c r="BM31" s="381">
        <v>15</v>
      </c>
    </row>
    <row r="32" spans="1:65" ht="15" customHeight="1" thickBot="1">
      <c r="A32" s="3862"/>
      <c r="B32" s="551">
        <f t="shared" si="3"/>
        <v>0</v>
      </c>
      <c r="C32" s="546"/>
      <c r="D32" s="3374">
        <f>IF(ISBLANK(AX7),(AA32/AS7)*AW7,(AA32/AX7)*AY7)</f>
        <v>0</v>
      </c>
      <c r="E32" s="533">
        <f t="shared" si="4"/>
        <v>0</v>
      </c>
      <c r="F32" s="532">
        <f>IF(ISBLANK(AX7),(AD32/AS7)*AW7,(AD32/AX7)*AY7)</f>
        <v>0</v>
      </c>
      <c r="G32" s="3374">
        <f>IF(ISBLANK(AX8),(AA32/AS7)*AW8,(AA32/AX8)*AY8)</f>
        <v>0</v>
      </c>
      <c r="H32" s="533">
        <f t="shared" si="5"/>
        <v>0</v>
      </c>
      <c r="I32" s="532">
        <f>IF(ISBLANK(AX8),(AD32/AS7)*AW8,(AD32/AX8)*AY8)</f>
        <v>0</v>
      </c>
      <c r="J32" s="3374">
        <f>IF(ISBLANK(AX9),(AA32/AS7)*AW9,(AA32/AX9)*AY9)</f>
        <v>0</v>
      </c>
      <c r="K32" s="533">
        <f t="shared" si="6"/>
        <v>0</v>
      </c>
      <c r="L32" s="532">
        <f>IF(ISBLANK(AX9),(AD32/AS7)*AW9,(AD32/AX9)*AY9)</f>
        <v>0</v>
      </c>
      <c r="M32" s="3374">
        <f>IF(ISBLANK(AX10),(AA32/AS7)*AW10,(AA32/AX10)*AY10)</f>
        <v>0</v>
      </c>
      <c r="N32" s="533">
        <f t="shared" si="7"/>
        <v>0</v>
      </c>
      <c r="O32" s="532">
        <f>IF(ISBLANK(AX10),(AD32/AS7)*AW10,(AD32/AX10)*AY10)</f>
        <v>0</v>
      </c>
      <c r="P32" s="3374">
        <f>IF(ISBLANK(AX11),(AA32/AS7)*AW11,(AA32/AX11)*AY11)</f>
        <v>0</v>
      </c>
      <c r="Q32" s="533">
        <f t="shared" si="8"/>
        <v>0</v>
      </c>
      <c r="R32" s="532">
        <f>IF(ISBLANK(AX11),(AD32/AS7)*AW11,(AD32/AX11)*AY11)</f>
        <v>0</v>
      </c>
      <c r="S32" s="3374">
        <f>IF(ISBLANK(AX12),(AA32/AS7)*AW12,(AA32/AX12)*AY12)</f>
        <v>0</v>
      </c>
      <c r="T32" s="533">
        <f t="shared" si="9"/>
        <v>0</v>
      </c>
      <c r="U32" s="532">
        <f>IF(ISBLANK(AX12),(AD32/AS7)*AW12,(AD32/AX12)*AY12)</f>
        <v>0</v>
      </c>
      <c r="V32" s="531">
        <f t="shared" si="10"/>
        <v>0</v>
      </c>
      <c r="W32" s="530">
        <f t="shared" si="11"/>
        <v>0</v>
      </c>
      <c r="X32" s="529">
        <f t="shared" si="12"/>
        <v>0</v>
      </c>
      <c r="Y32" s="4021"/>
      <c r="Z32" s="515"/>
      <c r="AA32" s="528"/>
      <c r="AB32" s="527"/>
      <c r="AC32" s="526"/>
      <c r="AD32" s="525">
        <f t="shared" si="13"/>
        <v>0</v>
      </c>
      <c r="AE32" s="524"/>
      <c r="AF32" s="523"/>
      <c r="AG32" s="522"/>
      <c r="AH32" s="521">
        <f>IF(ISBLANK(AH9),(AA32/AD10)*AJ7,(AA32/AH9)*AI9)</f>
        <v>0</v>
      </c>
      <c r="AI32" s="520">
        <f t="shared" si="14"/>
        <v>0</v>
      </c>
      <c r="AJ32" s="519">
        <f>IF(ISBLANK(AH9),(AD32/AD10)*AJ7,(AD32/AH9)*AI9)</f>
        <v>0</v>
      </c>
      <c r="AK32" s="518"/>
      <c r="AL32" s="517">
        <f t="shared" si="15"/>
        <v>0</v>
      </c>
      <c r="AM32" s="516"/>
      <c r="AN32" s="372">
        <f t="shared" si="16"/>
        <v>0</v>
      </c>
      <c r="AO32" s="3926"/>
      <c r="AP32" s="515"/>
      <c r="AQ32" s="378"/>
      <c r="AR32" s="3256"/>
      <c r="AS32" s="3263">
        <v>14</v>
      </c>
      <c r="AT32" s="3262">
        <v>18.46</v>
      </c>
      <c r="AU32" s="3261" t="s">
        <v>228</v>
      </c>
      <c r="AV32" s="3255"/>
      <c r="AW32" s="3255"/>
      <c r="AX32" s="3255"/>
      <c r="AY32" s="3255"/>
      <c r="AZ32" s="3260"/>
      <c r="BA32" s="378"/>
      <c r="BB32" s="378"/>
      <c r="BC32" s="378"/>
      <c r="BD32" s="378"/>
      <c r="BE32" s="3252"/>
      <c r="BF32" s="3376"/>
      <c r="BG32" s="3250" t="s">
        <v>89</v>
      </c>
      <c r="BH32" s="378"/>
      <c r="BI32" s="3908"/>
      <c r="BJ32" s="3909"/>
      <c r="BK32" s="3910"/>
      <c r="BL32" s="356"/>
      <c r="BM32" s="381">
        <v>15</v>
      </c>
    </row>
    <row r="33" spans="1:65" ht="15" customHeight="1" thickBot="1">
      <c r="A33" s="3862"/>
      <c r="B33" s="551">
        <f t="shared" si="3"/>
        <v>0</v>
      </c>
      <c r="C33" s="546"/>
      <c r="D33" s="3374">
        <f>IF(ISBLANK(AX7),(AA33/AS7)*AW7,(AA33/AX7)*AY7)</f>
        <v>0</v>
      </c>
      <c r="E33" s="533">
        <f t="shared" si="4"/>
        <v>0</v>
      </c>
      <c r="F33" s="532">
        <f>IF(ISBLANK(AX7),(AD33/AS7)*AW7,(AD33/AX7)*AY7)</f>
        <v>0</v>
      </c>
      <c r="G33" s="3374">
        <f>IF(ISBLANK(AX8),(AA33/AS7)*AW8,(AA33/AX8)*AY8)</f>
        <v>0</v>
      </c>
      <c r="H33" s="533">
        <f t="shared" si="5"/>
        <v>0</v>
      </c>
      <c r="I33" s="532">
        <f>IF(ISBLANK(AX8),(AD33/AS7)*AW8,(AD33/AX8)*AY8)</f>
        <v>0</v>
      </c>
      <c r="J33" s="3374">
        <f>IF(ISBLANK(AX9),(AA33/AS7)*AW9,(AA33/AX9)*AY9)</f>
        <v>0</v>
      </c>
      <c r="K33" s="533">
        <f t="shared" si="6"/>
        <v>0</v>
      </c>
      <c r="L33" s="532">
        <f>IF(ISBLANK(AX9),(AD33/AS7)*AW9,(AD33/AX9)*AY9)</f>
        <v>0</v>
      </c>
      <c r="M33" s="3374">
        <f>IF(ISBLANK(AX10),(AA33/AS7)*AW10,(AA33/AX10)*AY10)</f>
        <v>0</v>
      </c>
      <c r="N33" s="533">
        <f t="shared" si="7"/>
        <v>0</v>
      </c>
      <c r="O33" s="532">
        <f>IF(ISBLANK(AX10),(AD33/AS7)*AW10,(AD33/AX10)*AY10)</f>
        <v>0</v>
      </c>
      <c r="P33" s="3374">
        <f>IF(ISBLANK(AX11),(AA33/AS7)*AW11,(AA33/AX11)*AY11)</f>
        <v>0</v>
      </c>
      <c r="Q33" s="533">
        <f t="shared" si="8"/>
        <v>0</v>
      </c>
      <c r="R33" s="532">
        <f>IF(ISBLANK(AX11),(AD33/AS7)*AW11,(AD33/AX11)*AY11)</f>
        <v>0</v>
      </c>
      <c r="S33" s="3374">
        <f>IF(ISBLANK(AX12),(AA33/AS7)*AW12,(AA33/AX12)*AY12)</f>
        <v>0</v>
      </c>
      <c r="T33" s="533">
        <f t="shared" si="9"/>
        <v>0</v>
      </c>
      <c r="U33" s="532">
        <f>IF(ISBLANK(AX12),(AD33/AS7)*AW12,(AD33/AX12)*AY12)</f>
        <v>0</v>
      </c>
      <c r="V33" s="531">
        <f t="shared" si="10"/>
        <v>0</v>
      </c>
      <c r="W33" s="530">
        <f t="shared" si="11"/>
        <v>0</v>
      </c>
      <c r="X33" s="529">
        <f t="shared" si="12"/>
        <v>0</v>
      </c>
      <c r="Y33" s="4021"/>
      <c r="Z33" s="515"/>
      <c r="AA33" s="545"/>
      <c r="AB33" s="544"/>
      <c r="AC33" s="543"/>
      <c r="AD33" s="542">
        <f t="shared" si="13"/>
        <v>0</v>
      </c>
      <c r="AE33" s="541"/>
      <c r="AF33" s="523"/>
      <c r="AG33" s="522"/>
      <c r="AH33" s="540">
        <f>IF(ISBLANK(AH9),(AA33/AD10)*AJ7,(AA33/AH9)*AI9)</f>
        <v>0</v>
      </c>
      <c r="AI33" s="539">
        <f t="shared" si="14"/>
        <v>0</v>
      </c>
      <c r="AJ33" s="538">
        <f>IF(ISBLANK(AH9),(AD33/AD10)*AJ7,(AD33/AH9)*AI9)</f>
        <v>0</v>
      </c>
      <c r="AK33" s="518"/>
      <c r="AL33" s="537">
        <f t="shared" si="15"/>
        <v>0</v>
      </c>
      <c r="AM33" s="516"/>
      <c r="AN33" s="372">
        <f t="shared" si="16"/>
        <v>0</v>
      </c>
      <c r="AO33" s="3926"/>
      <c r="AP33" s="515"/>
      <c r="AQ33" s="378"/>
      <c r="BA33" s="378"/>
      <c r="BB33" s="378"/>
      <c r="BC33" s="378"/>
      <c r="BD33" s="378"/>
      <c r="BE33" s="3897" t="s">
        <v>90</v>
      </c>
      <c r="BF33" s="3898"/>
      <c r="BG33" s="3899"/>
      <c r="BH33" s="378"/>
      <c r="BI33" s="3908"/>
      <c r="BJ33" s="3909"/>
      <c r="BK33" s="3910"/>
      <c r="BL33" s="356"/>
      <c r="BM33" s="381">
        <v>15</v>
      </c>
    </row>
    <row r="34" spans="1:65" ht="15" customHeight="1">
      <c r="A34" s="3862"/>
      <c r="B34" s="551">
        <f t="shared" si="3"/>
        <v>0</v>
      </c>
      <c r="C34" s="546"/>
      <c r="D34" s="3374">
        <f>IF(ISBLANK(AX7),(AA34/AS7)*AW7,(AA34/AX7)*AY7)</f>
        <v>0</v>
      </c>
      <c r="E34" s="533">
        <f t="shared" si="4"/>
        <v>0</v>
      </c>
      <c r="F34" s="532">
        <f>IF(ISBLANK(AX7),(AD34/AS7)*AW7,(AD34/AX7)*AY7)</f>
        <v>0</v>
      </c>
      <c r="G34" s="3374">
        <f>IF(ISBLANK(AX8),(AA34/AS7)*AW8,(AA34/AX8)*AY8)</f>
        <v>0</v>
      </c>
      <c r="H34" s="533">
        <f t="shared" si="5"/>
        <v>0</v>
      </c>
      <c r="I34" s="532">
        <f>IF(ISBLANK(AX8),(AD34/AS7)*AW8,(AD34/AX8)*AY8)</f>
        <v>0</v>
      </c>
      <c r="J34" s="3374">
        <f>IF(ISBLANK(AX9),(AA34/AS7)*AW9,(AA34/AX9)*AY9)</f>
        <v>0</v>
      </c>
      <c r="K34" s="533">
        <f t="shared" si="6"/>
        <v>0</v>
      </c>
      <c r="L34" s="532">
        <f>IF(ISBLANK(AX9),(AD34/AS7)*AW9,(AD34/AX9)*AY9)</f>
        <v>0</v>
      </c>
      <c r="M34" s="3374">
        <f>IF(ISBLANK(AX10),(AA34/AS7)*AW10,(AA34/AX10)*AY10)</f>
        <v>0</v>
      </c>
      <c r="N34" s="533">
        <f t="shared" si="7"/>
        <v>0</v>
      </c>
      <c r="O34" s="532">
        <f>IF(ISBLANK(AX10),(AD34/AS7)*AW10,(AD34/AX10)*AY10)</f>
        <v>0</v>
      </c>
      <c r="P34" s="3374">
        <f>IF(ISBLANK(AX11),(AA34/AS7)*AW11,(AA34/AX11)*AY11)</f>
        <v>0</v>
      </c>
      <c r="Q34" s="533">
        <f t="shared" si="8"/>
        <v>0</v>
      </c>
      <c r="R34" s="532">
        <f>IF(ISBLANK(AX11),(AD34/AS7)*AW11,(AD34/AX11)*AY11)</f>
        <v>0</v>
      </c>
      <c r="S34" s="3374">
        <f>IF(ISBLANK(AX12),(AA34/AS7)*AW12,(AA34/AX12)*AY12)</f>
        <v>0</v>
      </c>
      <c r="T34" s="533">
        <f t="shared" si="9"/>
        <v>0</v>
      </c>
      <c r="U34" s="532">
        <f>IF(ISBLANK(AX12),(AD34/AS7)*AW12,(AD34/AX12)*AY12)</f>
        <v>0</v>
      </c>
      <c r="V34" s="531">
        <f t="shared" si="10"/>
        <v>0</v>
      </c>
      <c r="W34" s="530">
        <f t="shared" si="11"/>
        <v>0</v>
      </c>
      <c r="X34" s="529">
        <f t="shared" si="12"/>
        <v>0</v>
      </c>
      <c r="Y34" s="4021"/>
      <c r="Z34" s="515"/>
      <c r="AA34" s="528"/>
      <c r="AB34" s="527"/>
      <c r="AC34" s="526"/>
      <c r="AD34" s="525">
        <f t="shared" si="13"/>
        <v>0</v>
      </c>
      <c r="AE34" s="524"/>
      <c r="AF34" s="523"/>
      <c r="AG34" s="522"/>
      <c r="AH34" s="521">
        <f>IF(ISBLANK(AH9),(AA34/AD10)*AJ7,(AA34/AH9)*AI9)</f>
        <v>0</v>
      </c>
      <c r="AI34" s="520">
        <f t="shared" si="14"/>
        <v>0</v>
      </c>
      <c r="AJ34" s="519">
        <f>IF(ISBLANK(AH9),(AD34/AD10)*AJ7,(AD34/AH9)*AI9)</f>
        <v>0</v>
      </c>
      <c r="AK34" s="518"/>
      <c r="AL34" s="517">
        <f t="shared" si="15"/>
        <v>0</v>
      </c>
      <c r="AM34" s="516"/>
      <c r="AN34" s="372">
        <f t="shared" si="16"/>
        <v>0</v>
      </c>
      <c r="AO34" s="3926"/>
      <c r="AP34" s="515"/>
      <c r="AQ34" s="378"/>
      <c r="AR34" s="3691" t="s">
        <v>227</v>
      </c>
      <c r="AS34" s="4032"/>
      <c r="AT34" s="4032"/>
      <c r="AU34" s="4032"/>
      <c r="AV34" s="4032"/>
      <c r="AW34" s="4032"/>
      <c r="AX34" s="4032"/>
      <c r="AY34" s="4032"/>
      <c r="AZ34" s="4033"/>
      <c r="BA34" s="568"/>
      <c r="BB34" s="568"/>
      <c r="BC34" s="568"/>
      <c r="BD34" s="568"/>
      <c r="BE34" s="3897"/>
      <c r="BF34" s="3898"/>
      <c r="BG34" s="3899"/>
      <c r="BH34" s="378"/>
      <c r="BI34" s="3908"/>
      <c r="BJ34" s="3909"/>
      <c r="BK34" s="3910"/>
      <c r="BL34" s="356"/>
      <c r="BM34" s="381">
        <v>15</v>
      </c>
    </row>
    <row r="35" spans="1:65" ht="15" customHeight="1">
      <c r="A35" s="3862"/>
      <c r="B35" s="551">
        <f t="shared" si="3"/>
        <v>0</v>
      </c>
      <c r="C35" s="546"/>
      <c r="D35" s="3374">
        <f>IF(ISBLANK(AX7),(AA35/AS7)*AW7,(AA35/AX7)*AY7)</f>
        <v>0</v>
      </c>
      <c r="E35" s="533">
        <f t="shared" si="4"/>
        <v>0</v>
      </c>
      <c r="F35" s="532">
        <f>IF(ISBLANK(AX7),(AD35/AS7)*AW7,(AD35/AX7)*AY7)</f>
        <v>0</v>
      </c>
      <c r="G35" s="3374">
        <f>IF(ISBLANK(AX8),(AA35/AS7)*AW8,(AA35/AX8)*AY8)</f>
        <v>0</v>
      </c>
      <c r="H35" s="533">
        <f t="shared" si="5"/>
        <v>0</v>
      </c>
      <c r="I35" s="532">
        <f>IF(ISBLANK(AX8),(AD35/AS7)*AW8,(AD35/AX8)*AY8)</f>
        <v>0</v>
      </c>
      <c r="J35" s="3374">
        <f>IF(ISBLANK(AX9),(AA35/AS7)*AW9,(AA35/AX9)*AY9)</f>
        <v>0</v>
      </c>
      <c r="K35" s="533">
        <f t="shared" si="6"/>
        <v>0</v>
      </c>
      <c r="L35" s="532">
        <f>IF(ISBLANK(AX9),(AD35/AS7)*AW9,(AD35/AX9)*AY9)</f>
        <v>0</v>
      </c>
      <c r="M35" s="3374">
        <f>IF(ISBLANK(AX10),(AA35/AS7)*AW10,(AA35/AX10)*AY10)</f>
        <v>0</v>
      </c>
      <c r="N35" s="533">
        <f t="shared" si="7"/>
        <v>0</v>
      </c>
      <c r="O35" s="532">
        <f>IF(ISBLANK(AX10),(AD35/AS7)*AW10,(AD35/AX10)*AY10)</f>
        <v>0</v>
      </c>
      <c r="P35" s="3374">
        <f>IF(ISBLANK(AX11),(AA35/AS7)*AW11,(AA35/AX11)*AY11)</f>
        <v>0</v>
      </c>
      <c r="Q35" s="533">
        <f t="shared" si="8"/>
        <v>0</v>
      </c>
      <c r="R35" s="532">
        <f>IF(ISBLANK(AX11),(AD35/AS7)*AW11,(AD35/AX11)*AY11)</f>
        <v>0</v>
      </c>
      <c r="S35" s="3374">
        <f>IF(ISBLANK(AX12),(AA35/AS7)*AW12,(AA35/AX12)*AY12)</f>
        <v>0</v>
      </c>
      <c r="T35" s="533">
        <f t="shared" si="9"/>
        <v>0</v>
      </c>
      <c r="U35" s="532">
        <f>IF(ISBLANK(AX12),(AD35/AS7)*AW12,(AD35/AX12)*AY12)</f>
        <v>0</v>
      </c>
      <c r="V35" s="531">
        <f t="shared" si="10"/>
        <v>0</v>
      </c>
      <c r="W35" s="530">
        <f t="shared" si="11"/>
        <v>0</v>
      </c>
      <c r="X35" s="529">
        <f t="shared" si="12"/>
        <v>0</v>
      </c>
      <c r="Y35" s="4021"/>
      <c r="Z35" s="515"/>
      <c r="AA35" s="545"/>
      <c r="AB35" s="544"/>
      <c r="AC35" s="543"/>
      <c r="AD35" s="542">
        <f t="shared" si="13"/>
        <v>0</v>
      </c>
      <c r="AE35" s="541"/>
      <c r="AF35" s="523"/>
      <c r="AG35" s="522"/>
      <c r="AH35" s="540">
        <f>IF(ISBLANK(AH9),(AA35/AD10)*AJ7,(AA35/AH9)*AI9)</f>
        <v>0</v>
      </c>
      <c r="AI35" s="539">
        <f t="shared" si="14"/>
        <v>0</v>
      </c>
      <c r="AJ35" s="538">
        <f>IF(ISBLANK(AH9),(AD35/AD10)*AJ7,(AD35/AH9)*AI9)</f>
        <v>0</v>
      </c>
      <c r="AK35" s="518"/>
      <c r="AL35" s="537">
        <f t="shared" si="15"/>
        <v>0</v>
      </c>
      <c r="AM35" s="516"/>
      <c r="AN35" s="372">
        <f t="shared" si="16"/>
        <v>0</v>
      </c>
      <c r="AO35" s="3926"/>
      <c r="AP35" s="515"/>
      <c r="AQ35" s="378"/>
      <c r="AR35" s="600"/>
      <c r="AS35" s="579"/>
      <c r="AT35" s="579"/>
      <c r="AU35" s="579"/>
      <c r="AV35" s="579"/>
      <c r="AW35" s="579"/>
      <c r="AX35" s="579"/>
      <c r="AY35" s="579"/>
      <c r="AZ35" s="584"/>
      <c r="BA35" s="568"/>
      <c r="BB35" s="568"/>
      <c r="BC35" s="568"/>
      <c r="BD35" s="568"/>
      <c r="BE35" s="3901" t="s">
        <v>91</v>
      </c>
      <c r="BF35" s="3902"/>
      <c r="BG35" s="3903"/>
      <c r="BH35" s="378"/>
      <c r="BI35" s="3304" t="s">
        <v>102</v>
      </c>
      <c r="BJ35" s="3375"/>
      <c r="BK35" s="3302"/>
      <c r="BL35" s="356"/>
      <c r="BM35" s="381">
        <v>15</v>
      </c>
    </row>
    <row r="36" spans="1:65" ht="15" customHeight="1">
      <c r="A36" s="3862"/>
      <c r="B36" s="551">
        <f t="shared" si="3"/>
        <v>0</v>
      </c>
      <c r="C36" s="546"/>
      <c r="D36" s="3374">
        <f>IF(ISBLANK(AX7),(AA36/AS7)*AW7,(AA36/AX7)*AY7)</f>
        <v>0</v>
      </c>
      <c r="E36" s="533">
        <f t="shared" si="4"/>
        <v>0</v>
      </c>
      <c r="F36" s="532">
        <f>IF(ISBLANK(AX7),(AD36/AS7)*AW7,(AD36/AX7)*AY7)</f>
        <v>0</v>
      </c>
      <c r="G36" s="3374">
        <f>IF(ISBLANK(AX8),(AA36/AS7)*AW8,(AA36/AX8)*AY8)</f>
        <v>0</v>
      </c>
      <c r="H36" s="533">
        <f t="shared" si="5"/>
        <v>0</v>
      </c>
      <c r="I36" s="532">
        <f>IF(ISBLANK(AX8),(AD36/AS7)*AW8,(AD36/AX8)*AY8)</f>
        <v>0</v>
      </c>
      <c r="J36" s="3374">
        <f>IF(ISBLANK(AX9),(AA36/AS7)*AW9,(AA36/AX9)*AY9)</f>
        <v>0</v>
      </c>
      <c r="K36" s="533">
        <f t="shared" si="6"/>
        <v>0</v>
      </c>
      <c r="L36" s="532">
        <f>IF(ISBLANK(AX9),(AD36/AS7)*AW9,(AD36/AX9)*AY9)</f>
        <v>0</v>
      </c>
      <c r="M36" s="3374">
        <f>IF(ISBLANK(AX10),(AA36/AS7)*AW10,(AA36/AX10)*AY10)</f>
        <v>0</v>
      </c>
      <c r="N36" s="533">
        <f t="shared" si="7"/>
        <v>0</v>
      </c>
      <c r="O36" s="532">
        <f>IF(ISBLANK(AX10),(AD36/AS7)*AW10,(AD36/AX10)*AY10)</f>
        <v>0</v>
      </c>
      <c r="P36" s="3374">
        <f>IF(ISBLANK(AX11),(AA36/AS7)*AW11,(AA36/AX11)*AY11)</f>
        <v>0</v>
      </c>
      <c r="Q36" s="533">
        <f t="shared" si="8"/>
        <v>0</v>
      </c>
      <c r="R36" s="532">
        <f>IF(ISBLANK(AX11),(AD36/AS7)*AW11,(AD36/AX11)*AY11)</f>
        <v>0</v>
      </c>
      <c r="S36" s="3374">
        <f>IF(ISBLANK(AX12),(AA36/AS7)*AW12,(AA36/AX12)*AY12)</f>
        <v>0</v>
      </c>
      <c r="T36" s="533">
        <f t="shared" si="9"/>
        <v>0</v>
      </c>
      <c r="U36" s="532">
        <f>IF(ISBLANK(AX12),(AD36/AS7)*AW12,(AD36/AX12)*AY12)</f>
        <v>0</v>
      </c>
      <c r="V36" s="531">
        <f t="shared" si="10"/>
        <v>0</v>
      </c>
      <c r="W36" s="530">
        <f t="shared" si="11"/>
        <v>0</v>
      </c>
      <c r="X36" s="529">
        <f t="shared" si="12"/>
        <v>0</v>
      </c>
      <c r="Y36" s="4021"/>
      <c r="Z36" s="515"/>
      <c r="AA36" s="528"/>
      <c r="AB36" s="527"/>
      <c r="AC36" s="526"/>
      <c r="AD36" s="525">
        <f t="shared" si="13"/>
        <v>0</v>
      </c>
      <c r="AE36" s="524"/>
      <c r="AF36" s="523"/>
      <c r="AG36" s="522"/>
      <c r="AH36" s="521">
        <f>IF(ISBLANK(AH9),(AA36/AD10)*AJ7,(AA36/AH9)*AI9)</f>
        <v>0</v>
      </c>
      <c r="AI36" s="520">
        <f t="shared" si="14"/>
        <v>0</v>
      </c>
      <c r="AJ36" s="519">
        <f>IF(ISBLANK(AH9),(AD36/AD10)*AJ7,(AD36/AH9)*AI9)</f>
        <v>0</v>
      </c>
      <c r="AK36" s="518"/>
      <c r="AL36" s="517">
        <f t="shared" si="15"/>
        <v>0</v>
      </c>
      <c r="AM36" s="516"/>
      <c r="AN36" s="372">
        <f t="shared" si="16"/>
        <v>0</v>
      </c>
      <c r="AO36" s="3926"/>
      <c r="AP36" s="515"/>
      <c r="AQ36" s="378"/>
      <c r="AR36" s="599"/>
      <c r="AS36" s="579"/>
      <c r="AT36" s="579"/>
      <c r="AU36" s="579"/>
      <c r="AV36" s="598" t="s">
        <v>226</v>
      </c>
      <c r="AW36" s="587" t="str">
        <f>ADDRESS(ROW(AX23),COLUMN(AX23),4)</f>
        <v>AX23</v>
      </c>
      <c r="AX36" s="597">
        <f>AX23</f>
        <v>910.00000000000011</v>
      </c>
      <c r="AY36" s="579" t="s">
        <v>225</v>
      </c>
      <c r="AZ36" s="584"/>
      <c r="BA36" s="568"/>
      <c r="BB36" s="568"/>
      <c r="BC36" s="568"/>
      <c r="BD36" s="568"/>
      <c r="BE36" s="3901"/>
      <c r="BF36" s="3902"/>
      <c r="BG36" s="3903"/>
      <c r="BH36" s="378"/>
      <c r="BI36" s="206" t="s">
        <v>104</v>
      </c>
      <c r="BJ36" s="169"/>
      <c r="BK36" s="447"/>
      <c r="BL36" s="356"/>
      <c r="BM36" s="381">
        <v>15</v>
      </c>
    </row>
    <row r="37" spans="1:65" ht="15" customHeight="1">
      <c r="A37" s="3862"/>
      <c r="B37" s="551">
        <f t="shared" si="3"/>
        <v>0</v>
      </c>
      <c r="C37" s="546"/>
      <c r="D37" s="3374">
        <f>IF(ISBLANK(AX7),(AA37/AS7)*AW7,(AA37/AX7)*AY7)</f>
        <v>0</v>
      </c>
      <c r="E37" s="533">
        <f t="shared" si="4"/>
        <v>0</v>
      </c>
      <c r="F37" s="532">
        <f>IF(ISBLANK(AX7),(AD37/AS7)*AW7,(AD37/AX7)*AY7)</f>
        <v>0</v>
      </c>
      <c r="G37" s="3374">
        <f>IF(ISBLANK(AX8),(AA37/AS7)*AW8,(AA37/AX8)*AY8)</f>
        <v>0</v>
      </c>
      <c r="H37" s="533">
        <f t="shared" si="5"/>
        <v>0</v>
      </c>
      <c r="I37" s="532">
        <f>IF(ISBLANK(AX8),(AD37/AS7)*AW8,(AD37/AX8)*AY8)</f>
        <v>0</v>
      </c>
      <c r="J37" s="3374">
        <f>IF(ISBLANK(AX9),(AA37/AS7)*AW9,(AA37/AX9)*AY9)</f>
        <v>0</v>
      </c>
      <c r="K37" s="533">
        <f t="shared" si="6"/>
        <v>0</v>
      </c>
      <c r="L37" s="532">
        <f>IF(ISBLANK(AX9),(AD37/AS7)*AW9,(AD37/AX9)*AY9)</f>
        <v>0</v>
      </c>
      <c r="M37" s="3374">
        <f>IF(ISBLANK(AX10),(AA37/AS7)*AW10,(AA37/AX10)*AY10)</f>
        <v>0</v>
      </c>
      <c r="N37" s="533">
        <f t="shared" si="7"/>
        <v>0</v>
      </c>
      <c r="O37" s="532">
        <f>IF(ISBLANK(AX10),(AD37/AS7)*AW10,(AD37/AX10)*AY10)</f>
        <v>0</v>
      </c>
      <c r="P37" s="3374">
        <f>IF(ISBLANK(AX11),(AA37/AS7)*AW11,(AA37/AX11)*AY11)</f>
        <v>0</v>
      </c>
      <c r="Q37" s="533">
        <f t="shared" si="8"/>
        <v>0</v>
      </c>
      <c r="R37" s="532">
        <f>IF(ISBLANK(AX11),(AD37/AS7)*AW11,(AD37/AX11)*AY11)</f>
        <v>0</v>
      </c>
      <c r="S37" s="3374">
        <f>IF(ISBLANK(AX12),(AA37/AS7)*AW12,(AA37/AX12)*AY12)</f>
        <v>0</v>
      </c>
      <c r="T37" s="533">
        <f t="shared" si="9"/>
        <v>0</v>
      </c>
      <c r="U37" s="532">
        <f>IF(ISBLANK(AX12),(AD37/AS7)*AW12,(AD37/AX12)*AY12)</f>
        <v>0</v>
      </c>
      <c r="V37" s="531">
        <f t="shared" si="10"/>
        <v>0</v>
      </c>
      <c r="W37" s="530">
        <f t="shared" si="11"/>
        <v>0</v>
      </c>
      <c r="X37" s="529">
        <f t="shared" si="12"/>
        <v>0</v>
      </c>
      <c r="Y37" s="4021"/>
      <c r="Z37" s="515"/>
      <c r="AA37" s="545"/>
      <c r="AB37" s="544"/>
      <c r="AC37" s="543"/>
      <c r="AD37" s="542">
        <f t="shared" si="13"/>
        <v>0</v>
      </c>
      <c r="AE37" s="541"/>
      <c r="AF37" s="523"/>
      <c r="AG37" s="522"/>
      <c r="AH37" s="540">
        <f>IF(ISBLANK(AH9),(AA37/AD10)*AJ7,(AA37/AH9)*AI9)</f>
        <v>0</v>
      </c>
      <c r="AI37" s="539">
        <f t="shared" si="14"/>
        <v>0</v>
      </c>
      <c r="AJ37" s="538">
        <f>IF(ISBLANK(AH9),(AD37/AD10)*AJ7,(AD37/AH9)*AI9)</f>
        <v>0</v>
      </c>
      <c r="AK37" s="518"/>
      <c r="AL37" s="537">
        <f t="shared" si="15"/>
        <v>0</v>
      </c>
      <c r="AM37" s="516"/>
      <c r="AN37" s="372">
        <f t="shared" si="16"/>
        <v>0</v>
      </c>
      <c r="AO37" s="3926"/>
      <c r="AP37" s="515"/>
      <c r="AQ37" s="378"/>
      <c r="AR37" s="580"/>
      <c r="AS37" s="579"/>
      <c r="AT37" s="579"/>
      <c r="AU37" s="579"/>
      <c r="AV37" s="596" t="s">
        <v>224</v>
      </c>
      <c r="AW37" s="595" t="str">
        <f>ADDRESS(ROW(AX25),COLUMN(AX25),4)</f>
        <v>AX25</v>
      </c>
      <c r="AX37" s="594">
        <f>AX25</f>
        <v>120</v>
      </c>
      <c r="AY37" s="593" t="s">
        <v>223</v>
      </c>
      <c r="AZ37" s="584"/>
      <c r="BA37" s="568"/>
      <c r="BB37" s="568"/>
      <c r="BC37" s="568"/>
      <c r="BD37" s="568"/>
      <c r="BE37" s="413"/>
      <c r="BF37" s="412"/>
      <c r="BG37" s="411"/>
      <c r="BH37" s="378"/>
      <c r="BI37" s="206" t="s">
        <v>105</v>
      </c>
      <c r="BJ37" s="169"/>
      <c r="BK37" s="447"/>
      <c r="BL37" s="356"/>
      <c r="BM37" s="381">
        <v>15</v>
      </c>
    </row>
    <row r="38" spans="1:65" ht="15" customHeight="1">
      <c r="A38" s="3862"/>
      <c r="B38" s="551">
        <f t="shared" si="3"/>
        <v>0</v>
      </c>
      <c r="C38" s="546"/>
      <c r="D38" s="3374">
        <f>IF(ISBLANK(AX7),(AA38/AS7)*AW7,(AA38/AX7)*AY7)</f>
        <v>0</v>
      </c>
      <c r="E38" s="533">
        <f t="shared" si="4"/>
        <v>0</v>
      </c>
      <c r="F38" s="532">
        <f>IF(ISBLANK(AX7),(AD38/AS7)*AW7,(AD38/AX7)*AY7)</f>
        <v>0</v>
      </c>
      <c r="G38" s="3374">
        <f>IF(ISBLANK(AX8),(AA38/AS7)*AW8,(AA38/AX8)*AY8)</f>
        <v>0</v>
      </c>
      <c r="H38" s="533">
        <f t="shared" si="5"/>
        <v>0</v>
      </c>
      <c r="I38" s="532">
        <f>IF(ISBLANK(AX8),(AD38/AS7)*AW8,(AD38/AX8)*AY8)</f>
        <v>0</v>
      </c>
      <c r="J38" s="3374">
        <f>IF(ISBLANK(AX9),(AA38/AS7)*AW9,(AA38/AX9)*AY9)</f>
        <v>0</v>
      </c>
      <c r="K38" s="533">
        <f t="shared" si="6"/>
        <v>0</v>
      </c>
      <c r="L38" s="532">
        <f>IF(ISBLANK(AX9),(AD38/AS7)*AW9,(AD38/AX9)*AY9)</f>
        <v>0</v>
      </c>
      <c r="M38" s="3374">
        <f>IF(ISBLANK(AX10),(AA38/AS7)*AW10,(AA38/AX10)*AY10)</f>
        <v>0</v>
      </c>
      <c r="N38" s="533">
        <f t="shared" si="7"/>
        <v>0</v>
      </c>
      <c r="O38" s="532">
        <f>IF(ISBLANK(AX10),(AD38/AS7)*AW10,(AD38/AX10)*AY10)</f>
        <v>0</v>
      </c>
      <c r="P38" s="3374">
        <f>IF(ISBLANK(AX11),(AA38/AS7)*AW11,(AA38/AX11)*AY11)</f>
        <v>0</v>
      </c>
      <c r="Q38" s="533">
        <f t="shared" si="8"/>
        <v>0</v>
      </c>
      <c r="R38" s="532">
        <f>IF(ISBLANK(AX11),(AD38/AS7)*AW11,(AD38/AX11)*AY11)</f>
        <v>0</v>
      </c>
      <c r="S38" s="3374">
        <f>IF(ISBLANK(AX12),(AA38/AS7)*AW12,(AA38/AX12)*AY12)</f>
        <v>0</v>
      </c>
      <c r="T38" s="533">
        <f t="shared" si="9"/>
        <v>0</v>
      </c>
      <c r="U38" s="532">
        <f>IF(ISBLANK(AX12),(AD38/AS7)*AW12,(AD38/AX12)*AY12)</f>
        <v>0</v>
      </c>
      <c r="V38" s="531">
        <f t="shared" si="10"/>
        <v>0</v>
      </c>
      <c r="W38" s="530">
        <f t="shared" si="11"/>
        <v>0</v>
      </c>
      <c r="X38" s="529">
        <f t="shared" si="12"/>
        <v>0</v>
      </c>
      <c r="Y38" s="4021"/>
      <c r="Z38" s="515"/>
      <c r="AA38" s="528"/>
      <c r="AB38" s="527"/>
      <c r="AC38" s="526"/>
      <c r="AD38" s="525">
        <f t="shared" si="13"/>
        <v>0</v>
      </c>
      <c r="AE38" s="524"/>
      <c r="AF38" s="523"/>
      <c r="AG38" s="522"/>
      <c r="AH38" s="521">
        <f>IF(ISBLANK(AH9),(AA38/AD10)*AJ7,(AA38/AH9)*AI9)</f>
        <v>0</v>
      </c>
      <c r="AI38" s="520">
        <f t="shared" si="14"/>
        <v>0</v>
      </c>
      <c r="AJ38" s="519">
        <f>IF(ISBLANK(AH9),(AD38/AD10)*AJ7,(AD38/AH9)*AI9)</f>
        <v>0</v>
      </c>
      <c r="AK38" s="518"/>
      <c r="AL38" s="517">
        <f t="shared" si="15"/>
        <v>0</v>
      </c>
      <c r="AM38" s="516"/>
      <c r="AN38" s="372">
        <f t="shared" si="16"/>
        <v>0</v>
      </c>
      <c r="AO38" s="3926"/>
      <c r="AP38" s="515"/>
      <c r="AQ38" s="378"/>
      <c r="AR38" s="592" t="s">
        <v>222</v>
      </c>
      <c r="AS38" s="579"/>
      <c r="AT38" s="579"/>
      <c r="AU38" s="579"/>
      <c r="AV38" s="585"/>
      <c r="AW38" s="579"/>
      <c r="AX38" s="579"/>
      <c r="AY38" s="579"/>
      <c r="AZ38" s="584"/>
      <c r="BA38" s="568"/>
      <c r="BB38" s="568"/>
      <c r="BC38" s="568"/>
      <c r="BD38" s="568"/>
      <c r="BE38" s="3668" t="s">
        <v>221</v>
      </c>
      <c r="BF38" s="3669"/>
      <c r="BG38" s="3670"/>
      <c r="BH38" s="378"/>
      <c r="BI38" s="3815" t="s">
        <v>107</v>
      </c>
      <c r="BJ38" s="3816"/>
      <c r="BK38" s="3904"/>
      <c r="BL38" s="356"/>
      <c r="BM38" s="381">
        <v>15</v>
      </c>
    </row>
    <row r="39" spans="1:65" ht="15" customHeight="1">
      <c r="A39" s="3862"/>
      <c r="B39" s="551">
        <f t="shared" si="3"/>
        <v>0</v>
      </c>
      <c r="C39" s="546"/>
      <c r="D39" s="3374">
        <f>IF(ISBLANK(AX7),(AA39/AS7)*AW7,(AA39/AX7)*AY7)</f>
        <v>0</v>
      </c>
      <c r="E39" s="533">
        <f t="shared" si="4"/>
        <v>0</v>
      </c>
      <c r="F39" s="532">
        <f>IF(ISBLANK(AX7),(AD39/AS7)*AW7,(AD39/AX7)*AY7)</f>
        <v>0</v>
      </c>
      <c r="G39" s="3374">
        <f>IF(ISBLANK(AX8),(AA39/AS7)*AW8,(AA39/AX8)*AY8)</f>
        <v>0</v>
      </c>
      <c r="H39" s="533">
        <f t="shared" si="5"/>
        <v>0</v>
      </c>
      <c r="I39" s="532">
        <f>IF(ISBLANK(AX8),(AD39/AS7)*AW8,(AD39/AX8)*AY8)</f>
        <v>0</v>
      </c>
      <c r="J39" s="3374">
        <f>IF(ISBLANK(AX9),(AA39/AS7)*AW9,(AA39/AX9)*AY9)</f>
        <v>0</v>
      </c>
      <c r="K39" s="533">
        <f t="shared" si="6"/>
        <v>0</v>
      </c>
      <c r="L39" s="532">
        <f>IF(ISBLANK(AX9),(AD39/AS7)*AW9,(AD39/AX9)*AY9)</f>
        <v>0</v>
      </c>
      <c r="M39" s="3374">
        <f>IF(ISBLANK(AX10),(AA39/AS7)*AW10,(AA39/AX10)*AY10)</f>
        <v>0</v>
      </c>
      <c r="N39" s="533">
        <f t="shared" si="7"/>
        <v>0</v>
      </c>
      <c r="O39" s="532">
        <f>IF(ISBLANK(AX10),(AD39/AS7)*AW10,(AD39/AX10)*AY10)</f>
        <v>0</v>
      </c>
      <c r="P39" s="3374">
        <f>IF(ISBLANK(AX11),(AA39/AS7)*AW11,(AA39/AX11)*AY11)</f>
        <v>0</v>
      </c>
      <c r="Q39" s="533">
        <f t="shared" si="8"/>
        <v>0</v>
      </c>
      <c r="R39" s="532">
        <f>IF(ISBLANK(AX11),(AD39/AS7)*AW11,(AD39/AX11)*AY11)</f>
        <v>0</v>
      </c>
      <c r="S39" s="3374">
        <f>IF(ISBLANK(AX12),(AA39/AS7)*AW12,(AA39/AX12)*AY12)</f>
        <v>0</v>
      </c>
      <c r="T39" s="533">
        <f t="shared" si="9"/>
        <v>0</v>
      </c>
      <c r="U39" s="532">
        <f>IF(ISBLANK(AX12),(AD39/AS7)*AW12,(AD39/AX12)*AY12)</f>
        <v>0</v>
      </c>
      <c r="V39" s="531">
        <f t="shared" si="10"/>
        <v>0</v>
      </c>
      <c r="W39" s="530">
        <f t="shared" si="11"/>
        <v>0</v>
      </c>
      <c r="X39" s="529">
        <f t="shared" si="12"/>
        <v>0</v>
      </c>
      <c r="Y39" s="4021"/>
      <c r="Z39" s="515"/>
      <c r="AA39" s="545"/>
      <c r="AB39" s="544"/>
      <c r="AC39" s="543"/>
      <c r="AD39" s="542">
        <f t="shared" si="13"/>
        <v>0</v>
      </c>
      <c r="AE39" s="541"/>
      <c r="AF39" s="523"/>
      <c r="AG39" s="522"/>
      <c r="AH39" s="540">
        <f>IF(ISBLANK(AH9),(AA39/AD10)*AJ7,(AA39/AH9)*AI9)</f>
        <v>0</v>
      </c>
      <c r="AI39" s="539">
        <f t="shared" si="14"/>
        <v>0</v>
      </c>
      <c r="AJ39" s="538">
        <f>IF(ISBLANK(AH9),(AD39/AD10)*AJ7,(AD39/AH9)*AI9)</f>
        <v>0</v>
      </c>
      <c r="AK39" s="518"/>
      <c r="AL39" s="537">
        <f t="shared" si="15"/>
        <v>0</v>
      </c>
      <c r="AM39" s="516"/>
      <c r="AN39" s="372">
        <f t="shared" si="16"/>
        <v>0</v>
      </c>
      <c r="AO39" s="3926"/>
      <c r="AP39" s="515"/>
      <c r="AQ39" s="378"/>
      <c r="AR39" s="591"/>
      <c r="AS39" s="590"/>
      <c r="AT39" s="589"/>
      <c r="AU39" s="589"/>
      <c r="AV39" s="588" t="s">
        <v>220</v>
      </c>
      <c r="AW39" s="587" t="str">
        <f>LEFT(ADDRESS(1,COLUMN(AD12),4),LEN(ADDRESS(1,COLUMN(AD12),4))-1)</f>
        <v>AD</v>
      </c>
      <c r="AX39" s="378"/>
      <c r="AY39" s="378"/>
      <c r="AZ39" s="584"/>
      <c r="BA39" s="568"/>
      <c r="BB39" s="568"/>
      <c r="BC39" s="568"/>
      <c r="BD39" s="568"/>
      <c r="BE39" s="3668"/>
      <c r="BF39" s="3669"/>
      <c r="BG39" s="3670"/>
      <c r="BH39" s="378"/>
      <c r="BI39" s="3815"/>
      <c r="BJ39" s="3816"/>
      <c r="BK39" s="3904"/>
      <c r="BL39" s="356"/>
      <c r="BM39" s="381">
        <v>15</v>
      </c>
    </row>
    <row r="40" spans="1:65" ht="15" customHeight="1">
      <c r="A40" s="3862"/>
      <c r="B40" s="551">
        <f t="shared" si="3"/>
        <v>0</v>
      </c>
      <c r="C40" s="546"/>
      <c r="D40" s="3374">
        <f>IF(ISBLANK(AX7),(AA40/AS7)*AW7,(AA40/AX7)*AY7)</f>
        <v>0</v>
      </c>
      <c r="E40" s="533">
        <f t="shared" si="4"/>
        <v>0</v>
      </c>
      <c r="F40" s="532">
        <f>IF(ISBLANK(AX7),(AD40/AS7)*AW7,(AD40/AX7)*AY7)</f>
        <v>0</v>
      </c>
      <c r="G40" s="3374">
        <f>IF(ISBLANK(AX8),(AA40/AS7)*AW8,(AA40/AX8)*AY8)</f>
        <v>0</v>
      </c>
      <c r="H40" s="533">
        <f t="shared" si="5"/>
        <v>0</v>
      </c>
      <c r="I40" s="532">
        <f>IF(ISBLANK(AX8),(AD40/AS7)*AW8,(AD40/AX8)*AY8)</f>
        <v>0</v>
      </c>
      <c r="J40" s="3374">
        <f>IF(ISBLANK(AX9),(AA40/AS7)*AW9,(AA40/AX9)*AY9)</f>
        <v>0</v>
      </c>
      <c r="K40" s="533">
        <f t="shared" si="6"/>
        <v>0</v>
      </c>
      <c r="L40" s="532">
        <f>IF(ISBLANK(AX9),(AD40/AS7)*AW9,(AD40/AX9)*AY9)</f>
        <v>0</v>
      </c>
      <c r="M40" s="3374">
        <f>IF(ISBLANK(AX10),(AA40/AS7)*AW10,(AA40/AX10)*AY10)</f>
        <v>0</v>
      </c>
      <c r="N40" s="533">
        <f t="shared" si="7"/>
        <v>0</v>
      </c>
      <c r="O40" s="532">
        <f>IF(ISBLANK(AX10),(AD40/AS7)*AW10,(AD40/AX10)*AY10)</f>
        <v>0</v>
      </c>
      <c r="P40" s="3374">
        <f>IF(ISBLANK(AX11),(AA40/AS7)*AW11,(AA40/AX11)*AY11)</f>
        <v>0</v>
      </c>
      <c r="Q40" s="533">
        <f t="shared" si="8"/>
        <v>0</v>
      </c>
      <c r="R40" s="532">
        <f>IF(ISBLANK(AX11),(AD40/AS7)*AW11,(AD40/AX11)*AY11)</f>
        <v>0</v>
      </c>
      <c r="S40" s="3374">
        <f>IF(ISBLANK(AX12),(AA40/AS7)*AW12,(AA40/AX12)*AY12)</f>
        <v>0</v>
      </c>
      <c r="T40" s="533">
        <f t="shared" si="9"/>
        <v>0</v>
      </c>
      <c r="U40" s="532">
        <f>IF(ISBLANK(AX12),(AD40/AS7)*AW12,(AD40/AX12)*AY12)</f>
        <v>0</v>
      </c>
      <c r="V40" s="531">
        <f t="shared" si="10"/>
        <v>0</v>
      </c>
      <c r="W40" s="530">
        <f t="shared" si="11"/>
        <v>0</v>
      </c>
      <c r="X40" s="529">
        <f t="shared" si="12"/>
        <v>0</v>
      </c>
      <c r="Y40" s="4021"/>
      <c r="Z40" s="515"/>
      <c r="AA40" s="528"/>
      <c r="AB40" s="527"/>
      <c r="AC40" s="526"/>
      <c r="AD40" s="525">
        <f t="shared" si="13"/>
        <v>0</v>
      </c>
      <c r="AE40" s="524"/>
      <c r="AF40" s="523"/>
      <c r="AG40" s="522"/>
      <c r="AH40" s="521">
        <f>IF(ISBLANK(AH9),(AA40/AD10)*AJ7,(AA40/AH9)*AI9)</f>
        <v>0</v>
      </c>
      <c r="AI40" s="520">
        <f t="shared" si="14"/>
        <v>0</v>
      </c>
      <c r="AJ40" s="519">
        <f>IF(ISBLANK(AH9),(AD40/AD10)*AJ7,(AD40/AH9)*AI9)</f>
        <v>0</v>
      </c>
      <c r="AK40" s="518"/>
      <c r="AL40" s="517">
        <f t="shared" si="15"/>
        <v>0</v>
      </c>
      <c r="AM40" s="516"/>
      <c r="AN40" s="372">
        <f t="shared" si="16"/>
        <v>0</v>
      </c>
      <c r="AO40" s="3926"/>
      <c r="AP40" s="515"/>
      <c r="AQ40" s="378"/>
      <c r="AR40" s="586" t="s">
        <v>219</v>
      </c>
      <c r="AS40" s="579"/>
      <c r="AT40" s="579"/>
      <c r="AU40" s="579"/>
      <c r="AV40" s="585"/>
      <c r="AW40" s="579"/>
      <c r="AX40" s="579"/>
      <c r="AY40" s="579"/>
      <c r="AZ40" s="584"/>
      <c r="BA40" s="568"/>
      <c r="BB40" s="568"/>
      <c r="BC40" s="568"/>
      <c r="BD40" s="568"/>
      <c r="BE40" s="583" t="s">
        <v>218</v>
      </c>
      <c r="BF40" s="582" t="str">
        <f>LEFT(ADDRESS(1,COLUMN(AH6),4),LEN(ADDRESS(1,COLUMN(AH6),4))-1)</f>
        <v>AH</v>
      </c>
      <c r="BG40" s="581" t="str">
        <f>LEFT(ADDRESS(1,COLUMN(AJ6),4),LEN(ADDRESS(1,COLUMN(AJ6),4))-1)</f>
        <v>AJ</v>
      </c>
      <c r="BH40" s="378"/>
      <c r="BI40" s="3815"/>
      <c r="BJ40" s="3816"/>
      <c r="BK40" s="3904"/>
      <c r="BL40" s="356"/>
      <c r="BM40" s="381">
        <v>15</v>
      </c>
    </row>
    <row r="41" spans="1:65" ht="15" customHeight="1">
      <c r="A41" s="3862"/>
      <c r="B41" s="551">
        <f t="shared" si="3"/>
        <v>0</v>
      </c>
      <c r="C41" s="546"/>
      <c r="D41" s="3374">
        <f>IF(ISBLANK(AX7),(AA41/AS7)*AW7,(AA41/AX7)*AY7)</f>
        <v>0</v>
      </c>
      <c r="E41" s="533">
        <f t="shared" si="4"/>
        <v>0</v>
      </c>
      <c r="F41" s="532">
        <f>IF(ISBLANK(AX7),(AD41/AS7)*AW7,(AD41/AX7)*AY7)</f>
        <v>0</v>
      </c>
      <c r="G41" s="3374">
        <f>IF(ISBLANK(AX8),(AA41/AS7)*AW8,(AA41/AX8)*AY8)</f>
        <v>0</v>
      </c>
      <c r="H41" s="533">
        <f t="shared" si="5"/>
        <v>0</v>
      </c>
      <c r="I41" s="532">
        <f>IF(ISBLANK(AX8),(AD41/AS7)*AW8,(AD41/AX8)*AY8)</f>
        <v>0</v>
      </c>
      <c r="J41" s="3374">
        <f>IF(ISBLANK(AX9),(AA41/AS7)*AW9,(AA41/AX9)*AY9)</f>
        <v>0</v>
      </c>
      <c r="K41" s="533">
        <f t="shared" si="6"/>
        <v>0</v>
      </c>
      <c r="L41" s="532">
        <f>IF(ISBLANK(AX9),(AD41/AS7)*AW9,(AD41/AX9)*AY9)</f>
        <v>0</v>
      </c>
      <c r="M41" s="3374">
        <f>IF(ISBLANK(AX10),(AA41/AS7)*AW10,(AA41/AX10)*AY10)</f>
        <v>0</v>
      </c>
      <c r="N41" s="533">
        <f t="shared" si="7"/>
        <v>0</v>
      </c>
      <c r="O41" s="532">
        <f>IF(ISBLANK(AX10),(AD41/AS7)*AW10,(AD41/AX10)*AY10)</f>
        <v>0</v>
      </c>
      <c r="P41" s="3374">
        <f>IF(ISBLANK(AX11),(AA41/AS7)*AW11,(AA41/AX11)*AY11)</f>
        <v>0</v>
      </c>
      <c r="Q41" s="533">
        <f t="shared" si="8"/>
        <v>0</v>
      </c>
      <c r="R41" s="532">
        <f>IF(ISBLANK(AX11),(AD41/AS7)*AW11,(AD41/AX11)*AY11)</f>
        <v>0</v>
      </c>
      <c r="S41" s="3374">
        <f>IF(ISBLANK(AX12),(AA41/AS7)*AW12,(AA41/AX12)*AY12)</f>
        <v>0</v>
      </c>
      <c r="T41" s="533">
        <f t="shared" si="9"/>
        <v>0</v>
      </c>
      <c r="U41" s="532">
        <f>IF(ISBLANK(AX12),(AD41/AS7)*AW12,(AD41/AX12)*AY12)</f>
        <v>0</v>
      </c>
      <c r="V41" s="531">
        <f t="shared" si="10"/>
        <v>0</v>
      </c>
      <c r="W41" s="530">
        <f t="shared" si="11"/>
        <v>0</v>
      </c>
      <c r="X41" s="529">
        <f t="shared" si="12"/>
        <v>0</v>
      </c>
      <c r="Y41" s="4021"/>
      <c r="Z41" s="515"/>
      <c r="AA41" s="545"/>
      <c r="AB41" s="544"/>
      <c r="AC41" s="543"/>
      <c r="AD41" s="542">
        <f t="shared" si="13"/>
        <v>0</v>
      </c>
      <c r="AE41" s="541"/>
      <c r="AF41" s="523"/>
      <c r="AG41" s="522"/>
      <c r="AH41" s="540">
        <f>IF(ISBLANK(AH9),(AA41/AD10)*AJ7,(AA41/AH9)*AI9)</f>
        <v>0</v>
      </c>
      <c r="AI41" s="539">
        <f t="shared" si="14"/>
        <v>0</v>
      </c>
      <c r="AJ41" s="538">
        <f>IF(ISBLANK(AH9),(AD41/AD10)*AJ7,(AD41/AH9)*AI9)</f>
        <v>0</v>
      </c>
      <c r="AK41" s="518"/>
      <c r="AL41" s="537">
        <f t="shared" si="15"/>
        <v>0</v>
      </c>
      <c r="AM41" s="516"/>
      <c r="AN41" s="372">
        <f t="shared" si="16"/>
        <v>0</v>
      </c>
      <c r="AO41" s="3926"/>
      <c r="AP41" s="515"/>
      <c r="AQ41" s="378"/>
      <c r="AR41" s="580"/>
      <c r="AS41" s="579"/>
      <c r="AT41" s="579"/>
      <c r="AU41" s="578" t="s">
        <v>217</v>
      </c>
      <c r="AV41" s="577" t="s">
        <v>216</v>
      </c>
      <c r="AW41" s="576" t="str">
        <f>LEFT(ADDRESS(1,COLUMN(AY6),4),LEN(ADDRESS(1,COLUMN(AY6),4))-1)</f>
        <v>AY</v>
      </c>
      <c r="AX41" s="376" t="s">
        <v>215</v>
      </c>
      <c r="AY41" s="575" t="s">
        <v>214</v>
      </c>
      <c r="AZ41" s="574" t="str">
        <f>ADDRESS(ROW(AI9),COLUMN(AI9),4)</f>
        <v>AI9</v>
      </c>
      <c r="BA41" s="568"/>
      <c r="BB41" s="568"/>
      <c r="BC41" s="568"/>
      <c r="BD41" s="568"/>
      <c r="BE41" s="413"/>
      <c r="BF41" s="573" t="s">
        <v>94</v>
      </c>
      <c r="BG41" s="572" t="str">
        <f>ADDRESS(ROW(AH7),COLUMN(AH7),4)</f>
        <v>AH7</v>
      </c>
      <c r="BH41" s="378"/>
      <c r="BI41" s="206" t="s">
        <v>110</v>
      </c>
      <c r="BJ41" s="169"/>
      <c r="BK41" s="447"/>
      <c r="BL41" s="356"/>
      <c r="BM41" s="381">
        <v>15</v>
      </c>
    </row>
    <row r="42" spans="1:65" ht="15" customHeight="1" thickBot="1">
      <c r="A42" s="3862"/>
      <c r="B42" s="551">
        <f t="shared" si="3"/>
        <v>0</v>
      </c>
      <c r="C42" s="546"/>
      <c r="D42" s="3374">
        <f>IF(ISBLANK(AX7),(AA42/AS7)*AW7,(AA42/AX7)*AY7)</f>
        <v>0</v>
      </c>
      <c r="E42" s="533">
        <f t="shared" si="4"/>
        <v>0</v>
      </c>
      <c r="F42" s="532">
        <f>IF(ISBLANK(AX7),(AD42/AS7)*AW7,(AD42/AX7)*AY7)</f>
        <v>0</v>
      </c>
      <c r="G42" s="3374">
        <f>IF(ISBLANK(AX8),(AA42/AS7)*AW8,(AA42/AX8)*AY8)</f>
        <v>0</v>
      </c>
      <c r="H42" s="533">
        <f t="shared" si="5"/>
        <v>0</v>
      </c>
      <c r="I42" s="532">
        <f>IF(ISBLANK(AX8),(AD42/AS7)*AW8,(AD42/AX8)*AY8)</f>
        <v>0</v>
      </c>
      <c r="J42" s="3374">
        <f>IF(ISBLANK(AX9),(AA42/AS7)*AW9,(AA42/AX9)*AY9)</f>
        <v>0</v>
      </c>
      <c r="K42" s="533">
        <f t="shared" si="6"/>
        <v>0</v>
      </c>
      <c r="L42" s="532">
        <f>IF(ISBLANK(AX9),(AD42/AS7)*AW9,(AD42/AX9)*AY9)</f>
        <v>0</v>
      </c>
      <c r="M42" s="3374">
        <f>IF(ISBLANK(AX10),(AA42/AS7)*AW10,(AA42/AX10)*AY10)</f>
        <v>0</v>
      </c>
      <c r="N42" s="533">
        <f t="shared" si="7"/>
        <v>0</v>
      </c>
      <c r="O42" s="532">
        <f>IF(ISBLANK(AX10),(AD42/AS7)*AW10,(AD42/AX10)*AY10)</f>
        <v>0</v>
      </c>
      <c r="P42" s="3374">
        <f>IF(ISBLANK(AX11),(AA42/AS7)*AW11,(AA42/AX11)*AY11)</f>
        <v>0</v>
      </c>
      <c r="Q42" s="533">
        <f t="shared" si="8"/>
        <v>0</v>
      </c>
      <c r="R42" s="532">
        <f>IF(ISBLANK(AX11),(AD42/AS7)*AW11,(AD42/AX11)*AY11)</f>
        <v>0</v>
      </c>
      <c r="S42" s="3374">
        <f>IF(ISBLANK(AX12),(AA42/AS7)*AW12,(AA42/AX12)*AY12)</f>
        <v>0</v>
      </c>
      <c r="T42" s="533">
        <f t="shared" si="9"/>
        <v>0</v>
      </c>
      <c r="U42" s="532">
        <f>IF(ISBLANK(AX12),(AD42/AS7)*AW12,(AD42/AX12)*AY12)</f>
        <v>0</v>
      </c>
      <c r="V42" s="531">
        <f t="shared" si="10"/>
        <v>0</v>
      </c>
      <c r="W42" s="530">
        <f t="shared" si="11"/>
        <v>0</v>
      </c>
      <c r="X42" s="529">
        <f t="shared" si="12"/>
        <v>0</v>
      </c>
      <c r="Y42" s="4021"/>
      <c r="Z42" s="515"/>
      <c r="AA42" s="528"/>
      <c r="AB42" s="527"/>
      <c r="AC42" s="526"/>
      <c r="AD42" s="525">
        <f t="shared" si="13"/>
        <v>0</v>
      </c>
      <c r="AE42" s="524"/>
      <c r="AF42" s="523"/>
      <c r="AG42" s="522"/>
      <c r="AH42" s="521">
        <f>IF(ISBLANK(AH9),(AA42/AD10)*AJ7,(AA42/AH9)*AI9)</f>
        <v>0</v>
      </c>
      <c r="AI42" s="520">
        <f t="shared" si="14"/>
        <v>0</v>
      </c>
      <c r="AJ42" s="519">
        <f>IF(ISBLANK(AH9),(AD42/AD10)*AJ7,(AD42/AH9)*AI9)</f>
        <v>0</v>
      </c>
      <c r="AK42" s="518"/>
      <c r="AL42" s="517">
        <f t="shared" si="15"/>
        <v>0</v>
      </c>
      <c r="AM42" s="516"/>
      <c r="AN42" s="372">
        <f t="shared" si="16"/>
        <v>0</v>
      </c>
      <c r="AO42" s="3926"/>
      <c r="AP42" s="515"/>
      <c r="AQ42" s="378"/>
      <c r="AR42" s="3256"/>
      <c r="AS42" s="3255"/>
      <c r="AT42" s="3255"/>
      <c r="AU42" s="3255"/>
      <c r="AV42" s="3255"/>
      <c r="AW42" s="3255"/>
      <c r="AX42" s="3255"/>
      <c r="AY42" s="3255"/>
      <c r="AZ42" s="3254"/>
      <c r="BA42" s="568"/>
      <c r="BB42" s="568"/>
      <c r="BC42" s="568"/>
      <c r="BD42" s="568"/>
      <c r="BE42" s="413"/>
      <c r="BF42" s="567" t="s">
        <v>213</v>
      </c>
      <c r="BG42" s="513" t="str">
        <f>ADDRESS(ROW(AI7),COLUMN(AI7),4)</f>
        <v>AI7</v>
      </c>
      <c r="BH42" s="378"/>
      <c r="BI42" s="3815" t="s">
        <v>112</v>
      </c>
      <c r="BJ42" s="3816"/>
      <c r="BK42" s="3904"/>
      <c r="BL42" s="356"/>
      <c r="BM42" s="381">
        <v>15</v>
      </c>
    </row>
    <row r="43" spans="1:65" ht="15" customHeight="1">
      <c r="A43" s="3862"/>
      <c r="B43" s="551">
        <f t="shared" si="3"/>
        <v>0</v>
      </c>
      <c r="C43" s="546"/>
      <c r="D43" s="3374">
        <f>IF(ISBLANK(AX7),(AA43/AS7)*AW7,(AA43/AX7)*AY7)</f>
        <v>0</v>
      </c>
      <c r="E43" s="533">
        <f t="shared" si="4"/>
        <v>0</v>
      </c>
      <c r="F43" s="532">
        <f>IF(ISBLANK(AX7),(AD43/AS7)*AW7,(AD43/AX7)*AY7)</f>
        <v>0</v>
      </c>
      <c r="G43" s="3374">
        <f>IF(ISBLANK(AX8),(AA43/AS7)*AW8,(AA43/AX8)*AY8)</f>
        <v>0</v>
      </c>
      <c r="H43" s="533">
        <f t="shared" si="5"/>
        <v>0</v>
      </c>
      <c r="I43" s="532">
        <f>IF(ISBLANK(AX8),(AD43/AS7)*AW8,(AD43/AX8)*AY8)</f>
        <v>0</v>
      </c>
      <c r="J43" s="3374">
        <f>IF(ISBLANK(AX9),(AA43/AS7)*AW9,(AA43/AX9)*AY9)</f>
        <v>0</v>
      </c>
      <c r="K43" s="533">
        <f t="shared" si="6"/>
        <v>0</v>
      </c>
      <c r="L43" s="532">
        <f>IF(ISBLANK(AX9),(AD43/AS7)*AW9,(AD43/AX9)*AY9)</f>
        <v>0</v>
      </c>
      <c r="M43" s="3374">
        <f>IF(ISBLANK(AX10),(AA43/AS7)*AW10,(AA43/AX10)*AY10)</f>
        <v>0</v>
      </c>
      <c r="N43" s="533">
        <f t="shared" si="7"/>
        <v>0</v>
      </c>
      <c r="O43" s="532">
        <f>IF(ISBLANK(AX10),(AD43/AS7)*AW10,(AD43/AX10)*AY10)</f>
        <v>0</v>
      </c>
      <c r="P43" s="3374">
        <f>IF(ISBLANK(AX11),(AA43/AS7)*AW11,(AA43/AX11)*AY11)</f>
        <v>0</v>
      </c>
      <c r="Q43" s="533">
        <f t="shared" si="8"/>
        <v>0</v>
      </c>
      <c r="R43" s="532">
        <f>IF(ISBLANK(AX11),(AD43/AS7)*AW11,(AD43/AX11)*AY11)</f>
        <v>0</v>
      </c>
      <c r="S43" s="3374">
        <f>IF(ISBLANK(AX12),(AA43/AS7)*AW12,(AA43/AX12)*AY12)</f>
        <v>0</v>
      </c>
      <c r="T43" s="533">
        <f t="shared" si="9"/>
        <v>0</v>
      </c>
      <c r="U43" s="532">
        <f>IF(ISBLANK(AX12),(AD43/AS7)*AW12,(AD43/AX12)*AY12)</f>
        <v>0</v>
      </c>
      <c r="V43" s="531">
        <f t="shared" si="10"/>
        <v>0</v>
      </c>
      <c r="W43" s="530">
        <f t="shared" si="11"/>
        <v>0</v>
      </c>
      <c r="X43" s="529">
        <f t="shared" si="12"/>
        <v>0</v>
      </c>
      <c r="Y43" s="4021"/>
      <c r="Z43" s="515"/>
      <c r="AA43" s="545"/>
      <c r="AB43" s="544"/>
      <c r="AC43" s="543"/>
      <c r="AD43" s="542">
        <f t="shared" si="13"/>
        <v>0</v>
      </c>
      <c r="AE43" s="541"/>
      <c r="AF43" s="523"/>
      <c r="AG43" s="522"/>
      <c r="AH43" s="540">
        <f>IF(ISBLANK(AH9),(AA43/AD10)*AJ7,(AA43/AH9)*AI9)</f>
        <v>0</v>
      </c>
      <c r="AI43" s="539">
        <f t="shared" si="14"/>
        <v>0</v>
      </c>
      <c r="AJ43" s="538">
        <f>IF(ISBLANK(AH9),(AD43/AD10)*AJ7,(AD43/AH9)*AI9)</f>
        <v>0</v>
      </c>
      <c r="AK43" s="518"/>
      <c r="AL43" s="537">
        <f t="shared" si="15"/>
        <v>0</v>
      </c>
      <c r="AM43" s="516"/>
      <c r="AN43" s="372">
        <f t="shared" si="16"/>
        <v>0</v>
      </c>
      <c r="AO43" s="3926"/>
      <c r="AP43" s="515"/>
      <c r="AQ43" s="378"/>
      <c r="AR43" s="378"/>
      <c r="AS43" s="378"/>
      <c r="AT43" s="378"/>
      <c r="AU43" s="378"/>
      <c r="AV43" s="378"/>
      <c r="AW43" s="378"/>
      <c r="AX43" s="378"/>
      <c r="AY43" s="378"/>
      <c r="AZ43" s="378"/>
      <c r="BA43" s="378"/>
      <c r="BB43" s="378"/>
      <c r="BC43" s="378"/>
      <c r="BD43" s="378"/>
      <c r="BE43" s="566"/>
      <c r="BF43" s="565" t="s">
        <v>212</v>
      </c>
      <c r="BG43" s="513" t="str">
        <f>ADDRESS(ROW(AH9),COLUMN(AH9),4)</f>
        <v>AH9</v>
      </c>
      <c r="BH43" s="378"/>
      <c r="BI43" s="3815"/>
      <c r="BJ43" s="3816"/>
      <c r="BK43" s="3904"/>
      <c r="BL43" s="356"/>
      <c r="BM43" s="381">
        <v>15</v>
      </c>
    </row>
    <row r="44" spans="1:65" ht="15" customHeight="1">
      <c r="A44" s="3862"/>
      <c r="B44" s="551">
        <f t="shared" si="3"/>
        <v>0</v>
      </c>
      <c r="C44" s="546"/>
      <c r="D44" s="3374">
        <f>IF(ISBLANK(AX7),(AA44/AS7)*AW7,(AA44/AX7)*AY7)</f>
        <v>0</v>
      </c>
      <c r="E44" s="533">
        <f t="shared" si="4"/>
        <v>0</v>
      </c>
      <c r="F44" s="532">
        <f>IF(ISBLANK(AX7),(AD44/AS7)*AW7,(AD44/AX7)*AY7)</f>
        <v>0</v>
      </c>
      <c r="G44" s="3374">
        <f>IF(ISBLANK(AX8),(AA44/AS7)*AW8,(AA44/AX8)*AY8)</f>
        <v>0</v>
      </c>
      <c r="H44" s="533">
        <f t="shared" si="5"/>
        <v>0</v>
      </c>
      <c r="I44" s="532">
        <f>IF(ISBLANK(AX8),(AD44/AS7)*AW8,(AD44/AX8)*AY8)</f>
        <v>0</v>
      </c>
      <c r="J44" s="3374">
        <f>IF(ISBLANK(AX9),(AA44/AS7)*AW9,(AA44/AX9)*AY9)</f>
        <v>0</v>
      </c>
      <c r="K44" s="533">
        <f t="shared" si="6"/>
        <v>0</v>
      </c>
      <c r="L44" s="532">
        <f>IF(ISBLANK(AX9),(AD44/AS7)*AW9,(AD44/AX9)*AY9)</f>
        <v>0</v>
      </c>
      <c r="M44" s="3374">
        <f>IF(ISBLANK(AX10),(AA44/AS7)*AW10,(AA44/AX10)*AY10)</f>
        <v>0</v>
      </c>
      <c r="N44" s="533">
        <f t="shared" si="7"/>
        <v>0</v>
      </c>
      <c r="O44" s="532">
        <f>IF(ISBLANK(AX10),(AD44/AS7)*AW10,(AD44/AX10)*AY10)</f>
        <v>0</v>
      </c>
      <c r="P44" s="3374">
        <f>IF(ISBLANK(AX11),(AA44/AS7)*AW11,(AA44/AX11)*AY11)</f>
        <v>0</v>
      </c>
      <c r="Q44" s="533">
        <f t="shared" si="8"/>
        <v>0</v>
      </c>
      <c r="R44" s="532">
        <f>IF(ISBLANK(AX11),(AD44/AS7)*AW11,(AD44/AX11)*AY11)</f>
        <v>0</v>
      </c>
      <c r="S44" s="3374">
        <f>IF(ISBLANK(AX12),(AA44/AS7)*AW12,(AA44/AX12)*AY12)</f>
        <v>0</v>
      </c>
      <c r="T44" s="533">
        <f t="shared" si="9"/>
        <v>0</v>
      </c>
      <c r="U44" s="532">
        <f>IF(ISBLANK(AX12),(AD44/AS7)*AW12,(AD44/AX12)*AY12)</f>
        <v>0</v>
      </c>
      <c r="V44" s="531">
        <f t="shared" si="10"/>
        <v>0</v>
      </c>
      <c r="W44" s="530">
        <f t="shared" si="11"/>
        <v>0</v>
      </c>
      <c r="X44" s="529">
        <f t="shared" si="12"/>
        <v>0</v>
      </c>
      <c r="Y44" s="4021"/>
      <c r="Z44" s="515"/>
      <c r="AA44" s="528"/>
      <c r="AB44" s="527"/>
      <c r="AC44" s="526"/>
      <c r="AD44" s="525">
        <f t="shared" si="13"/>
        <v>0</v>
      </c>
      <c r="AE44" s="524"/>
      <c r="AF44" s="523"/>
      <c r="AG44" s="522"/>
      <c r="AH44" s="521">
        <f>IF(ISBLANK(AH9),(AA44/AD10)*AJ7,(AA44/AH9)*AI9)</f>
        <v>0</v>
      </c>
      <c r="AI44" s="520">
        <f t="shared" si="14"/>
        <v>0</v>
      </c>
      <c r="AJ44" s="519">
        <f>IF(ISBLANK(AH9),(AD44/AD10)*AJ7,(AD44/AH9)*AI9)</f>
        <v>0</v>
      </c>
      <c r="AK44" s="518"/>
      <c r="AL44" s="517">
        <f t="shared" si="15"/>
        <v>0</v>
      </c>
      <c r="AM44" s="516"/>
      <c r="AN44" s="372">
        <f t="shared" si="16"/>
        <v>0</v>
      </c>
      <c r="AO44" s="3926"/>
      <c r="AP44" s="515"/>
      <c r="AQ44" s="378"/>
      <c r="AR44" s="378"/>
      <c r="AS44" s="378"/>
      <c r="AT44" s="378"/>
      <c r="AU44" s="378"/>
      <c r="AV44" s="378"/>
      <c r="AW44" s="378"/>
      <c r="AX44" s="378"/>
      <c r="AY44" s="378"/>
      <c r="AZ44" s="378"/>
      <c r="BA44" s="378"/>
      <c r="BB44" s="378"/>
      <c r="BC44" s="378"/>
      <c r="BD44" s="378"/>
      <c r="BE44" s="564"/>
      <c r="BF44" s="563" t="s">
        <v>211</v>
      </c>
      <c r="BG44" s="513" t="str">
        <f>ADDRESS(ROW(AI9),COLUMN(AI9),4)</f>
        <v>AI9</v>
      </c>
      <c r="BH44" s="378"/>
      <c r="BI44" s="3815"/>
      <c r="BJ44" s="3816"/>
      <c r="BK44" s="3904"/>
      <c r="BL44" s="356"/>
      <c r="BM44" s="381">
        <v>15</v>
      </c>
    </row>
    <row r="45" spans="1:65" ht="15" customHeight="1">
      <c r="A45" s="3862"/>
      <c r="B45" s="551">
        <f t="shared" ref="B45:B62" si="17">AF45</f>
        <v>0</v>
      </c>
      <c r="C45" s="546"/>
      <c r="D45" s="3374">
        <f>IF(ISBLANK(AX7),(AA45/AS7)*AW7,(AA45/AX7)*AY7)</f>
        <v>0</v>
      </c>
      <c r="E45" s="533">
        <f t="shared" ref="E45:E62" si="18">AB45</f>
        <v>0</v>
      </c>
      <c r="F45" s="532">
        <f>IF(ISBLANK(AX7),(AD45/AS7)*AW7,(AD45/AX7)*AY7)</f>
        <v>0</v>
      </c>
      <c r="G45" s="3374">
        <f>IF(ISBLANK(AX8),(AA45/AS7)*AW8,(AA45/AX8)*AY8)</f>
        <v>0</v>
      </c>
      <c r="H45" s="533">
        <f t="shared" ref="H45:H62" si="19">AB45</f>
        <v>0</v>
      </c>
      <c r="I45" s="532">
        <f>IF(ISBLANK(AX8),(AD45/AS7)*AW8,(AD45/AX8)*AY8)</f>
        <v>0</v>
      </c>
      <c r="J45" s="3374">
        <f>IF(ISBLANK(AX9),(AA45/AS7)*AW9,(AA45/AX9)*AY9)</f>
        <v>0</v>
      </c>
      <c r="K45" s="533">
        <f t="shared" ref="K45:K62" si="20">AB45</f>
        <v>0</v>
      </c>
      <c r="L45" s="532">
        <f>IF(ISBLANK(AX9),(AD45/AS7)*AW9,(AD45/AX9)*AY9)</f>
        <v>0</v>
      </c>
      <c r="M45" s="3374">
        <f>IF(ISBLANK(AX10),(AA45/AS7)*AW10,(AA45/AX10)*AY10)</f>
        <v>0</v>
      </c>
      <c r="N45" s="533">
        <f t="shared" ref="N45:N62" si="21">AB45</f>
        <v>0</v>
      </c>
      <c r="O45" s="532">
        <f>IF(ISBLANK(AX10),(AD45/AS7)*AW10,(AD45/AX10)*AY10)</f>
        <v>0</v>
      </c>
      <c r="P45" s="3374">
        <f>IF(ISBLANK(AX11),(AA45/AS7)*AW11,(AA45/AX11)*AY11)</f>
        <v>0</v>
      </c>
      <c r="Q45" s="533">
        <f t="shared" ref="Q45:Q62" si="22">AB45</f>
        <v>0</v>
      </c>
      <c r="R45" s="532">
        <f>IF(ISBLANK(AX11),(AD45/AS7)*AW11,(AD45/AX11)*AY11)</f>
        <v>0</v>
      </c>
      <c r="S45" s="3374">
        <f>IF(ISBLANK(AX12),(AA45/AS7)*AW12,(AA45/AX12)*AY12)</f>
        <v>0</v>
      </c>
      <c r="T45" s="533">
        <f t="shared" ref="T45:T62" si="23">AB45</f>
        <v>0</v>
      </c>
      <c r="U45" s="532">
        <f>IF(ISBLANK(AX12),(AD45/AS7)*AW12,(AD45/AX12)*AY12)</f>
        <v>0</v>
      </c>
      <c r="V45" s="531">
        <f t="shared" ref="V45:V76" si="24">SUM(F45,I45,L45,O45,R45,U45)</f>
        <v>0</v>
      </c>
      <c r="W45" s="530">
        <f t="shared" ref="W45:W62" si="25">SUM(D45,G45,J45,M45,P45,S45)</f>
        <v>0</v>
      </c>
      <c r="X45" s="529">
        <f t="shared" ref="X45:X76" si="26">IF(V45&lt;0.001,AM45*W45,AM45*V45)</f>
        <v>0</v>
      </c>
      <c r="Y45" s="4021"/>
      <c r="Z45" s="515"/>
      <c r="AA45" s="545"/>
      <c r="AB45" s="544"/>
      <c r="AC45" s="543"/>
      <c r="AD45" s="542">
        <f t="shared" ref="AD45:AD76" si="27">IF(ISBLANK(AA45),AC45,AA45*AC45)</f>
        <v>0</v>
      </c>
      <c r="AE45" s="541"/>
      <c r="AF45" s="523"/>
      <c r="AG45" s="522"/>
      <c r="AH45" s="540">
        <f>IF(ISBLANK(AH9),(AA45/AD10)*AJ7,(AA45/AH9)*AI9)</f>
        <v>0</v>
      </c>
      <c r="AI45" s="539">
        <f t="shared" ref="AI45:AI62" si="28">AB45</f>
        <v>0</v>
      </c>
      <c r="AJ45" s="538">
        <f>IF(ISBLANK(AH9),(AD45/AD10)*AJ7,(AD45/AH9)*AI9)</f>
        <v>0</v>
      </c>
      <c r="AK45" s="518"/>
      <c r="AL45" s="537">
        <f t="shared" ref="AL45:AL76" si="29">IF(AD45=0,0,((AJ45-(AJ45*AK45%))))</f>
        <v>0</v>
      </c>
      <c r="AM45" s="516"/>
      <c r="AN45" s="372">
        <f t="shared" ref="AN45:AN76" si="30">IF(ISBLANK(AC45),AH45*AM45,AJ45*AM45)</f>
        <v>0</v>
      </c>
      <c r="AO45" s="3926"/>
      <c r="AP45" s="515"/>
      <c r="AQ45" s="378"/>
      <c r="AR45" s="395" t="s">
        <v>100</v>
      </c>
      <c r="AS45" s="395"/>
      <c r="AT45" s="395"/>
      <c r="AU45" s="395"/>
      <c r="AV45" s="395"/>
      <c r="AW45" s="395"/>
      <c r="AX45" s="395"/>
      <c r="AY45" s="395"/>
      <c r="AZ45" s="378"/>
      <c r="BA45" s="378"/>
      <c r="BB45" s="378"/>
      <c r="BC45" s="378"/>
      <c r="BD45" s="378"/>
      <c r="BE45" s="3654" t="s">
        <v>210</v>
      </c>
      <c r="BF45" s="3655"/>
      <c r="BG45" s="3656"/>
      <c r="BH45" s="378"/>
      <c r="BI45" s="3815" t="s">
        <v>115</v>
      </c>
      <c r="BJ45" s="3816"/>
      <c r="BK45" s="3904"/>
      <c r="BL45" s="356"/>
      <c r="BM45" s="381">
        <v>15</v>
      </c>
    </row>
    <row r="46" spans="1:65" ht="15" customHeight="1">
      <c r="A46" s="3862"/>
      <c r="B46" s="551">
        <f t="shared" si="17"/>
        <v>0</v>
      </c>
      <c r="C46" s="546"/>
      <c r="D46" s="3374">
        <f>IF(ISBLANK(AX7),(AA46/AS7)*AW7,(AA46/AX7)*AY7)</f>
        <v>0</v>
      </c>
      <c r="E46" s="533">
        <f t="shared" si="18"/>
        <v>0</v>
      </c>
      <c r="F46" s="532">
        <f>IF(ISBLANK(AX7),(AD46/AS7)*AW7,(AD46/AX7)*AY7)</f>
        <v>0</v>
      </c>
      <c r="G46" s="3374">
        <f>IF(ISBLANK(AX8),(AA46/AS7)*AW8,(AA46/AX8)*AY8)</f>
        <v>0</v>
      </c>
      <c r="H46" s="533">
        <f t="shared" si="19"/>
        <v>0</v>
      </c>
      <c r="I46" s="532">
        <f>IF(ISBLANK(AX8),(AD46/AS7)*AW8,(AD46/AX8)*AY8)</f>
        <v>0</v>
      </c>
      <c r="J46" s="3374">
        <f>IF(ISBLANK(AX9),(AA46/AS7)*AW9,(AA46/AX9)*AY9)</f>
        <v>0</v>
      </c>
      <c r="K46" s="533">
        <f t="shared" si="20"/>
        <v>0</v>
      </c>
      <c r="L46" s="532">
        <f>IF(ISBLANK(AX9),(AD46/AS7)*AW9,(AD46/AX9)*AY9)</f>
        <v>0</v>
      </c>
      <c r="M46" s="3374">
        <f>IF(ISBLANK(AX10),(AA46/AS7)*AW10,(AA46/AX10)*AY10)</f>
        <v>0</v>
      </c>
      <c r="N46" s="533">
        <f t="shared" si="21"/>
        <v>0</v>
      </c>
      <c r="O46" s="532">
        <f>IF(ISBLANK(AX10),(AD46/AS7)*AW10,(AD46/AX10)*AY10)</f>
        <v>0</v>
      </c>
      <c r="P46" s="3374">
        <f>IF(ISBLANK(AX11),(AA46/AS7)*AW11,(AA46/AX11)*AY11)</f>
        <v>0</v>
      </c>
      <c r="Q46" s="533">
        <f t="shared" si="22"/>
        <v>0</v>
      </c>
      <c r="R46" s="532">
        <f>IF(ISBLANK(AX11),(AD46/AS7)*AW11,(AD46/AX11)*AY11)</f>
        <v>0</v>
      </c>
      <c r="S46" s="3374">
        <f>IF(ISBLANK(AX12),(AA46/AS7)*AW12,(AA46/AX12)*AY12)</f>
        <v>0</v>
      </c>
      <c r="T46" s="533">
        <f t="shared" si="23"/>
        <v>0</v>
      </c>
      <c r="U46" s="532">
        <f>IF(ISBLANK(AX12),(AD46/AS7)*AW12,(AD46/AX12)*AY12)</f>
        <v>0</v>
      </c>
      <c r="V46" s="531">
        <f t="shared" si="24"/>
        <v>0</v>
      </c>
      <c r="W46" s="530">
        <f t="shared" si="25"/>
        <v>0</v>
      </c>
      <c r="X46" s="529">
        <f t="shared" si="26"/>
        <v>0</v>
      </c>
      <c r="Y46" s="4021"/>
      <c r="Z46" s="515"/>
      <c r="AA46" s="528"/>
      <c r="AB46" s="527"/>
      <c r="AC46" s="526"/>
      <c r="AD46" s="525">
        <f t="shared" si="27"/>
        <v>0</v>
      </c>
      <c r="AE46" s="524"/>
      <c r="AF46" s="523"/>
      <c r="AG46" s="522"/>
      <c r="AH46" s="521">
        <f>IF(ISBLANK(AH9),(AA46/AD10)*AJ7,(AA46/AH9)*AI9)</f>
        <v>0</v>
      </c>
      <c r="AI46" s="520">
        <f t="shared" si="28"/>
        <v>0</v>
      </c>
      <c r="AJ46" s="519">
        <f>IF(ISBLANK(AH9),(AD46/AD10)*AJ7,(AD46/AH9)*AI9)</f>
        <v>0</v>
      </c>
      <c r="AK46" s="518"/>
      <c r="AL46" s="517">
        <f t="shared" si="29"/>
        <v>0</v>
      </c>
      <c r="AM46" s="516"/>
      <c r="AN46" s="372">
        <f t="shared" si="30"/>
        <v>0</v>
      </c>
      <c r="AO46" s="3926"/>
      <c r="AP46" s="515"/>
      <c r="AQ46" s="378"/>
      <c r="AR46" s="395" t="s">
        <v>101</v>
      </c>
      <c r="AS46" s="395"/>
      <c r="AT46" s="395"/>
      <c r="AU46" s="395"/>
      <c r="AV46" s="395"/>
      <c r="AW46" s="395"/>
      <c r="AX46" s="395"/>
      <c r="AY46" s="395"/>
      <c r="AZ46" s="378"/>
      <c r="BA46" s="378"/>
      <c r="BB46" s="378"/>
      <c r="BC46" s="378"/>
      <c r="BD46" s="378"/>
      <c r="BE46" s="3654"/>
      <c r="BF46" s="3655"/>
      <c r="BG46" s="3656"/>
      <c r="BH46" s="378"/>
      <c r="BI46" s="3815"/>
      <c r="BJ46" s="3816"/>
      <c r="BK46" s="3904"/>
      <c r="BL46" s="356"/>
      <c r="BM46" s="381">
        <v>15</v>
      </c>
    </row>
    <row r="47" spans="1:65" ht="15" customHeight="1">
      <c r="A47" s="3862"/>
      <c r="B47" s="551">
        <f t="shared" si="17"/>
        <v>0</v>
      </c>
      <c r="C47" s="546"/>
      <c r="D47" s="3374">
        <f>IF(ISBLANK(AX7),(AA47/AS7)*AW7,(AA47/AX7)*AY7)</f>
        <v>0</v>
      </c>
      <c r="E47" s="533">
        <f t="shared" si="18"/>
        <v>0</v>
      </c>
      <c r="F47" s="532">
        <f>IF(ISBLANK(AX7),(AD47/AS7)*AW7,(AD47/AX7)*AY7)</f>
        <v>0</v>
      </c>
      <c r="G47" s="3374">
        <f>IF(ISBLANK(AX8),(AA47/AS7)*AW8,(AA47/AX8)*AY8)</f>
        <v>0</v>
      </c>
      <c r="H47" s="533">
        <f t="shared" si="19"/>
        <v>0</v>
      </c>
      <c r="I47" s="532">
        <f>IF(ISBLANK(AX8),(AD47/AS7)*AW8,(AD47/AX8)*AY8)</f>
        <v>0</v>
      </c>
      <c r="J47" s="3374">
        <f>IF(ISBLANK(AX9),(AA47/AS7)*AW9,(AA47/AX9)*AY9)</f>
        <v>0</v>
      </c>
      <c r="K47" s="533">
        <f t="shared" si="20"/>
        <v>0</v>
      </c>
      <c r="L47" s="532">
        <f>IF(ISBLANK(AX9),(AD47/AS7)*AW9,(AD47/AX9)*AY9)</f>
        <v>0</v>
      </c>
      <c r="M47" s="3374">
        <f>IF(ISBLANK(AX10),(AA47/AS7)*AW10,(AA47/AX10)*AY10)</f>
        <v>0</v>
      </c>
      <c r="N47" s="533">
        <f t="shared" si="21"/>
        <v>0</v>
      </c>
      <c r="O47" s="532">
        <f>IF(ISBLANK(AX10),(AD47/AS7)*AW10,(AD47/AX10)*AY10)</f>
        <v>0</v>
      </c>
      <c r="P47" s="3374">
        <f>IF(ISBLANK(AX11),(AA47/AS7)*AW11,(AA47/AX11)*AY11)</f>
        <v>0</v>
      </c>
      <c r="Q47" s="533">
        <f t="shared" si="22"/>
        <v>0</v>
      </c>
      <c r="R47" s="532">
        <f>IF(ISBLANK(AX11),(AD47/AS7)*AW11,(AD47/AX11)*AY11)</f>
        <v>0</v>
      </c>
      <c r="S47" s="3374">
        <f>IF(ISBLANK(AX12),(AA47/AS7)*AW12,(AA47/AX12)*AY12)</f>
        <v>0</v>
      </c>
      <c r="T47" s="533">
        <f t="shared" si="23"/>
        <v>0</v>
      </c>
      <c r="U47" s="532">
        <f>IF(ISBLANK(AX12),(AD47/AS7)*AW12,(AD47/AX12)*AY12)</f>
        <v>0</v>
      </c>
      <c r="V47" s="531">
        <f t="shared" si="24"/>
        <v>0</v>
      </c>
      <c r="W47" s="530">
        <f t="shared" si="25"/>
        <v>0</v>
      </c>
      <c r="X47" s="529">
        <f t="shared" si="26"/>
        <v>0</v>
      </c>
      <c r="Y47" s="4021"/>
      <c r="Z47" s="515"/>
      <c r="AA47" s="545"/>
      <c r="AB47" s="544"/>
      <c r="AC47" s="543"/>
      <c r="AD47" s="542">
        <f t="shared" si="27"/>
        <v>0</v>
      </c>
      <c r="AE47" s="541"/>
      <c r="AF47" s="523"/>
      <c r="AG47" s="522"/>
      <c r="AH47" s="540">
        <f>IF(ISBLANK(AH9),(AA47/AD10)*AJ7,(AA47/AH9)*AI9)</f>
        <v>0</v>
      </c>
      <c r="AI47" s="539">
        <f t="shared" si="28"/>
        <v>0</v>
      </c>
      <c r="AJ47" s="538">
        <f>IF(ISBLANK(AH9),(AD47/AD10)*AJ7,(AD47/AH9)*AI9)</f>
        <v>0</v>
      </c>
      <c r="AK47" s="518"/>
      <c r="AL47" s="537">
        <f t="shared" si="29"/>
        <v>0</v>
      </c>
      <c r="AM47" s="516"/>
      <c r="AN47" s="372">
        <f t="shared" si="30"/>
        <v>0</v>
      </c>
      <c r="AO47" s="3926"/>
      <c r="AP47" s="515"/>
      <c r="AQ47" s="378"/>
      <c r="AR47" s="395" t="s">
        <v>209</v>
      </c>
      <c r="AS47" s="395"/>
      <c r="AT47" s="395"/>
      <c r="AU47" s="395"/>
      <c r="AV47" s="395"/>
      <c r="AW47" s="395"/>
      <c r="AX47" s="395"/>
      <c r="AY47" s="395"/>
      <c r="AZ47" s="378"/>
      <c r="BA47" s="378"/>
      <c r="BB47" s="378"/>
      <c r="BC47" s="378"/>
      <c r="BD47" s="378"/>
      <c r="BE47" s="3905" t="s">
        <v>208</v>
      </c>
      <c r="BF47" s="3906"/>
      <c r="BG47" s="3907"/>
      <c r="BH47" s="378"/>
      <c r="BI47" s="3815"/>
      <c r="BJ47" s="3816"/>
      <c r="BK47" s="3904"/>
      <c r="BL47" s="356"/>
      <c r="BM47" s="381">
        <v>15</v>
      </c>
    </row>
    <row r="48" spans="1:65" ht="15" customHeight="1" thickBot="1">
      <c r="A48" s="3862"/>
      <c r="B48" s="551">
        <f t="shared" si="17"/>
        <v>0</v>
      </c>
      <c r="C48" s="546"/>
      <c r="D48" s="3374">
        <f>IF(ISBLANK(AX7),(AA48/AS7)*AW7,(AA48/AX7)*AY7)</f>
        <v>0</v>
      </c>
      <c r="E48" s="533">
        <f t="shared" si="18"/>
        <v>0</v>
      </c>
      <c r="F48" s="532">
        <f>IF(ISBLANK(AX7),(AD48/AS7)*AW7,(AD48/AX7)*AY7)</f>
        <v>0</v>
      </c>
      <c r="G48" s="3374">
        <f>IF(ISBLANK(AX8),(AA48/AS7)*AW8,(AA48/AX8)*AY8)</f>
        <v>0</v>
      </c>
      <c r="H48" s="533">
        <f t="shared" si="19"/>
        <v>0</v>
      </c>
      <c r="I48" s="532">
        <f>IF(ISBLANK(AX8),(AD48/AS7)*AW8,(AD48/AX8)*AY8)</f>
        <v>0</v>
      </c>
      <c r="J48" s="3374">
        <f>IF(ISBLANK(AX9),(AA48/AS7)*AW9,(AA48/AX9)*AY9)</f>
        <v>0</v>
      </c>
      <c r="K48" s="533">
        <f t="shared" si="20"/>
        <v>0</v>
      </c>
      <c r="L48" s="532">
        <f>IF(ISBLANK(AX9),(AD48/AS7)*AW9,(AD48/AX9)*AY9)</f>
        <v>0</v>
      </c>
      <c r="M48" s="3374">
        <f>IF(ISBLANK(AX10),(AA48/AS7)*AW10,(AA48/AX10)*AY10)</f>
        <v>0</v>
      </c>
      <c r="N48" s="533">
        <f t="shared" si="21"/>
        <v>0</v>
      </c>
      <c r="O48" s="532">
        <f>IF(ISBLANK(AX10),(AD48/AS7)*AW10,(AD48/AX10)*AY10)</f>
        <v>0</v>
      </c>
      <c r="P48" s="3374">
        <f>IF(ISBLANK(AX11),(AA48/AS7)*AW11,(AA48/AX11)*AY11)</f>
        <v>0</v>
      </c>
      <c r="Q48" s="533">
        <f t="shared" si="22"/>
        <v>0</v>
      </c>
      <c r="R48" s="532">
        <f>IF(ISBLANK(AX11),(AD48/AS7)*AW11,(AD48/AX11)*AY11)</f>
        <v>0</v>
      </c>
      <c r="S48" s="3374">
        <f>IF(ISBLANK(AX12),(AA48/AS7)*AW12,(AA48/AX12)*AY12)</f>
        <v>0</v>
      </c>
      <c r="T48" s="533">
        <f t="shared" si="23"/>
        <v>0</v>
      </c>
      <c r="U48" s="532">
        <f>IF(ISBLANK(AX12),(AD48/AS7)*AW12,(AD48/AX12)*AY12)</f>
        <v>0</v>
      </c>
      <c r="V48" s="531">
        <f t="shared" si="24"/>
        <v>0</v>
      </c>
      <c r="W48" s="530">
        <f t="shared" si="25"/>
        <v>0</v>
      </c>
      <c r="X48" s="529">
        <f t="shared" si="26"/>
        <v>0</v>
      </c>
      <c r="Y48" s="4021"/>
      <c r="Z48" s="515"/>
      <c r="AA48" s="528"/>
      <c r="AB48" s="527"/>
      <c r="AC48" s="526"/>
      <c r="AD48" s="525">
        <f t="shared" si="27"/>
        <v>0</v>
      </c>
      <c r="AE48" s="524"/>
      <c r="AF48" s="523"/>
      <c r="AG48" s="522"/>
      <c r="AH48" s="521">
        <f>IF(ISBLANK(AH9),(AA48/AD10)*AJ7,(AA48/AH9)*AI9)</f>
        <v>0</v>
      </c>
      <c r="AI48" s="520">
        <f t="shared" si="28"/>
        <v>0</v>
      </c>
      <c r="AJ48" s="519">
        <f>IF(ISBLANK(AH9),(AD48/AD10)*AJ7,(AD48/AH9)*AI9)</f>
        <v>0</v>
      </c>
      <c r="AK48" s="518"/>
      <c r="AL48" s="517">
        <f t="shared" si="29"/>
        <v>0</v>
      </c>
      <c r="AM48" s="516"/>
      <c r="AN48" s="372">
        <f t="shared" si="30"/>
        <v>0</v>
      </c>
      <c r="AO48" s="3926"/>
      <c r="AP48" s="515"/>
      <c r="AQ48" s="378"/>
      <c r="AR48" s="395"/>
      <c r="AS48" s="395"/>
      <c r="AT48" s="395"/>
      <c r="AU48" s="395"/>
      <c r="AV48" s="395"/>
      <c r="AW48" s="395"/>
      <c r="AX48" s="395"/>
      <c r="AY48" s="395"/>
      <c r="AZ48" s="378"/>
      <c r="BA48" s="378"/>
      <c r="BB48" s="378"/>
      <c r="BC48" s="378"/>
      <c r="BD48" s="378"/>
      <c r="BE48" s="3905"/>
      <c r="BF48" s="3906"/>
      <c r="BG48" s="3907"/>
      <c r="BH48" s="378"/>
      <c r="BI48" s="562">
        <f ca="1">CELL("largeur",BI48)</f>
        <v>11</v>
      </c>
      <c r="BJ48" s="561">
        <f ca="1">CELL("largeur",BJ48)</f>
        <v>11</v>
      </c>
      <c r="BK48" s="560">
        <f ca="1">CELL("largeur",BK48)</f>
        <v>11</v>
      </c>
      <c r="BL48" s="356"/>
      <c r="BM48" s="381">
        <v>15</v>
      </c>
    </row>
    <row r="49" spans="1:65" ht="15" customHeight="1">
      <c r="A49" s="3862"/>
      <c r="B49" s="551">
        <f t="shared" si="17"/>
        <v>0</v>
      </c>
      <c r="C49" s="546"/>
      <c r="D49" s="3374">
        <f>IF(ISBLANK(AX7),(AA49/AS7)*AW7,(AA49/AX7)*AY7)</f>
        <v>0</v>
      </c>
      <c r="E49" s="533">
        <f t="shared" si="18"/>
        <v>0</v>
      </c>
      <c r="F49" s="532">
        <f>IF(ISBLANK(AX7),(AD49/AS7)*AW7,(AD49/AX7)*AY7)</f>
        <v>0</v>
      </c>
      <c r="G49" s="3374">
        <f>IF(ISBLANK(AX8),(AA49/AS7)*AW8,(AA49/AX8)*AY8)</f>
        <v>0</v>
      </c>
      <c r="H49" s="533">
        <f t="shared" si="19"/>
        <v>0</v>
      </c>
      <c r="I49" s="532">
        <f>IF(ISBLANK(AX8),(AD49/AS7)*AW8,(AD49/AX8)*AY8)</f>
        <v>0</v>
      </c>
      <c r="J49" s="3374">
        <f>IF(ISBLANK(AX9),(AA49/AS7)*AW9,(AA49/AX9)*AY9)</f>
        <v>0</v>
      </c>
      <c r="K49" s="533">
        <f t="shared" si="20"/>
        <v>0</v>
      </c>
      <c r="L49" s="532">
        <f>IF(ISBLANK(AX9),(AD49/AS7)*AW9,(AD49/AX9)*AY9)</f>
        <v>0</v>
      </c>
      <c r="M49" s="3374">
        <f>IF(ISBLANK(AX10),(AA49/AS7)*AW10,(AA49/AX10)*AY10)</f>
        <v>0</v>
      </c>
      <c r="N49" s="533">
        <f t="shared" si="21"/>
        <v>0</v>
      </c>
      <c r="O49" s="532">
        <f>IF(ISBLANK(AX10),(AD49/AS7)*AW10,(AD49/AX10)*AY10)</f>
        <v>0</v>
      </c>
      <c r="P49" s="3374">
        <f>IF(ISBLANK(AX11),(AA49/AS7)*AW11,(AA49/AX11)*AY11)</f>
        <v>0</v>
      </c>
      <c r="Q49" s="533">
        <f t="shared" si="22"/>
        <v>0</v>
      </c>
      <c r="R49" s="532">
        <f>IF(ISBLANK(AX11),(AD49/AS7)*AW11,(AD49/AX11)*AY11)</f>
        <v>0</v>
      </c>
      <c r="S49" s="3374">
        <f>IF(ISBLANK(AX12),(AA49/AS7)*AW12,(AA49/AX12)*AY12)</f>
        <v>0</v>
      </c>
      <c r="T49" s="533">
        <f t="shared" si="23"/>
        <v>0</v>
      </c>
      <c r="U49" s="532">
        <f>IF(ISBLANK(AX12),(AD49/AS7)*AW12,(AD49/AX12)*AY12)</f>
        <v>0</v>
      </c>
      <c r="V49" s="531">
        <f t="shared" si="24"/>
        <v>0</v>
      </c>
      <c r="W49" s="530">
        <f t="shared" si="25"/>
        <v>0</v>
      </c>
      <c r="X49" s="529">
        <f t="shared" si="26"/>
        <v>0</v>
      </c>
      <c r="Y49" s="4021"/>
      <c r="Z49" s="515"/>
      <c r="AA49" s="545"/>
      <c r="AB49" s="544"/>
      <c r="AC49" s="543"/>
      <c r="AD49" s="542">
        <f t="shared" si="27"/>
        <v>0</v>
      </c>
      <c r="AE49" s="541"/>
      <c r="AF49" s="523"/>
      <c r="AG49" s="522"/>
      <c r="AH49" s="540">
        <f>IF(ISBLANK(AH9),(AA49/AD10)*AJ7,(AA49/AH9)*AI9)</f>
        <v>0</v>
      </c>
      <c r="AI49" s="539">
        <f t="shared" si="28"/>
        <v>0</v>
      </c>
      <c r="AJ49" s="538">
        <f>IF(ISBLANK(AH9),(AD49/AD10)*AJ7,(AD49/AH9)*AI9)</f>
        <v>0</v>
      </c>
      <c r="AK49" s="518"/>
      <c r="AL49" s="537">
        <f t="shared" si="29"/>
        <v>0</v>
      </c>
      <c r="AM49" s="516"/>
      <c r="AN49" s="372">
        <f t="shared" si="30"/>
        <v>0</v>
      </c>
      <c r="AO49" s="3926"/>
      <c r="AP49" s="515"/>
      <c r="AQ49" s="378"/>
      <c r="AR49" s="559" t="s">
        <v>106</v>
      </c>
      <c r="AS49" s="558"/>
      <c r="AT49" s="558"/>
      <c r="AU49" s="558"/>
      <c r="AV49" s="558"/>
      <c r="AW49" s="558"/>
      <c r="AX49" s="558"/>
      <c r="AY49" s="558"/>
      <c r="AZ49" s="378"/>
      <c r="BA49" s="378"/>
      <c r="BB49" s="378"/>
      <c r="BC49" s="378"/>
      <c r="BD49" s="378"/>
      <c r="BE49" s="3660" t="s">
        <v>207</v>
      </c>
      <c r="BF49" s="3661"/>
      <c r="BG49" s="3662"/>
      <c r="BH49" s="378"/>
      <c r="BI49" s="378"/>
      <c r="BJ49" s="356"/>
      <c r="BK49" s="356"/>
      <c r="BL49" s="356"/>
      <c r="BM49" s="381">
        <v>15</v>
      </c>
    </row>
    <row r="50" spans="1:65" ht="15" customHeight="1">
      <c r="A50" s="3862"/>
      <c r="B50" s="551">
        <f t="shared" si="17"/>
        <v>0</v>
      </c>
      <c r="C50" s="546"/>
      <c r="D50" s="3374">
        <f>IF(ISBLANK(AX7),(AA50/AS7)*AW7,(AA50/AX7)*AY7)</f>
        <v>0</v>
      </c>
      <c r="E50" s="533">
        <f t="shared" si="18"/>
        <v>0</v>
      </c>
      <c r="F50" s="532">
        <f>IF(ISBLANK(AX7),(AD50/AS7)*AW7,(AD50/AX7)*AY7)</f>
        <v>0</v>
      </c>
      <c r="G50" s="3374">
        <f>IF(ISBLANK(AX8),(AA50/AS7)*AW8,(AA50/AX8)*AY8)</f>
        <v>0</v>
      </c>
      <c r="H50" s="533">
        <f t="shared" si="19"/>
        <v>0</v>
      </c>
      <c r="I50" s="532">
        <f>IF(ISBLANK(AX8),(AD50/AS7)*AW8,(AD50/AX8)*AY8)</f>
        <v>0</v>
      </c>
      <c r="J50" s="3374">
        <f>IF(ISBLANK(AX9),(AA50/AS7)*AW9,(AA50/AX9)*AY9)</f>
        <v>0</v>
      </c>
      <c r="K50" s="533">
        <f t="shared" si="20"/>
        <v>0</v>
      </c>
      <c r="L50" s="532">
        <f>IF(ISBLANK(AX9),(AD50/AS7)*AW9,(AD50/AX9)*AY9)</f>
        <v>0</v>
      </c>
      <c r="M50" s="3374">
        <f>IF(ISBLANK(AX10),(AA50/AS7)*AW10,(AA50/AX10)*AY10)</f>
        <v>0</v>
      </c>
      <c r="N50" s="533">
        <f t="shared" si="21"/>
        <v>0</v>
      </c>
      <c r="O50" s="532">
        <f>IF(ISBLANK(AX10),(AD50/AS7)*AW10,(AD50/AX10)*AY10)</f>
        <v>0</v>
      </c>
      <c r="P50" s="3374">
        <f>IF(ISBLANK(AX11),(AA50/AS7)*AW11,(AA50/AX11)*AY11)</f>
        <v>0</v>
      </c>
      <c r="Q50" s="533">
        <f t="shared" si="22"/>
        <v>0</v>
      </c>
      <c r="R50" s="532">
        <f>IF(ISBLANK(AX11),(AD50/AS7)*AW11,(AD50/AX11)*AY11)</f>
        <v>0</v>
      </c>
      <c r="S50" s="3374">
        <f>IF(ISBLANK(AX12),(AA50/AS7)*AW12,(AA50/AX12)*AY12)</f>
        <v>0</v>
      </c>
      <c r="T50" s="533">
        <f t="shared" si="23"/>
        <v>0</v>
      </c>
      <c r="U50" s="532">
        <f>IF(ISBLANK(AX12),(AD50/AS7)*AW12,(AD50/AX12)*AY12)</f>
        <v>0</v>
      </c>
      <c r="V50" s="531">
        <f t="shared" si="24"/>
        <v>0</v>
      </c>
      <c r="W50" s="530">
        <f t="shared" si="25"/>
        <v>0</v>
      </c>
      <c r="X50" s="529">
        <f t="shared" si="26"/>
        <v>0</v>
      </c>
      <c r="Y50" s="4021"/>
      <c r="Z50" s="515"/>
      <c r="AA50" s="528"/>
      <c r="AB50" s="527"/>
      <c r="AC50" s="526"/>
      <c r="AD50" s="525">
        <f t="shared" si="27"/>
        <v>0</v>
      </c>
      <c r="AE50" s="524"/>
      <c r="AF50" s="523"/>
      <c r="AG50" s="522"/>
      <c r="AH50" s="521">
        <f>IF(ISBLANK(AH9),(AA50/AD10)*AJ7,(AA50/AH9)*AI9)</f>
        <v>0</v>
      </c>
      <c r="AI50" s="520">
        <f t="shared" si="28"/>
        <v>0</v>
      </c>
      <c r="AJ50" s="519">
        <f>IF(ISBLANK(AH9),(AD50/AD10)*AJ7,(AD50/AH9)*AI9)</f>
        <v>0</v>
      </c>
      <c r="AK50" s="518"/>
      <c r="AL50" s="517">
        <f t="shared" si="29"/>
        <v>0</v>
      </c>
      <c r="AM50" s="516"/>
      <c r="AN50" s="372">
        <f t="shared" si="30"/>
        <v>0</v>
      </c>
      <c r="AO50" s="3926"/>
      <c r="AP50" s="515"/>
      <c r="AQ50" s="378"/>
      <c r="AR50" s="559" t="s">
        <v>206</v>
      </c>
      <c r="AS50" s="558"/>
      <c r="AT50" s="558"/>
      <c r="AU50" s="558"/>
      <c r="AV50" s="558"/>
      <c r="AW50" s="558"/>
      <c r="AX50" s="558"/>
      <c r="AY50" s="557"/>
      <c r="AZ50" s="378"/>
      <c r="BA50" s="378"/>
      <c r="BB50" s="378"/>
      <c r="BC50" s="378"/>
      <c r="BD50" s="378"/>
      <c r="BE50" s="3630" t="s">
        <v>205</v>
      </c>
      <c r="BF50" s="3631"/>
      <c r="BG50" s="3632"/>
      <c r="BH50" s="378"/>
      <c r="BI50" s="3942" t="s">
        <v>130</v>
      </c>
      <c r="BJ50" s="4034"/>
      <c r="BK50" s="3838"/>
      <c r="BL50" s="356"/>
      <c r="BM50" s="381">
        <v>15</v>
      </c>
    </row>
    <row r="51" spans="1:65" ht="15" customHeight="1">
      <c r="A51" s="3862"/>
      <c r="B51" s="551">
        <f t="shared" si="17"/>
        <v>0</v>
      </c>
      <c r="C51" s="546"/>
      <c r="D51" s="3374">
        <f>IF(ISBLANK(AX7),(AA51/AS7)*AW7,(AA51/AX7)*AY7)</f>
        <v>0</v>
      </c>
      <c r="E51" s="533">
        <f t="shared" si="18"/>
        <v>0</v>
      </c>
      <c r="F51" s="532">
        <f>IF(ISBLANK(AX7),(AD51/AS7)*AW7,(AD51/AX7)*AY7)</f>
        <v>0</v>
      </c>
      <c r="G51" s="3374">
        <f>IF(ISBLANK(AX8),(AA51/AS7)*AW8,(AA51/AX8)*AY8)</f>
        <v>0</v>
      </c>
      <c r="H51" s="533">
        <f t="shared" si="19"/>
        <v>0</v>
      </c>
      <c r="I51" s="532">
        <f>IF(ISBLANK(AX8),(AD51/AS7)*AW8,(AD51/AX8)*AY8)</f>
        <v>0</v>
      </c>
      <c r="J51" s="3374">
        <f>IF(ISBLANK(AX9),(AA51/AS7)*AW9,(AA51/AX9)*AY9)</f>
        <v>0</v>
      </c>
      <c r="K51" s="533">
        <f t="shared" si="20"/>
        <v>0</v>
      </c>
      <c r="L51" s="532">
        <f>IF(ISBLANK(AX9),(AD51/AS7)*AW9,(AD51/AX9)*AY9)</f>
        <v>0</v>
      </c>
      <c r="M51" s="3374">
        <f>IF(ISBLANK(AX10),(AA51/AS7)*AW10,(AA51/AX10)*AY10)</f>
        <v>0</v>
      </c>
      <c r="N51" s="533">
        <f t="shared" si="21"/>
        <v>0</v>
      </c>
      <c r="O51" s="532">
        <f>IF(ISBLANK(AX10),(AD51/AS7)*AW10,(AD51/AX10)*AY10)</f>
        <v>0</v>
      </c>
      <c r="P51" s="3374">
        <f>IF(ISBLANK(AX11),(AA51/AS7)*AW11,(AA51/AX11)*AY11)</f>
        <v>0</v>
      </c>
      <c r="Q51" s="533">
        <f t="shared" si="22"/>
        <v>0</v>
      </c>
      <c r="R51" s="532">
        <f>IF(ISBLANK(AX11),(AD51/AS7)*AW11,(AD51/AX11)*AY11)</f>
        <v>0</v>
      </c>
      <c r="S51" s="3374">
        <f>IF(ISBLANK(AX12),(AA51/AS7)*AW12,(AA51/AX12)*AY12)</f>
        <v>0</v>
      </c>
      <c r="T51" s="533">
        <f t="shared" si="23"/>
        <v>0</v>
      </c>
      <c r="U51" s="532">
        <f>IF(ISBLANK(AX12),(AD51/AS7)*AW12,(AD51/AX12)*AY12)</f>
        <v>0</v>
      </c>
      <c r="V51" s="531">
        <f t="shared" si="24"/>
        <v>0</v>
      </c>
      <c r="W51" s="530">
        <f t="shared" si="25"/>
        <v>0</v>
      </c>
      <c r="X51" s="529">
        <f t="shared" si="26"/>
        <v>0</v>
      </c>
      <c r="Y51" s="4021"/>
      <c r="Z51" s="515"/>
      <c r="AA51" s="545"/>
      <c r="AB51" s="544"/>
      <c r="AC51" s="543"/>
      <c r="AD51" s="542">
        <f t="shared" si="27"/>
        <v>0</v>
      </c>
      <c r="AE51" s="541"/>
      <c r="AF51" s="523"/>
      <c r="AG51" s="522"/>
      <c r="AH51" s="540">
        <f>IF(ISBLANK(AH9),(AA51/AD10)*AJ7,(AA51/AH9)*AI9)</f>
        <v>0</v>
      </c>
      <c r="AI51" s="539">
        <f t="shared" si="28"/>
        <v>0</v>
      </c>
      <c r="AJ51" s="538">
        <f>IF(ISBLANK(AH9),(AD51/AD10)*AJ7,(AD51/AH9)*AI9)</f>
        <v>0</v>
      </c>
      <c r="AK51" s="518"/>
      <c r="AL51" s="537">
        <f t="shared" si="29"/>
        <v>0</v>
      </c>
      <c r="AM51" s="516"/>
      <c r="AN51" s="372">
        <f t="shared" si="30"/>
        <v>0</v>
      </c>
      <c r="AO51" s="3926"/>
      <c r="AP51" s="515"/>
      <c r="AQ51" s="378"/>
      <c r="AR51" s="212" t="s">
        <v>108</v>
      </c>
      <c r="AS51" s="3917" t="s">
        <v>109</v>
      </c>
      <c r="AT51" s="3917"/>
      <c r="AU51" s="3917"/>
      <c r="AV51" s="3917"/>
      <c r="AW51" s="3917"/>
      <c r="AX51" s="3917"/>
      <c r="AY51" s="3917"/>
      <c r="AZ51" s="378"/>
      <c r="BA51" s="378"/>
      <c r="BB51" s="378"/>
      <c r="BC51" s="378"/>
      <c r="BD51" s="378"/>
      <c r="BE51" s="3630"/>
      <c r="BF51" s="3631"/>
      <c r="BG51" s="3632"/>
      <c r="BH51" s="378"/>
      <c r="BI51" s="3711" t="s">
        <v>133</v>
      </c>
      <c r="BJ51" s="3712" t="s">
        <v>134</v>
      </c>
      <c r="BK51" s="3713" t="s">
        <v>135</v>
      </c>
      <c r="BL51" s="378"/>
      <c r="BM51" s="381">
        <v>15</v>
      </c>
    </row>
    <row r="52" spans="1:65" ht="15" customHeight="1">
      <c r="A52" s="3862"/>
      <c r="B52" s="551">
        <f t="shared" si="17"/>
        <v>0</v>
      </c>
      <c r="C52" s="546"/>
      <c r="D52" s="3374">
        <f>IF(ISBLANK(AX7),(AA52/AS7)*AW7,(AA52/AX7)*AY7)</f>
        <v>0</v>
      </c>
      <c r="E52" s="533">
        <f t="shared" si="18"/>
        <v>0</v>
      </c>
      <c r="F52" s="532">
        <f>IF(ISBLANK(AX7),(AD52/AS7)*AW7,(AD52/AX7)*AY7)</f>
        <v>0</v>
      </c>
      <c r="G52" s="3374">
        <f>IF(ISBLANK(AX8),(AA52/AS7)*AW8,(AA52/AX8)*AY8)</f>
        <v>0</v>
      </c>
      <c r="H52" s="533">
        <f t="shared" si="19"/>
        <v>0</v>
      </c>
      <c r="I52" s="532">
        <f>IF(ISBLANK(AX8),(AD52/AS7)*AW8,(AD52/AX8)*AY8)</f>
        <v>0</v>
      </c>
      <c r="J52" s="3374">
        <f>IF(ISBLANK(AX9),(AA52/AS7)*AW9,(AA52/AX9)*AY9)</f>
        <v>0</v>
      </c>
      <c r="K52" s="533">
        <f t="shared" si="20"/>
        <v>0</v>
      </c>
      <c r="L52" s="532">
        <f>IF(ISBLANK(AX9),(AD52/AS7)*AW9,(AD52/AX9)*AY9)</f>
        <v>0</v>
      </c>
      <c r="M52" s="3374">
        <f>IF(ISBLANK(AX10),(AA52/AS7)*AW10,(AA52/AX10)*AY10)</f>
        <v>0</v>
      </c>
      <c r="N52" s="533">
        <f t="shared" si="21"/>
        <v>0</v>
      </c>
      <c r="O52" s="532">
        <f>IF(ISBLANK(AX10),(AD52/AS7)*AW10,(AD52/AX10)*AY10)</f>
        <v>0</v>
      </c>
      <c r="P52" s="3374">
        <f>IF(ISBLANK(AX11),(AA52/AS7)*AW11,(AA52/AX11)*AY11)</f>
        <v>0</v>
      </c>
      <c r="Q52" s="533">
        <f t="shared" si="22"/>
        <v>0</v>
      </c>
      <c r="R52" s="532">
        <f>IF(ISBLANK(AX11),(AD52/AS7)*AW11,(AD52/AX11)*AY11)</f>
        <v>0</v>
      </c>
      <c r="S52" s="3374">
        <f>IF(ISBLANK(AX12),(AA52/AS7)*AW12,(AA52/AX12)*AY12)</f>
        <v>0</v>
      </c>
      <c r="T52" s="533">
        <f t="shared" si="23"/>
        <v>0</v>
      </c>
      <c r="U52" s="532">
        <f>IF(ISBLANK(AX12),(AD52/AS7)*AW12,(AD52/AX12)*AY12)</f>
        <v>0</v>
      </c>
      <c r="V52" s="531">
        <f t="shared" si="24"/>
        <v>0</v>
      </c>
      <c r="W52" s="530">
        <f t="shared" si="25"/>
        <v>0</v>
      </c>
      <c r="X52" s="529">
        <f t="shared" si="26"/>
        <v>0</v>
      </c>
      <c r="Y52" s="4021"/>
      <c r="Z52" s="515"/>
      <c r="AA52" s="528"/>
      <c r="AB52" s="527"/>
      <c r="AC52" s="526"/>
      <c r="AD52" s="525">
        <f t="shared" si="27"/>
        <v>0</v>
      </c>
      <c r="AE52" s="524"/>
      <c r="AF52" s="523"/>
      <c r="AG52" s="522"/>
      <c r="AH52" s="521">
        <f>IF(ISBLANK(AH9),(AA52/AD10)*AJ7,(AA52/AH9)*AI9)</f>
        <v>0</v>
      </c>
      <c r="AI52" s="520">
        <f t="shared" si="28"/>
        <v>0</v>
      </c>
      <c r="AJ52" s="519">
        <f>IF(ISBLANK(AH9),(AD52/AD10)*AJ7,(AD52/AH9)*AI9)</f>
        <v>0</v>
      </c>
      <c r="AK52" s="518"/>
      <c r="AL52" s="517">
        <f t="shared" si="29"/>
        <v>0</v>
      </c>
      <c r="AM52" s="516"/>
      <c r="AN52" s="372">
        <f t="shared" si="30"/>
        <v>0</v>
      </c>
      <c r="AO52" s="3926"/>
      <c r="AP52" s="515"/>
      <c r="AQ52" s="378"/>
      <c r="AR52" s="212" t="s">
        <v>108</v>
      </c>
      <c r="AS52" s="3918" t="s">
        <v>111</v>
      </c>
      <c r="AT52" s="3918"/>
      <c r="AU52" s="3918"/>
      <c r="AV52" s="3918"/>
      <c r="AW52" s="3918"/>
      <c r="AX52" s="3918"/>
      <c r="AY52" s="3918"/>
      <c r="AZ52" s="378"/>
      <c r="BA52" s="378"/>
      <c r="BB52" s="378"/>
      <c r="BC52" s="378"/>
      <c r="BD52" s="378"/>
      <c r="BE52" s="3630"/>
      <c r="BF52" s="3631"/>
      <c r="BG52" s="3632"/>
      <c r="BH52" s="378"/>
      <c r="BI52" s="3711"/>
      <c r="BJ52" s="3712"/>
      <c r="BK52" s="3713"/>
      <c r="BL52" s="378"/>
      <c r="BM52" s="381">
        <v>15</v>
      </c>
    </row>
    <row r="53" spans="1:65" ht="15" customHeight="1">
      <c r="A53" s="3862"/>
      <c r="B53" s="551">
        <f t="shared" si="17"/>
        <v>0</v>
      </c>
      <c r="C53" s="546"/>
      <c r="D53" s="3374">
        <f>IF(ISBLANK(AX7),(AA53/AS7)*AW7,(AA53/AX7)*AY7)</f>
        <v>0</v>
      </c>
      <c r="E53" s="533">
        <f t="shared" si="18"/>
        <v>0</v>
      </c>
      <c r="F53" s="532">
        <f>IF(ISBLANK(AX7),(AD53/AS7)*AW7,(AD53/AX7)*AY7)</f>
        <v>0</v>
      </c>
      <c r="G53" s="3374">
        <f>IF(ISBLANK(AX8),(AA53/AS7)*AW8,(AA53/AX8)*AY8)</f>
        <v>0</v>
      </c>
      <c r="H53" s="533">
        <f t="shared" si="19"/>
        <v>0</v>
      </c>
      <c r="I53" s="532">
        <f>IF(ISBLANK(AX8),(AD53/AS7)*AW8,(AD53/AX8)*AY8)</f>
        <v>0</v>
      </c>
      <c r="J53" s="3374">
        <f>IF(ISBLANK(AX9),(AA53/AS7)*AW9,(AA53/AX9)*AY9)</f>
        <v>0</v>
      </c>
      <c r="K53" s="533">
        <f t="shared" si="20"/>
        <v>0</v>
      </c>
      <c r="L53" s="532">
        <f>IF(ISBLANK(AX9),(AD53/AS7)*AW9,(AD53/AX9)*AY9)</f>
        <v>0</v>
      </c>
      <c r="M53" s="3374">
        <f>IF(ISBLANK(AX10),(AA53/AS7)*AW10,(AA53/AX10)*AY10)</f>
        <v>0</v>
      </c>
      <c r="N53" s="533">
        <f t="shared" si="21"/>
        <v>0</v>
      </c>
      <c r="O53" s="532">
        <f>IF(ISBLANK(AX10),(AD53/AS7)*AW10,(AD53/AX10)*AY10)</f>
        <v>0</v>
      </c>
      <c r="P53" s="3374">
        <f>IF(ISBLANK(AX11),(AA53/AS7)*AW11,(AA53/AX11)*AY11)</f>
        <v>0</v>
      </c>
      <c r="Q53" s="533">
        <f t="shared" si="22"/>
        <v>0</v>
      </c>
      <c r="R53" s="532">
        <f>IF(ISBLANK(AX11),(AD53/AS7)*AW11,(AD53/AX11)*AY11)</f>
        <v>0</v>
      </c>
      <c r="S53" s="3374">
        <f>IF(ISBLANK(AX12),(AA53/AS7)*AW12,(AA53/AX12)*AY12)</f>
        <v>0</v>
      </c>
      <c r="T53" s="533">
        <f t="shared" si="23"/>
        <v>0</v>
      </c>
      <c r="U53" s="532">
        <f>IF(ISBLANK(AX12),(AD53/AS7)*AW12,(AD53/AX12)*AY12)</f>
        <v>0</v>
      </c>
      <c r="V53" s="531">
        <f t="shared" si="24"/>
        <v>0</v>
      </c>
      <c r="W53" s="530">
        <f t="shared" si="25"/>
        <v>0</v>
      </c>
      <c r="X53" s="529">
        <f t="shared" si="26"/>
        <v>0</v>
      </c>
      <c r="Y53" s="4021"/>
      <c r="Z53" s="515"/>
      <c r="AA53" s="545"/>
      <c r="AB53" s="544"/>
      <c r="AC53" s="543"/>
      <c r="AD53" s="542">
        <f t="shared" si="27"/>
        <v>0</v>
      </c>
      <c r="AE53" s="541"/>
      <c r="AF53" s="523"/>
      <c r="AG53" s="522"/>
      <c r="AH53" s="540">
        <f>IF(ISBLANK(AH9),(AA53/AD10)*AJ7,(AA53/AH9)*AI9)</f>
        <v>0</v>
      </c>
      <c r="AI53" s="539">
        <f t="shared" si="28"/>
        <v>0</v>
      </c>
      <c r="AJ53" s="538">
        <f>IF(ISBLANK(AH9),(AD53/AD10)*AJ7,(AD53/AH9)*AI9)</f>
        <v>0</v>
      </c>
      <c r="AK53" s="518"/>
      <c r="AL53" s="537">
        <f t="shared" si="29"/>
        <v>0</v>
      </c>
      <c r="AM53" s="516"/>
      <c r="AN53" s="372">
        <f t="shared" si="30"/>
        <v>0</v>
      </c>
      <c r="AO53" s="3926"/>
      <c r="AP53" s="515"/>
      <c r="AQ53" s="378"/>
      <c r="AR53" s="212" t="s">
        <v>108</v>
      </c>
      <c r="AS53" s="3918" t="s">
        <v>113</v>
      </c>
      <c r="AT53" s="3918"/>
      <c r="AU53" s="3918"/>
      <c r="AV53" s="3918"/>
      <c r="AW53" s="3918"/>
      <c r="AX53" s="3918"/>
      <c r="AY53" s="3918"/>
      <c r="AZ53" s="378"/>
      <c r="BA53" s="378"/>
      <c r="BB53" s="378"/>
      <c r="BC53" s="378"/>
      <c r="BD53" s="378"/>
      <c r="BE53" s="3630"/>
      <c r="BF53" s="3631"/>
      <c r="BG53" s="3632"/>
      <c r="BH53" s="378"/>
      <c r="BI53" s="556">
        <v>150</v>
      </c>
      <c r="BJ53" s="3245">
        <v>250</v>
      </c>
      <c r="BK53" s="3244">
        <f>(BJ53*BI53)/1000</f>
        <v>37.5</v>
      </c>
      <c r="BL53" s="378"/>
      <c r="BM53" s="381">
        <v>15</v>
      </c>
    </row>
    <row r="54" spans="1:65" ht="15" customHeight="1">
      <c r="A54" s="3862"/>
      <c r="B54" s="551">
        <f t="shared" si="17"/>
        <v>0</v>
      </c>
      <c r="C54" s="546"/>
      <c r="D54" s="3374">
        <f>IF(ISBLANK(AX7),(AA54/AS7)*AW7,(AA54/AX7)*AY7)</f>
        <v>0</v>
      </c>
      <c r="E54" s="533">
        <f t="shared" si="18"/>
        <v>0</v>
      </c>
      <c r="F54" s="532">
        <f>IF(ISBLANK(AX7),(AD54/AS7)*AW7,(AD54/AX7)*AY7)</f>
        <v>0</v>
      </c>
      <c r="G54" s="3374">
        <f>IF(ISBLANK(AX8),(AA54/AS7)*AW8,(AA54/AX8)*AY8)</f>
        <v>0</v>
      </c>
      <c r="H54" s="533">
        <f t="shared" si="19"/>
        <v>0</v>
      </c>
      <c r="I54" s="532">
        <f>IF(ISBLANK(AX8),(AD54/AS7)*AW8,(AD54/AX8)*AY8)</f>
        <v>0</v>
      </c>
      <c r="J54" s="3374">
        <f>IF(ISBLANK(AX9),(AA54/AS7)*AW9,(AA54/AX9)*AY9)</f>
        <v>0</v>
      </c>
      <c r="K54" s="533">
        <f t="shared" si="20"/>
        <v>0</v>
      </c>
      <c r="L54" s="532">
        <f>IF(ISBLANK(AX9),(AD54/AS7)*AW9,(AD54/AX9)*AY9)</f>
        <v>0</v>
      </c>
      <c r="M54" s="3374">
        <f>IF(ISBLANK(AX10),(AA54/AS7)*AW10,(AA54/AX10)*AY10)</f>
        <v>0</v>
      </c>
      <c r="N54" s="533">
        <f t="shared" si="21"/>
        <v>0</v>
      </c>
      <c r="O54" s="532">
        <f>IF(ISBLANK(AX10),(AD54/AS7)*AW10,(AD54/AX10)*AY10)</f>
        <v>0</v>
      </c>
      <c r="P54" s="3374">
        <f>IF(ISBLANK(AX11),(AA54/AS7)*AW11,(AA54/AX11)*AY11)</f>
        <v>0</v>
      </c>
      <c r="Q54" s="533">
        <f t="shared" si="22"/>
        <v>0</v>
      </c>
      <c r="R54" s="532">
        <f>IF(ISBLANK(AX11),(AD54/AS7)*AW11,(AD54/AX11)*AY11)</f>
        <v>0</v>
      </c>
      <c r="S54" s="3374">
        <f>IF(ISBLANK(AX12),(AA54/AS7)*AW12,(AA54/AX12)*AY12)</f>
        <v>0</v>
      </c>
      <c r="T54" s="533">
        <f t="shared" si="23"/>
        <v>0</v>
      </c>
      <c r="U54" s="532">
        <f>IF(ISBLANK(AX12),(AD54/AS7)*AW12,(AD54/AX12)*AY12)</f>
        <v>0</v>
      </c>
      <c r="V54" s="531">
        <f t="shared" si="24"/>
        <v>0</v>
      </c>
      <c r="W54" s="530">
        <f t="shared" si="25"/>
        <v>0</v>
      </c>
      <c r="X54" s="529">
        <f t="shared" si="26"/>
        <v>0</v>
      </c>
      <c r="Y54" s="4021"/>
      <c r="Z54" s="515"/>
      <c r="AA54" s="528"/>
      <c r="AB54" s="527"/>
      <c r="AC54" s="526"/>
      <c r="AD54" s="525">
        <f t="shared" si="27"/>
        <v>0</v>
      </c>
      <c r="AE54" s="524"/>
      <c r="AF54" s="523"/>
      <c r="AG54" s="522"/>
      <c r="AH54" s="521">
        <f>IF(ISBLANK(AH9),(AA54/AD10)*AJ7,(AA54/AH9)*AI9)</f>
        <v>0</v>
      </c>
      <c r="AI54" s="520">
        <f t="shared" si="28"/>
        <v>0</v>
      </c>
      <c r="AJ54" s="519">
        <f>IF(ISBLANK(AH9),(AD54/AD10)*AJ7,(AD54/AH9)*AI9)</f>
        <v>0</v>
      </c>
      <c r="AK54" s="518"/>
      <c r="AL54" s="517">
        <f t="shared" si="29"/>
        <v>0</v>
      </c>
      <c r="AM54" s="516"/>
      <c r="AN54" s="372">
        <f t="shared" si="30"/>
        <v>0</v>
      </c>
      <c r="AO54" s="3926"/>
      <c r="AP54" s="515"/>
      <c r="AQ54" s="378"/>
      <c r="AR54" s="378"/>
      <c r="AS54" s="378"/>
      <c r="AT54" s="378"/>
      <c r="AU54" s="378"/>
      <c r="AV54" s="378"/>
      <c r="AW54" s="378"/>
      <c r="AX54" s="378"/>
      <c r="AY54" s="378"/>
      <c r="AZ54" s="378"/>
      <c r="BA54" s="378"/>
      <c r="BB54" s="378"/>
      <c r="BC54" s="378"/>
      <c r="BD54" s="378"/>
      <c r="BE54" s="3630" t="s">
        <v>204</v>
      </c>
      <c r="BF54" s="3631"/>
      <c r="BG54" s="3632"/>
      <c r="BH54" s="378"/>
      <c r="BI54" s="553" t="s">
        <v>203</v>
      </c>
      <c r="BJ54" s="552"/>
      <c r="BK54" s="552"/>
      <c r="BL54" s="378"/>
      <c r="BM54" s="381">
        <v>15</v>
      </c>
    </row>
    <row r="55" spans="1:65" ht="15" customHeight="1">
      <c r="A55" s="3862"/>
      <c r="B55" s="551">
        <f t="shared" si="17"/>
        <v>0</v>
      </c>
      <c r="C55" s="546"/>
      <c r="D55" s="3374">
        <f>IF(ISBLANK(AX7),(AA55/AS7)*AW7,(AA55/AX7)*AY7)</f>
        <v>0</v>
      </c>
      <c r="E55" s="533">
        <f t="shared" si="18"/>
        <v>0</v>
      </c>
      <c r="F55" s="532">
        <f>IF(ISBLANK(AX7),(AD55/AS7)*AW7,(AD55/AX7)*AY7)</f>
        <v>0</v>
      </c>
      <c r="G55" s="3374">
        <f>IF(ISBLANK(AX8),(AA55/AS7)*AW8,(AA55/AX8)*AY8)</f>
        <v>0</v>
      </c>
      <c r="H55" s="533">
        <f t="shared" si="19"/>
        <v>0</v>
      </c>
      <c r="I55" s="532">
        <f>IF(ISBLANK(AX8),(AD55/AS7)*AW8,(AD55/AX8)*AY8)</f>
        <v>0</v>
      </c>
      <c r="J55" s="3374">
        <f>IF(ISBLANK(AX9),(AA55/AS7)*AW9,(AA55/AX9)*AY9)</f>
        <v>0</v>
      </c>
      <c r="K55" s="533">
        <f t="shared" si="20"/>
        <v>0</v>
      </c>
      <c r="L55" s="532">
        <f>IF(ISBLANK(AX9),(AD55/AS7)*AW9,(AD55/AX9)*AY9)</f>
        <v>0</v>
      </c>
      <c r="M55" s="3374">
        <f>IF(ISBLANK(AX10),(AA55/AS7)*AW10,(AA55/AX10)*AY10)</f>
        <v>0</v>
      </c>
      <c r="N55" s="533">
        <f t="shared" si="21"/>
        <v>0</v>
      </c>
      <c r="O55" s="532">
        <f>IF(ISBLANK(AX10),(AD55/AS7)*AW10,(AD55/AX10)*AY10)</f>
        <v>0</v>
      </c>
      <c r="P55" s="3374">
        <f>IF(ISBLANK(AX11),(AA55/AS7)*AW11,(AA55/AX11)*AY11)</f>
        <v>0</v>
      </c>
      <c r="Q55" s="533">
        <f t="shared" si="22"/>
        <v>0</v>
      </c>
      <c r="R55" s="532">
        <f>IF(ISBLANK(AX11),(AD55/AS7)*AW11,(AD55/AX11)*AY11)</f>
        <v>0</v>
      </c>
      <c r="S55" s="3374">
        <f>IF(ISBLANK(AX12),(AA55/AS7)*AW12,(AA55/AX12)*AY12)</f>
        <v>0</v>
      </c>
      <c r="T55" s="533">
        <f t="shared" si="23"/>
        <v>0</v>
      </c>
      <c r="U55" s="532">
        <f>IF(ISBLANK(AX12),(AD55/AS7)*AW12,(AD55/AX12)*AY12)</f>
        <v>0</v>
      </c>
      <c r="V55" s="531">
        <f t="shared" si="24"/>
        <v>0</v>
      </c>
      <c r="W55" s="530">
        <f t="shared" si="25"/>
        <v>0</v>
      </c>
      <c r="X55" s="529">
        <f t="shared" si="26"/>
        <v>0</v>
      </c>
      <c r="Y55" s="4021"/>
      <c r="Z55" s="515"/>
      <c r="AA55" s="545"/>
      <c r="AB55" s="544"/>
      <c r="AC55" s="543"/>
      <c r="AD55" s="542">
        <f t="shared" si="27"/>
        <v>0</v>
      </c>
      <c r="AE55" s="541"/>
      <c r="AF55" s="523"/>
      <c r="AG55" s="522"/>
      <c r="AH55" s="540">
        <f>IF(ISBLANK(AH9),(AA55/AD10)*AJ7,(AA55/AH9)*AI9)</f>
        <v>0</v>
      </c>
      <c r="AI55" s="539">
        <f t="shared" si="28"/>
        <v>0</v>
      </c>
      <c r="AJ55" s="538">
        <f>IF(ISBLANK(AH9),(AD55/AD10)*AJ7,(AD55/AH9)*AI9)</f>
        <v>0</v>
      </c>
      <c r="AK55" s="518"/>
      <c r="AL55" s="537">
        <f t="shared" si="29"/>
        <v>0</v>
      </c>
      <c r="AM55" s="516"/>
      <c r="AN55" s="372">
        <f t="shared" si="30"/>
        <v>0</v>
      </c>
      <c r="AO55" s="3926"/>
      <c r="AP55" s="515"/>
      <c r="AQ55" s="378"/>
      <c r="AR55" s="378"/>
      <c r="AS55" s="378"/>
      <c r="AT55" s="378"/>
      <c r="AU55" s="378"/>
      <c r="AV55" s="378"/>
      <c r="AW55" s="378"/>
      <c r="AX55" s="378"/>
      <c r="AY55" s="378"/>
      <c r="AZ55" s="378"/>
      <c r="BA55" s="378"/>
      <c r="BB55" s="378"/>
      <c r="BC55" s="378"/>
      <c r="BD55" s="378"/>
      <c r="BE55" s="3630"/>
      <c r="BF55" s="3631"/>
      <c r="BG55" s="3632"/>
      <c r="BH55" s="378"/>
      <c r="BI55" s="3945" t="s">
        <v>131</v>
      </c>
      <c r="BJ55" s="3289" t="s">
        <v>37</v>
      </c>
      <c r="BK55" s="298" t="s">
        <v>47</v>
      </c>
      <c r="BL55" s="378"/>
      <c r="BM55" s="381">
        <v>15</v>
      </c>
    </row>
    <row r="56" spans="1:65" ht="15" customHeight="1">
      <c r="A56" s="3862"/>
      <c r="B56" s="551">
        <f t="shared" si="17"/>
        <v>0</v>
      </c>
      <c r="C56" s="546"/>
      <c r="D56" s="3374">
        <f>IF(ISBLANK(AX7),(AA56/AS7)*AW7,(AA56/AX7)*AY7)</f>
        <v>0</v>
      </c>
      <c r="E56" s="533">
        <f t="shared" si="18"/>
        <v>0</v>
      </c>
      <c r="F56" s="532">
        <f>IF(ISBLANK(AX7),(AD56/AS7)*AW7,(AD56/AX7)*AY7)</f>
        <v>0</v>
      </c>
      <c r="G56" s="3374">
        <f>IF(ISBLANK(AX8),(AA56/AS7)*AW8,(AA56/AX8)*AY8)</f>
        <v>0</v>
      </c>
      <c r="H56" s="533">
        <f t="shared" si="19"/>
        <v>0</v>
      </c>
      <c r="I56" s="532">
        <f>IF(ISBLANK(AX8),(AD56/AS7)*AW8,(AD56/AX8)*AY8)</f>
        <v>0</v>
      </c>
      <c r="J56" s="3374">
        <f>IF(ISBLANK(AX9),(AA56/AS7)*AW9,(AA56/AX9)*AY9)</f>
        <v>0</v>
      </c>
      <c r="K56" s="533">
        <f t="shared" si="20"/>
        <v>0</v>
      </c>
      <c r="L56" s="532">
        <f>IF(ISBLANK(AX9),(AD56/AS7)*AW9,(AD56/AX9)*AY9)</f>
        <v>0</v>
      </c>
      <c r="M56" s="3374">
        <f>IF(ISBLANK(AX10),(AA56/AS7)*AW10,(AA56/AX10)*AY10)</f>
        <v>0</v>
      </c>
      <c r="N56" s="533">
        <f t="shared" si="21"/>
        <v>0</v>
      </c>
      <c r="O56" s="532">
        <f>IF(ISBLANK(AX10),(AD56/AS7)*AW10,(AD56/AX10)*AY10)</f>
        <v>0</v>
      </c>
      <c r="P56" s="3374">
        <f>IF(ISBLANK(AX11),(AA56/AS7)*AW11,(AA56/AX11)*AY11)</f>
        <v>0</v>
      </c>
      <c r="Q56" s="533">
        <f t="shared" si="22"/>
        <v>0</v>
      </c>
      <c r="R56" s="532">
        <f>IF(ISBLANK(AX11),(AD56/AS7)*AW11,(AD56/AX11)*AY11)</f>
        <v>0</v>
      </c>
      <c r="S56" s="3374">
        <f>IF(ISBLANK(AX12),(AA56/AS7)*AW12,(AA56/AX12)*AY12)</f>
        <v>0</v>
      </c>
      <c r="T56" s="533">
        <f t="shared" si="23"/>
        <v>0</v>
      </c>
      <c r="U56" s="532">
        <f>IF(ISBLANK(AX12),(AD56/AS7)*AW12,(AD56/AX12)*AY12)</f>
        <v>0</v>
      </c>
      <c r="V56" s="531">
        <f t="shared" si="24"/>
        <v>0</v>
      </c>
      <c r="W56" s="530">
        <f t="shared" si="25"/>
        <v>0</v>
      </c>
      <c r="X56" s="529">
        <f t="shared" si="26"/>
        <v>0</v>
      </c>
      <c r="Y56" s="4021"/>
      <c r="Z56" s="515"/>
      <c r="AA56" s="528"/>
      <c r="AB56" s="527"/>
      <c r="AC56" s="526"/>
      <c r="AD56" s="525">
        <f t="shared" si="27"/>
        <v>0</v>
      </c>
      <c r="AE56" s="524"/>
      <c r="AF56" s="523"/>
      <c r="AG56" s="522"/>
      <c r="AH56" s="521">
        <f>IF(ISBLANK(AH9),(AA56/AD10)*AJ7,(AA56/AH9)*AI9)</f>
        <v>0</v>
      </c>
      <c r="AI56" s="520">
        <f t="shared" si="28"/>
        <v>0</v>
      </c>
      <c r="AJ56" s="519">
        <f>IF(ISBLANK(AH9),(AD56/AD10)*AJ7,(AD56/AH9)*AI9)</f>
        <v>0</v>
      </c>
      <c r="AK56" s="518"/>
      <c r="AL56" s="517">
        <f t="shared" si="29"/>
        <v>0</v>
      </c>
      <c r="AM56" s="516"/>
      <c r="AN56" s="372">
        <f t="shared" si="30"/>
        <v>0</v>
      </c>
      <c r="AO56" s="3926"/>
      <c r="AP56" s="515"/>
      <c r="AQ56" s="378"/>
      <c r="AR56" s="378"/>
      <c r="AS56" s="378"/>
      <c r="AT56" s="378"/>
      <c r="AU56" s="378"/>
      <c r="AV56" s="378"/>
      <c r="AW56" s="378"/>
      <c r="AX56" s="378"/>
      <c r="AY56" s="378"/>
      <c r="AZ56" s="378"/>
      <c r="BA56" s="378"/>
      <c r="BB56" s="378"/>
      <c r="BC56" s="378"/>
      <c r="BD56" s="378"/>
      <c r="BE56" s="3630"/>
      <c r="BF56" s="3631"/>
      <c r="BG56" s="3632"/>
      <c r="BH56" s="378"/>
      <c r="BI56" s="3709"/>
      <c r="BJ56" s="550">
        <v>200</v>
      </c>
      <c r="BK56" s="549">
        <v>140</v>
      </c>
      <c r="BL56" s="378"/>
      <c r="BM56" s="381">
        <v>15</v>
      </c>
    </row>
    <row r="57" spans="1:65" ht="15" customHeight="1">
      <c r="A57" s="3862"/>
      <c r="B57" s="547">
        <f t="shared" si="17"/>
        <v>0</v>
      </c>
      <c r="C57" s="546"/>
      <c r="D57" s="3374">
        <f>IF(ISBLANK(AX7),(AA57/AS7)*AW7,(AA57/AX7)*AY7)</f>
        <v>0</v>
      </c>
      <c r="E57" s="533">
        <f t="shared" si="18"/>
        <v>0</v>
      </c>
      <c r="F57" s="532">
        <f>IF(ISBLANK(AX7),(AD57/AS7)*AW7,(AD57/AX7)*AY7)</f>
        <v>0</v>
      </c>
      <c r="G57" s="3374">
        <f>IF(ISBLANK(AX8),(AA57/AS7)*AW8,(AA57/AX8)*AY8)</f>
        <v>0</v>
      </c>
      <c r="H57" s="533">
        <f t="shared" si="19"/>
        <v>0</v>
      </c>
      <c r="I57" s="532">
        <f>IF(ISBLANK(AX8),(AD57/AS7)*AW8,(AD57/AX8)*AY8)</f>
        <v>0</v>
      </c>
      <c r="J57" s="3374">
        <f>IF(ISBLANK(AX9),(AA57/AS7)*AW9,(AA57/AX9)*AY9)</f>
        <v>0</v>
      </c>
      <c r="K57" s="533">
        <f t="shared" si="20"/>
        <v>0</v>
      </c>
      <c r="L57" s="532">
        <f>IF(ISBLANK(AX9),(AD57/AS7)*AW9,(AD57/AX9)*AY9)</f>
        <v>0</v>
      </c>
      <c r="M57" s="3374">
        <f>IF(ISBLANK(AX10),(AA57/AS7)*AW10,(AA57/AX10)*AY10)</f>
        <v>0</v>
      </c>
      <c r="N57" s="533">
        <f t="shared" si="21"/>
        <v>0</v>
      </c>
      <c r="O57" s="532">
        <f>IF(ISBLANK(AX10),(AD57/AS7)*AW10,(AD57/AX10)*AY10)</f>
        <v>0</v>
      </c>
      <c r="P57" s="3374">
        <f>IF(ISBLANK(AX11),(AA57/AS7)*AW11,(AA57/AX11)*AY11)</f>
        <v>0</v>
      </c>
      <c r="Q57" s="533">
        <f t="shared" si="22"/>
        <v>0</v>
      </c>
      <c r="R57" s="532">
        <f>IF(ISBLANK(AX11),(AD57/AS7)*AW11,(AD57/AX11)*AY11)</f>
        <v>0</v>
      </c>
      <c r="S57" s="3374">
        <f>IF(ISBLANK(AX12),(AA57/AS7)*AW12,(AA57/AX12)*AY12)</f>
        <v>0</v>
      </c>
      <c r="T57" s="533">
        <f t="shared" si="23"/>
        <v>0</v>
      </c>
      <c r="U57" s="532">
        <f>IF(ISBLANK(AX12),(AD57/AS7)*AW12,(AD57/AX12)*AY12)</f>
        <v>0</v>
      </c>
      <c r="V57" s="531">
        <f t="shared" si="24"/>
        <v>0</v>
      </c>
      <c r="W57" s="530">
        <f t="shared" si="25"/>
        <v>0</v>
      </c>
      <c r="X57" s="529">
        <f t="shared" si="26"/>
        <v>0</v>
      </c>
      <c r="Y57" s="4021"/>
      <c r="Z57" s="515"/>
      <c r="AA57" s="545"/>
      <c r="AB57" s="544"/>
      <c r="AC57" s="543"/>
      <c r="AD57" s="542">
        <f t="shared" si="27"/>
        <v>0</v>
      </c>
      <c r="AE57" s="541"/>
      <c r="AF57" s="523"/>
      <c r="AG57" s="522"/>
      <c r="AH57" s="540">
        <f>IF(ISBLANK(AH9),(AA57/AD10)*AJ7,(AA57/AH9)*AI9)</f>
        <v>0</v>
      </c>
      <c r="AI57" s="539">
        <f t="shared" si="28"/>
        <v>0</v>
      </c>
      <c r="AJ57" s="538">
        <f>IF(ISBLANK(AH9),(AD57/AD10)*AJ7,(AD57/AH9)*AI9)</f>
        <v>0</v>
      </c>
      <c r="AK57" s="518"/>
      <c r="AL57" s="537">
        <f t="shared" si="29"/>
        <v>0</v>
      </c>
      <c r="AM57" s="516"/>
      <c r="AN57" s="372">
        <f t="shared" si="30"/>
        <v>0</v>
      </c>
      <c r="AO57" s="3926"/>
      <c r="AP57" s="515"/>
      <c r="AQ57" s="378"/>
      <c r="AR57" s="378"/>
      <c r="AS57" s="378"/>
      <c r="AT57" s="378"/>
      <c r="AU57" s="378"/>
      <c r="AV57" s="378"/>
      <c r="AW57" s="378"/>
      <c r="AX57" s="378"/>
      <c r="AY57" s="378"/>
      <c r="AZ57" s="378"/>
      <c r="BA57" s="378"/>
      <c r="BB57" s="378"/>
      <c r="BC57" s="378"/>
      <c r="BD57" s="378"/>
      <c r="BE57" s="3630" t="s">
        <v>202</v>
      </c>
      <c r="BF57" s="3631"/>
      <c r="BG57" s="3632"/>
      <c r="BH57" s="378"/>
      <c r="BI57" s="3709"/>
      <c r="BJ57" s="308">
        <v>30</v>
      </c>
      <c r="BK57" s="309">
        <v>30</v>
      </c>
      <c r="BL57" s="378"/>
      <c r="BM57" s="381">
        <v>15</v>
      </c>
    </row>
    <row r="58" spans="1:65" ht="15" customHeight="1">
      <c r="A58" s="3862"/>
      <c r="B58" s="547">
        <f t="shared" si="17"/>
        <v>0</v>
      </c>
      <c r="C58" s="546"/>
      <c r="D58" s="3374">
        <f>IF(ISBLANK(AX7),(AA58/AS7)*AW7,(AA58/AX7)*AY7)</f>
        <v>0</v>
      </c>
      <c r="E58" s="533">
        <f t="shared" si="18"/>
        <v>0</v>
      </c>
      <c r="F58" s="532">
        <f>IF(ISBLANK(AX7),(AD58/AS7)*AW7,(AD58/AX7)*AY7)</f>
        <v>0</v>
      </c>
      <c r="G58" s="3374">
        <f>IF(ISBLANK(AX8),(AA58/AS7)*AW8,(AA58/AX8)*AY8)</f>
        <v>0</v>
      </c>
      <c r="H58" s="533">
        <f t="shared" si="19"/>
        <v>0</v>
      </c>
      <c r="I58" s="532">
        <f>IF(ISBLANK(AX8),(AD58/AS7)*AW8,(AD58/AX8)*AY8)</f>
        <v>0</v>
      </c>
      <c r="J58" s="3374">
        <f>IF(ISBLANK(AX9),(AA58/AS7)*AW9,(AA58/AX9)*AY9)</f>
        <v>0</v>
      </c>
      <c r="K58" s="533">
        <f t="shared" si="20"/>
        <v>0</v>
      </c>
      <c r="L58" s="532">
        <f>IF(ISBLANK(AX9),(AD58/AS7)*AW9,(AD58/AX9)*AY9)</f>
        <v>0</v>
      </c>
      <c r="M58" s="3374">
        <f>IF(ISBLANK(AX10),(AA58/AS7)*AW10,(AA58/AX10)*AY10)</f>
        <v>0</v>
      </c>
      <c r="N58" s="533">
        <f t="shared" si="21"/>
        <v>0</v>
      </c>
      <c r="O58" s="532">
        <f>IF(ISBLANK(AX10),(AD58/AS7)*AW10,(AD58/AX10)*AY10)</f>
        <v>0</v>
      </c>
      <c r="P58" s="3374">
        <f>IF(ISBLANK(AX11),(AA58/AS7)*AW11,(AA58/AX11)*AY11)</f>
        <v>0</v>
      </c>
      <c r="Q58" s="533">
        <f t="shared" si="22"/>
        <v>0</v>
      </c>
      <c r="R58" s="532">
        <f>IF(ISBLANK(AX11),(AD58/AS7)*AW11,(AD58/AX11)*AY11)</f>
        <v>0</v>
      </c>
      <c r="S58" s="3374">
        <f>IF(ISBLANK(AX12),(AA58/AS7)*AW12,(AA58/AX12)*AY12)</f>
        <v>0</v>
      </c>
      <c r="T58" s="533">
        <f t="shared" si="23"/>
        <v>0</v>
      </c>
      <c r="U58" s="532">
        <f>IF(ISBLANK(AX12),(AD58/AS7)*AW12,(AD58/AX12)*AY12)</f>
        <v>0</v>
      </c>
      <c r="V58" s="531">
        <f t="shared" si="24"/>
        <v>0</v>
      </c>
      <c r="W58" s="530">
        <f t="shared" si="25"/>
        <v>0</v>
      </c>
      <c r="X58" s="529">
        <f t="shared" si="26"/>
        <v>0</v>
      </c>
      <c r="Y58" s="4021"/>
      <c r="Z58" s="515"/>
      <c r="AA58" s="528"/>
      <c r="AB58" s="527"/>
      <c r="AC58" s="526"/>
      <c r="AD58" s="525">
        <f t="shared" si="27"/>
        <v>0</v>
      </c>
      <c r="AE58" s="524"/>
      <c r="AF58" s="523"/>
      <c r="AG58" s="522"/>
      <c r="AH58" s="521">
        <f>IF(ISBLANK(AH9),(AA58/AD10)*AJ7,(AA58/AH9)*AI9)</f>
        <v>0</v>
      </c>
      <c r="AI58" s="520">
        <f t="shared" si="28"/>
        <v>0</v>
      </c>
      <c r="AJ58" s="519">
        <f>IF(ISBLANK(AH9),(AD58/AD10)*AJ7,(AD58/AH9)*AI9)</f>
        <v>0</v>
      </c>
      <c r="AK58" s="518"/>
      <c r="AL58" s="517">
        <f t="shared" si="29"/>
        <v>0</v>
      </c>
      <c r="AM58" s="516"/>
      <c r="AN58" s="372">
        <f t="shared" si="30"/>
        <v>0</v>
      </c>
      <c r="AO58" s="3926"/>
      <c r="AP58" s="515"/>
      <c r="AQ58" s="378"/>
      <c r="AR58" s="378"/>
      <c r="AS58" s="378"/>
      <c r="AT58" s="378"/>
      <c r="AU58" s="378"/>
      <c r="AV58" s="378"/>
      <c r="AW58" s="378"/>
      <c r="AX58" s="378"/>
      <c r="AY58" s="378"/>
      <c r="AZ58" s="378"/>
      <c r="BA58" s="378"/>
      <c r="BB58" s="378"/>
      <c r="BC58" s="378"/>
      <c r="BD58" s="378"/>
      <c r="BE58" s="3630"/>
      <c r="BF58" s="3631"/>
      <c r="BG58" s="3632"/>
      <c r="BH58" s="378"/>
      <c r="BI58" s="3919"/>
      <c r="BJ58" s="3243">
        <f>IF(BJ56=0,0,((BJ56-(BJ56*BJ57%))))/1000</f>
        <v>0.14000000000000001</v>
      </c>
      <c r="BK58" s="3242">
        <f>(BK56/(100-BK57)*100)/1000</f>
        <v>0.2</v>
      </c>
      <c r="BL58" s="378"/>
      <c r="BM58" s="381">
        <v>15</v>
      </c>
    </row>
    <row r="59" spans="1:65" ht="15" customHeight="1">
      <c r="A59" s="3862"/>
      <c r="B59" s="547">
        <f t="shared" si="17"/>
        <v>0</v>
      </c>
      <c r="C59" s="546"/>
      <c r="D59" s="3374">
        <f>IF(ISBLANK(AX7),(AA59/AS7)*AW7,(AA59/AX7)*AY7)</f>
        <v>0</v>
      </c>
      <c r="E59" s="533">
        <f t="shared" si="18"/>
        <v>0</v>
      </c>
      <c r="F59" s="532">
        <f>IF(ISBLANK(AX7),(AD59/AS7)*AW7,(AD59/AX7)*AY7)</f>
        <v>0</v>
      </c>
      <c r="G59" s="3374">
        <f>IF(ISBLANK(AX8),(AA59/AS7)*AW8,(AA59/AX8)*AY8)</f>
        <v>0</v>
      </c>
      <c r="H59" s="533">
        <f t="shared" si="19"/>
        <v>0</v>
      </c>
      <c r="I59" s="532">
        <f>IF(ISBLANK(AX8),(AD59/AS7)*AW8,(AD59/AX8)*AY8)</f>
        <v>0</v>
      </c>
      <c r="J59" s="3374">
        <f>IF(ISBLANK(AX9),(AA59/AS7)*AW9,(AA59/AX9)*AY9)</f>
        <v>0</v>
      </c>
      <c r="K59" s="533">
        <f t="shared" si="20"/>
        <v>0</v>
      </c>
      <c r="L59" s="532">
        <f>IF(ISBLANK(AX9),(AD59/AS7)*AW9,(AD59/AX9)*AY9)</f>
        <v>0</v>
      </c>
      <c r="M59" s="3374">
        <f>IF(ISBLANK(AX10),(AA59/AS7)*AW10,(AA59/AX10)*AY10)</f>
        <v>0</v>
      </c>
      <c r="N59" s="533">
        <f t="shared" si="21"/>
        <v>0</v>
      </c>
      <c r="O59" s="532">
        <f>IF(ISBLANK(AX10),(AD59/AS7)*AW10,(AD59/AX10)*AY10)</f>
        <v>0</v>
      </c>
      <c r="P59" s="3374">
        <f>IF(ISBLANK(AX11),(AA59/AS7)*AW11,(AA59/AX11)*AY11)</f>
        <v>0</v>
      </c>
      <c r="Q59" s="533">
        <f t="shared" si="22"/>
        <v>0</v>
      </c>
      <c r="R59" s="532">
        <f>IF(ISBLANK(AX11),(AD59/AS7)*AW11,(AD59/AX11)*AY11)</f>
        <v>0</v>
      </c>
      <c r="S59" s="3374">
        <f>IF(ISBLANK(AX12),(AA59/AS7)*AW12,(AA59/AX12)*AY12)</f>
        <v>0</v>
      </c>
      <c r="T59" s="533">
        <f t="shared" si="23"/>
        <v>0</v>
      </c>
      <c r="U59" s="532">
        <f>IF(ISBLANK(AX12),(AD59/AS7)*AW12,(AD59/AX12)*AY12)</f>
        <v>0</v>
      </c>
      <c r="V59" s="531">
        <f t="shared" si="24"/>
        <v>0</v>
      </c>
      <c r="W59" s="530">
        <f t="shared" si="25"/>
        <v>0</v>
      </c>
      <c r="X59" s="529">
        <f t="shared" si="26"/>
        <v>0</v>
      </c>
      <c r="Y59" s="4021"/>
      <c r="Z59" s="515"/>
      <c r="AA59" s="545"/>
      <c r="AB59" s="544"/>
      <c r="AC59" s="543"/>
      <c r="AD59" s="542">
        <f t="shared" si="27"/>
        <v>0</v>
      </c>
      <c r="AE59" s="541"/>
      <c r="AF59" s="523"/>
      <c r="AG59" s="522"/>
      <c r="AH59" s="540">
        <f>IF(ISBLANK(AH9),(AA59/AD10)*AJ7,(AA59/AH9)*AI9)</f>
        <v>0</v>
      </c>
      <c r="AI59" s="539">
        <f t="shared" si="28"/>
        <v>0</v>
      </c>
      <c r="AJ59" s="538">
        <f>IF(ISBLANK(AH9),(AD59/AD10)*AJ7,(AD59/AH9)*AI9)</f>
        <v>0</v>
      </c>
      <c r="AK59" s="518"/>
      <c r="AL59" s="537">
        <f t="shared" si="29"/>
        <v>0</v>
      </c>
      <c r="AM59" s="516"/>
      <c r="AN59" s="372">
        <f t="shared" si="30"/>
        <v>0</v>
      </c>
      <c r="AO59" s="3926"/>
      <c r="AP59" s="515"/>
      <c r="AQ59" s="378"/>
      <c r="AR59" s="378"/>
      <c r="AS59" s="378"/>
      <c r="AT59" s="378"/>
      <c r="AU59" s="378"/>
      <c r="AV59" s="378"/>
      <c r="AW59" s="378"/>
      <c r="AX59" s="378"/>
      <c r="AY59" s="378"/>
      <c r="AZ59" s="378"/>
      <c r="BA59" s="378"/>
      <c r="BB59" s="378"/>
      <c r="BC59" s="378"/>
      <c r="BD59" s="378"/>
      <c r="BE59" s="413"/>
      <c r="BF59" s="548" t="s">
        <v>201</v>
      </c>
      <c r="BG59" s="513" t="str">
        <f>LEFT(ADDRESS(1,COLUMN(AA12),4),LEN(ADDRESS(1,COLUMN(AA12),4))-1)</f>
        <v>AA</v>
      </c>
      <c r="BH59" s="378"/>
      <c r="BI59" s="378"/>
      <c r="BJ59" s="378"/>
      <c r="BK59" s="378"/>
      <c r="BL59" s="378"/>
      <c r="BM59" s="381">
        <v>15</v>
      </c>
    </row>
    <row r="60" spans="1:65" ht="15" customHeight="1">
      <c r="A60" s="3862"/>
      <c r="B60" s="547">
        <f t="shared" si="17"/>
        <v>0</v>
      </c>
      <c r="C60" s="546"/>
      <c r="D60" s="3374">
        <f>IF(ISBLANK(AX7),(AA60/AS7)*AW7,(AA60/AX7)*AY7)</f>
        <v>0</v>
      </c>
      <c r="E60" s="533">
        <f t="shared" si="18"/>
        <v>0</v>
      </c>
      <c r="F60" s="532">
        <f>IF(ISBLANK(AX7),(AD60/AS7)*AW7,(AD60/AX7)*AY7)</f>
        <v>0</v>
      </c>
      <c r="G60" s="3374">
        <f>IF(ISBLANK(AX8),(AA60/AS7)*AW8,(AA60/AX8)*AY8)</f>
        <v>0</v>
      </c>
      <c r="H60" s="533">
        <f t="shared" si="19"/>
        <v>0</v>
      </c>
      <c r="I60" s="532">
        <f>IF(ISBLANK(AX8),(AD60/AS7)*AW8,(AD60/AX8)*AY8)</f>
        <v>0</v>
      </c>
      <c r="J60" s="3374">
        <f>IF(ISBLANK(AX9),(AA60/AS7)*AW9,(AA60/AX9)*AY9)</f>
        <v>0</v>
      </c>
      <c r="K60" s="533">
        <f t="shared" si="20"/>
        <v>0</v>
      </c>
      <c r="L60" s="532">
        <f>IF(ISBLANK(AX9),(AD60/AS7)*AW9,(AD60/AX9)*AY9)</f>
        <v>0</v>
      </c>
      <c r="M60" s="3374">
        <f>IF(ISBLANK(AX10),(AA60/AS7)*AW10,(AA60/AX10)*AY10)</f>
        <v>0</v>
      </c>
      <c r="N60" s="533">
        <f t="shared" si="21"/>
        <v>0</v>
      </c>
      <c r="O60" s="532">
        <f>IF(ISBLANK(AX10),(AD60/AS7)*AW10,(AD60/AX10)*AY10)</f>
        <v>0</v>
      </c>
      <c r="P60" s="3374">
        <f>IF(ISBLANK(AX11),(AA60/AS7)*AW11,(AA60/AX11)*AY11)</f>
        <v>0</v>
      </c>
      <c r="Q60" s="533">
        <f t="shared" si="22"/>
        <v>0</v>
      </c>
      <c r="R60" s="532">
        <f>IF(ISBLANK(AX11),(AD60/AS7)*AW11,(AD60/AX11)*AY11)</f>
        <v>0</v>
      </c>
      <c r="S60" s="3374">
        <f>IF(ISBLANK(AX12),(AA60/AS7)*AW12,(AA60/AX12)*AY12)</f>
        <v>0</v>
      </c>
      <c r="T60" s="533">
        <f t="shared" si="23"/>
        <v>0</v>
      </c>
      <c r="U60" s="532">
        <f>IF(ISBLANK(AX12),(AD60/AS7)*AW12,(AD60/AX12)*AY12)</f>
        <v>0</v>
      </c>
      <c r="V60" s="531">
        <f t="shared" si="24"/>
        <v>0</v>
      </c>
      <c r="W60" s="530">
        <f t="shared" si="25"/>
        <v>0</v>
      </c>
      <c r="X60" s="529">
        <f t="shared" si="26"/>
        <v>0</v>
      </c>
      <c r="Y60" s="4021"/>
      <c r="Z60" s="515"/>
      <c r="AA60" s="528"/>
      <c r="AB60" s="527"/>
      <c r="AC60" s="526"/>
      <c r="AD60" s="525">
        <f t="shared" si="27"/>
        <v>0</v>
      </c>
      <c r="AE60" s="524"/>
      <c r="AF60" s="523"/>
      <c r="AG60" s="522"/>
      <c r="AH60" s="521">
        <f>IF(ISBLANK(AH9),(AA60/AD10)*AJ7,(AA60/AH9)*AI9)</f>
        <v>0</v>
      </c>
      <c r="AI60" s="520">
        <f t="shared" si="28"/>
        <v>0</v>
      </c>
      <c r="AJ60" s="519">
        <f>IF(ISBLANK(AH9),(AD60/AD10)*AJ7,(AD60/AH9)*AI9)</f>
        <v>0</v>
      </c>
      <c r="AK60" s="518"/>
      <c r="AL60" s="517">
        <f t="shared" si="29"/>
        <v>0</v>
      </c>
      <c r="AM60" s="516"/>
      <c r="AN60" s="372">
        <f t="shared" si="30"/>
        <v>0</v>
      </c>
      <c r="AO60" s="3926"/>
      <c r="AP60" s="515"/>
      <c r="AQ60" s="378"/>
      <c r="AR60" s="378"/>
      <c r="AS60" s="378"/>
      <c r="AT60" s="378"/>
      <c r="AU60" s="378"/>
      <c r="AV60" s="378"/>
      <c r="AW60" s="378"/>
      <c r="AX60" s="378"/>
      <c r="AY60" s="378"/>
      <c r="AZ60" s="378"/>
      <c r="BA60" s="378"/>
      <c r="BB60" s="378"/>
      <c r="BC60" s="378"/>
      <c r="BD60" s="378"/>
      <c r="BE60" s="413"/>
      <c r="BF60" s="548" t="s">
        <v>200</v>
      </c>
      <c r="BG60" s="513" t="str">
        <f>LEFT(ADDRESS(1,COLUMN(AD12),4),LEN(ADDRESS(1,COLUMN(AD12),4))-1)</f>
        <v>AD</v>
      </c>
      <c r="BH60" s="378"/>
      <c r="BI60" s="378"/>
      <c r="BJ60" s="378"/>
      <c r="BK60" s="378"/>
      <c r="BL60" s="378"/>
      <c r="BM60" s="381">
        <v>15</v>
      </c>
    </row>
    <row r="61" spans="1:65" ht="15" customHeight="1">
      <c r="A61" s="3862"/>
      <c r="B61" s="547">
        <f t="shared" si="17"/>
        <v>0</v>
      </c>
      <c r="C61" s="546"/>
      <c r="D61" s="3374">
        <f>IF(ISBLANK(AX7),(AA61/AS7)*AW7,(AA61/AX7)*AY7)</f>
        <v>0</v>
      </c>
      <c r="E61" s="533">
        <f t="shared" si="18"/>
        <v>0</v>
      </c>
      <c r="F61" s="532">
        <f>IF(ISBLANK(AX7),(AD61/AS7)*AW7,(AD61/AX7)*AY7)</f>
        <v>0</v>
      </c>
      <c r="G61" s="3374">
        <f>IF(ISBLANK(AX8),(AA61/AS7)*AW8,(AA61/AX8)*AY8)</f>
        <v>0</v>
      </c>
      <c r="H61" s="533">
        <f t="shared" si="19"/>
        <v>0</v>
      </c>
      <c r="I61" s="532">
        <f>IF(ISBLANK(AX8),(AD61/AS7)*AW8,(AD61/AX8)*AY8)</f>
        <v>0</v>
      </c>
      <c r="J61" s="3374">
        <f>IF(ISBLANK(AX9),(AA61/AS7)*AW9,(AA61/AX9)*AY9)</f>
        <v>0</v>
      </c>
      <c r="K61" s="533">
        <f t="shared" si="20"/>
        <v>0</v>
      </c>
      <c r="L61" s="532">
        <f>IF(ISBLANK(AX9),(AD61/AS7)*AW9,(AD61/AX9)*AY9)</f>
        <v>0</v>
      </c>
      <c r="M61" s="3374">
        <f>IF(ISBLANK(AX10),(AA61/AS7)*AW10,(AA61/AX10)*AY10)</f>
        <v>0</v>
      </c>
      <c r="N61" s="533">
        <f t="shared" si="21"/>
        <v>0</v>
      </c>
      <c r="O61" s="532">
        <f>IF(ISBLANK(AX10),(AD61/AS7)*AW10,(AD61/AX10)*AY10)</f>
        <v>0</v>
      </c>
      <c r="P61" s="3374">
        <f>IF(ISBLANK(AX11),(AA61/AS7)*AW11,(AA61/AX11)*AY11)</f>
        <v>0</v>
      </c>
      <c r="Q61" s="533">
        <f t="shared" si="22"/>
        <v>0</v>
      </c>
      <c r="R61" s="532">
        <f>IF(ISBLANK(AX11),(AD61/AS7)*AW11,(AD61/AX11)*AY11)</f>
        <v>0</v>
      </c>
      <c r="S61" s="3374">
        <f>IF(ISBLANK(AX12),(AA61/AS7)*AW12,(AA61/AX12)*AY12)</f>
        <v>0</v>
      </c>
      <c r="T61" s="533">
        <f t="shared" si="23"/>
        <v>0</v>
      </c>
      <c r="U61" s="532">
        <f>IF(ISBLANK(AX12),(AD61/AS7)*AW12,(AD61/AX12)*AY12)</f>
        <v>0</v>
      </c>
      <c r="V61" s="531">
        <f t="shared" si="24"/>
        <v>0</v>
      </c>
      <c r="W61" s="530">
        <f t="shared" si="25"/>
        <v>0</v>
      </c>
      <c r="X61" s="529">
        <f t="shared" si="26"/>
        <v>0</v>
      </c>
      <c r="Y61" s="4021"/>
      <c r="Z61" s="515"/>
      <c r="AA61" s="545"/>
      <c r="AB61" s="544"/>
      <c r="AC61" s="543"/>
      <c r="AD61" s="542">
        <f t="shared" si="27"/>
        <v>0</v>
      </c>
      <c r="AE61" s="541"/>
      <c r="AF61" s="523"/>
      <c r="AG61" s="522"/>
      <c r="AH61" s="540">
        <f>IF(ISBLANK(AH9),(AA61/AD10)*AJ7,(AA61/AH9)*AI9)</f>
        <v>0</v>
      </c>
      <c r="AI61" s="539">
        <f t="shared" si="28"/>
        <v>0</v>
      </c>
      <c r="AJ61" s="538">
        <f>IF(ISBLANK(AH9),(AD61/AD10)*AJ7,(AD61/AH9)*AI9)</f>
        <v>0</v>
      </c>
      <c r="AK61" s="518"/>
      <c r="AL61" s="537">
        <f t="shared" si="29"/>
        <v>0</v>
      </c>
      <c r="AM61" s="516"/>
      <c r="AN61" s="372">
        <f t="shared" si="30"/>
        <v>0</v>
      </c>
      <c r="AO61" s="3926"/>
      <c r="AP61" s="515"/>
      <c r="AQ61" s="378"/>
      <c r="AR61" s="378"/>
      <c r="AS61" s="378"/>
      <c r="AT61" s="378"/>
      <c r="AU61" s="378"/>
      <c r="AV61" s="378"/>
      <c r="AW61" s="378"/>
      <c r="AX61" s="378"/>
      <c r="AY61" s="378"/>
      <c r="AZ61" s="378"/>
      <c r="BA61" s="378"/>
      <c r="BB61" s="378"/>
      <c r="BC61" s="378"/>
      <c r="BD61" s="378"/>
      <c r="BE61" s="413" t="s">
        <v>199</v>
      </c>
      <c r="BF61" s="412"/>
      <c r="BG61" s="411"/>
      <c r="BH61" s="378"/>
      <c r="BI61" s="378"/>
      <c r="BJ61" s="378"/>
      <c r="BK61" s="378"/>
      <c r="BL61" s="378"/>
      <c r="BM61" s="381">
        <v>15</v>
      </c>
    </row>
    <row r="62" spans="1:65" ht="15" customHeight="1">
      <c r="A62" s="3862"/>
      <c r="B62" s="536">
        <f t="shared" si="17"/>
        <v>0</v>
      </c>
      <c r="C62" s="535"/>
      <c r="D62" s="3374">
        <f>IF(ISBLANK(AX7),(AA62/AS7)*AW7,(AA62/AX7)*AY7)</f>
        <v>0</v>
      </c>
      <c r="E62" s="533">
        <f t="shared" si="18"/>
        <v>0</v>
      </c>
      <c r="F62" s="532">
        <f>IF(ISBLANK(AX7),(AD62/AS7)*AW7,(AD62/AX7)*AY7)</f>
        <v>0</v>
      </c>
      <c r="G62" s="3374">
        <f>IF(ISBLANK(AX8),(AA62/AS7)*AW8,(AA62/AX8)*AY8)</f>
        <v>0</v>
      </c>
      <c r="H62" s="533">
        <f t="shared" si="19"/>
        <v>0</v>
      </c>
      <c r="I62" s="532">
        <f>IF(ISBLANK(AX8),(AD62/AS7)*AW8,(AD62/AX8)*AY8)</f>
        <v>0</v>
      </c>
      <c r="J62" s="3374">
        <f>IF(ISBLANK(AX9),(AA62/AS7)*AW9,(AA62/AX9)*AY9)</f>
        <v>0</v>
      </c>
      <c r="K62" s="533">
        <f t="shared" si="20"/>
        <v>0</v>
      </c>
      <c r="L62" s="532">
        <f>IF(ISBLANK(AX9),(AD62/AS7)*AW9,(AD62/AX9)*AY9)</f>
        <v>0</v>
      </c>
      <c r="M62" s="3374">
        <f>IF(ISBLANK(AX10),(AA62/AS7)*AW10,(AA62/AX10)*AY10)</f>
        <v>0</v>
      </c>
      <c r="N62" s="533">
        <f t="shared" si="21"/>
        <v>0</v>
      </c>
      <c r="O62" s="532">
        <f>IF(ISBLANK(AX10),(AD62/AS7)*AW10,(AD62/AX10)*AY10)</f>
        <v>0</v>
      </c>
      <c r="P62" s="3374">
        <f>IF(ISBLANK(AX11),(AA62/AS7)*AW11,(AA62/AX11)*AY11)</f>
        <v>0</v>
      </c>
      <c r="Q62" s="533">
        <f t="shared" si="22"/>
        <v>0</v>
      </c>
      <c r="R62" s="532">
        <f>IF(ISBLANK(AX11),(AD62/AS7)*AW11,(AD62/AX11)*AY11)</f>
        <v>0</v>
      </c>
      <c r="S62" s="3374">
        <f>IF(ISBLANK(AX12),(AA62/AS7)*AW12,(AA62/AX12)*AY12)</f>
        <v>0</v>
      </c>
      <c r="T62" s="533">
        <f t="shared" si="23"/>
        <v>0</v>
      </c>
      <c r="U62" s="532">
        <f>IF(ISBLANK(AX12),(AD62/AS7)*AW12,(AD62/AX12)*AY12)</f>
        <v>0</v>
      </c>
      <c r="V62" s="531">
        <f t="shared" si="24"/>
        <v>0</v>
      </c>
      <c r="W62" s="530">
        <f t="shared" si="25"/>
        <v>0</v>
      </c>
      <c r="X62" s="529">
        <f t="shared" si="26"/>
        <v>0</v>
      </c>
      <c r="Y62" s="3865"/>
      <c r="Z62" s="515"/>
      <c r="AA62" s="528"/>
      <c r="AB62" s="527"/>
      <c r="AC62" s="526"/>
      <c r="AD62" s="525">
        <f t="shared" si="27"/>
        <v>0</v>
      </c>
      <c r="AE62" s="524"/>
      <c r="AF62" s="523"/>
      <c r="AG62" s="522"/>
      <c r="AH62" s="521">
        <f>IF(ISBLANK(AH9),(AA62/AD10)*AJ7,(AA62/AH9)*AI9)</f>
        <v>0</v>
      </c>
      <c r="AI62" s="520">
        <f t="shared" si="28"/>
        <v>0</v>
      </c>
      <c r="AJ62" s="519">
        <f>IF(ISBLANK(AH9),(AD62/AD10)*AJ7,(AD62/AH9)*AI9)</f>
        <v>0</v>
      </c>
      <c r="AK62" s="518"/>
      <c r="AL62" s="517">
        <f t="shared" si="29"/>
        <v>0</v>
      </c>
      <c r="AM62" s="516"/>
      <c r="AN62" s="372">
        <f t="shared" si="30"/>
        <v>0</v>
      </c>
      <c r="AO62" s="3686"/>
      <c r="AP62" s="515"/>
      <c r="AQ62" s="378"/>
      <c r="AR62" s="378"/>
      <c r="AS62" s="378"/>
      <c r="AT62" s="378"/>
      <c r="AU62" s="378"/>
      <c r="AV62" s="378"/>
      <c r="AW62" s="378"/>
      <c r="AX62" s="378"/>
      <c r="AY62" s="378"/>
      <c r="AZ62" s="378"/>
      <c r="BA62" s="378"/>
      <c r="BB62" s="378"/>
      <c r="BC62" s="378"/>
      <c r="BD62" s="378"/>
      <c r="BE62" s="413"/>
      <c r="BF62" s="514" t="s">
        <v>198</v>
      </c>
      <c r="BG62" s="513" t="str">
        <f>ADDRESS(ROW(AJ9),COLUMN(AJ9),4)</f>
        <v>AJ9</v>
      </c>
      <c r="BH62" s="378"/>
      <c r="BI62" s="378"/>
      <c r="BJ62" s="378"/>
      <c r="BK62" s="378"/>
      <c r="BL62" s="378"/>
      <c r="BM62" s="381">
        <v>15</v>
      </c>
    </row>
    <row r="63" spans="1:65" ht="15" customHeight="1">
      <c r="A63" s="3862"/>
      <c r="B63" s="3373"/>
      <c r="C63" s="3372" t="s">
        <v>197</v>
      </c>
      <c r="D63" s="3371"/>
      <c r="E63" s="3370"/>
      <c r="F63" s="3369"/>
      <c r="G63" s="3371"/>
      <c r="H63" s="3370"/>
      <c r="I63" s="3369"/>
      <c r="J63" s="3371"/>
      <c r="K63" s="3370"/>
      <c r="L63" s="3369"/>
      <c r="M63" s="3371"/>
      <c r="N63" s="3370"/>
      <c r="O63" s="3369"/>
      <c r="P63" s="3371"/>
      <c r="Q63" s="3370"/>
      <c r="R63" s="3369"/>
      <c r="S63" s="3371"/>
      <c r="T63" s="3370"/>
      <c r="U63" s="3369"/>
      <c r="V63" s="3368">
        <f>SUM(V13:V62)</f>
        <v>112.78664999999999</v>
      </c>
      <c r="W63" s="3367"/>
      <c r="X63" s="505"/>
      <c r="Y63" s="4035" t="str">
        <f>X3</f>
        <v>021</v>
      </c>
      <c r="AA63" s="3241"/>
      <c r="AB63" s="3366" t="s">
        <v>196</v>
      </c>
      <c r="AC63" s="3363"/>
      <c r="AD63" s="3363"/>
      <c r="AE63" s="3365"/>
      <c r="AF63" s="3364"/>
      <c r="AG63" s="3364"/>
      <c r="AH63" s="3364"/>
      <c r="AI63" s="3364"/>
      <c r="AJ63" s="3363"/>
      <c r="AK63" s="3363"/>
      <c r="AL63" s="3363"/>
      <c r="AM63" s="3363"/>
      <c r="AN63" s="499"/>
      <c r="AO63" s="3947" t="str">
        <f>AN3</f>
        <v>021</v>
      </c>
      <c r="AQ63" s="378"/>
      <c r="AR63" s="378"/>
      <c r="AS63" s="378"/>
      <c r="AT63" s="378"/>
      <c r="AU63" s="378"/>
      <c r="AV63" s="378"/>
      <c r="AW63" s="378"/>
      <c r="AX63" s="378"/>
      <c r="AY63" s="378"/>
      <c r="AZ63" s="378"/>
      <c r="BA63" s="378"/>
      <c r="BB63" s="378"/>
      <c r="BC63" s="378"/>
      <c r="BD63" s="378"/>
      <c r="BE63" s="413"/>
      <c r="BF63" s="412"/>
      <c r="BG63" s="411"/>
      <c r="BH63" s="378"/>
      <c r="BI63" s="378"/>
      <c r="BJ63" s="378"/>
      <c r="BK63" s="378"/>
      <c r="BL63" s="378"/>
      <c r="BM63" s="381">
        <v>15</v>
      </c>
    </row>
    <row r="64" spans="1:65" ht="18" customHeight="1">
      <c r="A64" s="3862"/>
      <c r="B64" s="4037" t="s">
        <v>191</v>
      </c>
      <c r="C64" s="4038"/>
      <c r="D64" s="498"/>
      <c r="E64" s="373" t="s">
        <v>195</v>
      </c>
      <c r="F64" s="482">
        <f>SUM(F13:F62)</f>
        <v>14.90625</v>
      </c>
      <c r="G64" s="498"/>
      <c r="H64" s="373" t="s">
        <v>195</v>
      </c>
      <c r="I64" s="482">
        <f>SUM(I13:I62)</f>
        <v>43.406999999999996</v>
      </c>
      <c r="J64" s="498"/>
      <c r="K64" s="373" t="s">
        <v>195</v>
      </c>
      <c r="L64" s="482">
        <f>SUM(L13:L62)</f>
        <v>31.481999999999992</v>
      </c>
      <c r="M64" s="498"/>
      <c r="N64" s="373" t="s">
        <v>195</v>
      </c>
      <c r="O64" s="482">
        <f>SUM(O13:O62)</f>
        <v>17.172000000000001</v>
      </c>
      <c r="P64" s="498"/>
      <c r="Q64" s="373" t="s">
        <v>195</v>
      </c>
      <c r="R64" s="482">
        <f>SUM(R13:R62)</f>
        <v>3.8160000000000012</v>
      </c>
      <c r="S64" s="498"/>
      <c r="T64" s="373" t="s">
        <v>195</v>
      </c>
      <c r="U64" s="482">
        <f>SUM(U13:U62)</f>
        <v>2.0034000000000001</v>
      </c>
      <c r="V64" s="493">
        <f>SUM(V13:V62)</f>
        <v>112.78664999999999</v>
      </c>
      <c r="W64" s="3362"/>
      <c r="X64" s="496">
        <f>SUM(X13:X62)</f>
        <v>374.06389999999993</v>
      </c>
      <c r="Y64" s="4036"/>
      <c r="AA64" s="489"/>
      <c r="AB64" s="3235">
        <f>IF(ISBLANK(AA13),AC13,AA13*AC13)+IF(ISBLANK(AA14),AC14,AA14*AC14)+IF(ISBLANK(AA15),AC15,AA15*AC15)+IF(ISBLANK(AA16),AC16,AA16*AC16)+IF(ISBLANK(AA17),AC17,AA17*AC17)+IF(ISBLANK(AA18),AC18,AA18*AC18)+IF(ISBLANK(AA19),AC19,AA19*AC19)+IF(ISBLANK(AA20),AC20,AA20*AC20)+IF(ISBLANK(AA21),AC21,AA21*AC21)+IF(ISBLANK(AA22),AC22,AA22*AC22)+IF(ISBLANK(AA23),AC23,AA23*AC23)+IF(ISBLANK(AA24),AC24,AA24*AC24)+IF(ISBLANK(AA25),AC25,AA25*AC25)+IF(ISBLANK(AA26),AC26,AA26*AC26)+IF(ISBLANK(AA27),AC27,AA27*AC27)+IF(ISBLANK(AA28),AC28,AA28*AC28)+IF(ISBLANK(AA29),AC29,AA29*AC29)+IF(ISBLANK(AA30),AC30,AA30*AC30)+IF(ISBLANK(AA31),AC31,AA31*AC31)+IF(ISBLANK(AA32),AC32,AA32*AC32)+IF(ISBLANK(AA33),AC33,AA33*AC33)+IF(ISBLANK(AA34),AC34,AA34*AC34)+IF(ISBLANK(AA35),AC35,AA35*AC35)+IF(ISBLANK(AA36),AC36,AA36*AC36)+IF(ISBLANK(AA37),AC37,AA37*AC37)+IF(ISBLANK(AA38),AC38,AA38*AC38)+IF(ISBLANK(AA39),AC39,AA39*AC39)+ IF(ISBLANK(AA40),AC40,AA40*AC40)+ IF(ISBLANK(AA41),AC41,AA41*AC41)+ IF(ISBLANK(AA42),AC42,AA42*AC42)+ IF(ISBLANK(AA43),AC43,AA43*AC43)+ IF(ISBLANK(AA44),AC44,AA44*AC44)+ IF(ISBLANK(AA45),AC45,AA45*AC45)+ IF(ISBLANK(AA46),AC46,AA46*AC46)+ IF(ISBLANK(AA47),AC47,AA47*AC47)+ IF(ISBLANK(AA48),AC48,AA48*AC48)+IF(ISBLANK(AA49),AC49,AA49*AC49)+IF(ISBLANK(AA50),AC50,AA50*AC50)+ IF(ISBLANK(AA51),AC51,AA51*AC51) +IF(ISBLANK(AA52),AC52,AA52*AC52) +IF(ISBLANK(AA53),AC53,AA53*AC53) +IF(ISBLANK(AA54),AC54,AA54*AC54) +IF(ISBLANK(AA55),AC55,AA55*AC55) +IF(ISBLANK(AA56),AC56,AA56*AC56) +IF(ISBLANK(AA57),AC57,AA57*AC57) +IF(ISBLANK(AA58),AC58,AA58*AC58) +IF(ISBLANK(AA59),AC59,AA59*AC59) +IF(ISBLANK(AA60),AC60,AA60*AC60) +IF(ISBLANK(AA61),AC61,AA61*AC61) +IF(ISBLANK(AA62),AC62,AA62*AC62)</f>
        <v>4.7699999999999996</v>
      </c>
      <c r="AC64" s="493"/>
      <c r="AD64" s="493">
        <f>SUM(AD13:AD62)</f>
        <v>4.7699999999999996</v>
      </c>
      <c r="AE64" s="494"/>
      <c r="AF64" s="8"/>
      <c r="AG64" s="8"/>
      <c r="AH64" s="8"/>
      <c r="AI64" s="486" t="s">
        <v>37</v>
      </c>
      <c r="AJ64" s="485">
        <f>SUM(AJ13:AJ62)</f>
        <v>67.499999999999986</v>
      </c>
      <c r="AK64" s="486" t="s">
        <v>47</v>
      </c>
      <c r="AL64" s="485">
        <f>SUM(AL13:AL62)</f>
        <v>57.594339622641499</v>
      </c>
      <c r="AM64" s="493"/>
      <c r="AN64" s="493"/>
      <c r="AO64" s="3948"/>
      <c r="AQ64" s="378"/>
      <c r="AR64" s="378"/>
      <c r="AS64" s="378"/>
      <c r="AT64" s="378"/>
      <c r="AU64" s="378"/>
      <c r="AV64" s="378"/>
      <c r="AW64" s="378"/>
      <c r="AX64" s="378"/>
      <c r="AY64" s="378"/>
      <c r="AZ64" s="378"/>
      <c r="BA64" s="378"/>
      <c r="BB64" s="378"/>
      <c r="BC64" s="378"/>
      <c r="BD64" s="378"/>
      <c r="BE64" s="3601" t="s">
        <v>194</v>
      </c>
      <c r="BF64" s="3602"/>
      <c r="BG64" s="3603"/>
      <c r="BH64" s="378"/>
      <c r="BI64" s="378"/>
      <c r="BJ64" s="378"/>
      <c r="BK64" s="378"/>
      <c r="BL64" s="378"/>
      <c r="BM64" s="381">
        <v>18</v>
      </c>
    </row>
    <row r="65" spans="1:65" ht="18" customHeight="1">
      <c r="A65" s="3862"/>
      <c r="B65" s="3915"/>
      <c r="C65" s="3916"/>
      <c r="D65" s="481"/>
      <c r="E65" s="491" t="s">
        <v>193</v>
      </c>
      <c r="F65" s="765" t="str">
        <f>IF(ISBLANK(AY7),AW6,BA6)</f>
        <v>Total ❿</v>
      </c>
      <c r="G65" s="481"/>
      <c r="H65" s="491" t="s">
        <v>193</v>
      </c>
      <c r="I65" s="765" t="str">
        <f>IF(ISBLANK(AY8),AW6,BA6)</f>
        <v>Total ❿</v>
      </c>
      <c r="J65" s="481"/>
      <c r="K65" s="491" t="s">
        <v>193</v>
      </c>
      <c r="L65" s="765" t="str">
        <f>IF(ISBLANK(AY9),AW6,BA6)</f>
        <v>Total ❿</v>
      </c>
      <c r="M65" s="481"/>
      <c r="N65" s="491" t="s">
        <v>193</v>
      </c>
      <c r="O65" s="765" t="str">
        <f>IF(ISBLANK(AY10),AW6,BA6)</f>
        <v>Total ❿</v>
      </c>
      <c r="P65" s="481"/>
      <c r="Q65" s="491" t="s">
        <v>193</v>
      </c>
      <c r="R65" s="765" t="str">
        <f>IF(ISBLANK(AY11),AW6,BA6)</f>
        <v>Total ❿</v>
      </c>
      <c r="S65" s="481"/>
      <c r="T65" s="491" t="s">
        <v>193</v>
      </c>
      <c r="U65" s="765" t="str">
        <f>IF(ISBLANK(AY12),AW6,BA6)</f>
        <v>Total ❿</v>
      </c>
      <c r="V65" s="481"/>
      <c r="W65" s="491" t="s">
        <v>193</v>
      </c>
      <c r="X65" s="766"/>
      <c r="Y65" s="4036"/>
      <c r="AA65" s="489"/>
      <c r="AB65" s="484"/>
      <c r="AC65" s="484"/>
      <c r="AD65" s="484"/>
      <c r="AE65" s="477"/>
      <c r="AF65" s="488"/>
      <c r="AG65" s="488"/>
      <c r="AH65" s="488"/>
      <c r="AI65" s="487"/>
      <c r="AJ65" s="484"/>
      <c r="AK65" s="486" t="s">
        <v>192</v>
      </c>
      <c r="AL65" s="485">
        <f>AJ64-AL64</f>
        <v>9.9056603773584868</v>
      </c>
      <c r="AM65" s="484"/>
      <c r="AN65" s="484"/>
      <c r="AO65" s="3948"/>
      <c r="AQ65" s="378"/>
      <c r="AR65" s="378"/>
      <c r="AS65" s="378"/>
      <c r="AT65" s="378"/>
      <c r="AU65" s="378"/>
      <c r="AV65" s="378"/>
      <c r="AW65" s="378"/>
      <c r="AX65" s="378"/>
      <c r="AY65" s="378"/>
      <c r="AZ65" s="378"/>
      <c r="BA65" s="378"/>
      <c r="BB65" s="378"/>
      <c r="BC65" s="378"/>
      <c r="BD65" s="378"/>
      <c r="BE65" s="3601"/>
      <c r="BF65" s="3602"/>
      <c r="BG65" s="3603"/>
      <c r="BH65" s="378"/>
      <c r="BI65" s="378"/>
      <c r="BJ65" s="378"/>
      <c r="BK65" s="378"/>
      <c r="BL65" s="378"/>
      <c r="BM65" s="381">
        <v>18</v>
      </c>
    </row>
    <row r="66" spans="1:65" ht="18" customHeight="1">
      <c r="A66" s="3862"/>
      <c r="B66" s="384"/>
      <c r="C66" s="384"/>
      <c r="D66" s="481"/>
      <c r="E66" s="483">
        <f>(F66/D68)*1000</f>
        <v>119.24999999999999</v>
      </c>
      <c r="F66" s="482">
        <f>IF(ISBLANK(AY7),AW7,BA7)</f>
        <v>14.906249999999998</v>
      </c>
      <c r="G66" s="481"/>
      <c r="H66" s="483">
        <f>(I64/G68)*1000</f>
        <v>166.95</v>
      </c>
      <c r="I66" s="482">
        <f>IF(ISBLANK(AY8),AW8,BA8)</f>
        <v>43.406999999999996</v>
      </c>
      <c r="J66" s="481"/>
      <c r="K66" s="483">
        <f>(L64/J68)*1000</f>
        <v>262.34999999999991</v>
      </c>
      <c r="L66" s="482">
        <f>IF(ISBLANK(AY9),AW9,BA9)</f>
        <v>31.481999999999996</v>
      </c>
      <c r="M66" s="481"/>
      <c r="N66" s="483">
        <f>(O64/M68)*1000</f>
        <v>286.2</v>
      </c>
      <c r="O66" s="482">
        <f>IF(ISBLANK(AY10),AW10,BA10)</f>
        <v>17.172000000000001</v>
      </c>
      <c r="P66" s="481"/>
      <c r="Q66" s="483">
        <f>(R64/P68)*1000</f>
        <v>190.80000000000004</v>
      </c>
      <c r="R66" s="482">
        <f>IF(ISBLANK(AY11),AW11,BA11)</f>
        <v>3.8159999999999998</v>
      </c>
      <c r="S66" s="481"/>
      <c r="T66" s="483">
        <f>(U64/S68)*1000</f>
        <v>166.95000000000002</v>
      </c>
      <c r="U66" s="482">
        <f>IF(ISBLANK(AY12),AW12,BA12)</f>
        <v>2.0033999999999996</v>
      </c>
      <c r="V66" s="481" t="s">
        <v>190</v>
      </c>
      <c r="W66" s="480">
        <f>X64/V67</f>
        <v>0.62657269681742034</v>
      </c>
      <c r="X66" s="479"/>
      <c r="Y66" s="4036"/>
      <c r="AA66" s="478"/>
      <c r="AB66" s="476"/>
      <c r="AC66" s="476"/>
      <c r="AD66" s="476"/>
      <c r="AE66" s="477" t="s">
        <v>191</v>
      </c>
      <c r="AF66" s="476"/>
      <c r="AG66" s="476"/>
      <c r="AH66" s="476"/>
      <c r="AI66" s="476"/>
      <c r="AJ66" s="476"/>
      <c r="AK66" s="476"/>
      <c r="AL66" s="476"/>
      <c r="AM66" s="476"/>
      <c r="AN66" s="476"/>
      <c r="AO66" s="3948"/>
      <c r="AQ66" s="378"/>
      <c r="AR66" s="378"/>
      <c r="AS66" s="378"/>
      <c r="AT66" s="378"/>
      <c r="AU66" s="378"/>
      <c r="AV66" s="378"/>
      <c r="AW66" s="378"/>
      <c r="AX66" s="378"/>
      <c r="AY66" s="378"/>
      <c r="AZ66" s="378"/>
      <c r="BA66" s="378"/>
      <c r="BB66" s="378"/>
      <c r="BC66" s="378"/>
      <c r="BD66" s="378"/>
      <c r="BE66" s="3601"/>
      <c r="BF66" s="3602"/>
      <c r="BG66" s="3603"/>
      <c r="BH66" s="378"/>
      <c r="BI66" s="378"/>
      <c r="BJ66" s="378"/>
      <c r="BK66" s="378"/>
      <c r="BL66" s="378"/>
      <c r="BM66" s="381">
        <v>18</v>
      </c>
    </row>
    <row r="67" spans="1:65" ht="15" customHeight="1" thickBot="1">
      <c r="A67" s="3862"/>
      <c r="B67" s="384"/>
      <c r="C67" s="384"/>
      <c r="D67" s="475" t="s">
        <v>190</v>
      </c>
      <c r="E67" s="474">
        <f>BB7</f>
        <v>50</v>
      </c>
      <c r="F67" s="473" t="str">
        <f>IF(ISBLANK(AY7),"",AZ7)</f>
        <v>Kg agneau</v>
      </c>
      <c r="G67" s="475" t="s">
        <v>190</v>
      </c>
      <c r="H67" s="474">
        <f>BB8</f>
        <v>69.999999999999986</v>
      </c>
      <c r="I67" s="473" t="str">
        <f>IF(ISBLANK(AY8),"",AZ8)</f>
        <v>Kg agneau</v>
      </c>
      <c r="J67" s="475" t="s">
        <v>190</v>
      </c>
      <c r="K67" s="474">
        <f>BB9</f>
        <v>110</v>
      </c>
      <c r="L67" s="473" t="str">
        <f>IF(ISBLANK(AY9),"",AZ9)</f>
        <v>Kg agneau</v>
      </c>
      <c r="M67" s="475" t="s">
        <v>190</v>
      </c>
      <c r="N67" s="474">
        <f>BB10</f>
        <v>120.00000000000001</v>
      </c>
      <c r="O67" s="473" t="str">
        <f>IF(ISBLANK(AY10),"",AZ10)</f>
        <v>Kg agneau</v>
      </c>
      <c r="P67" s="475" t="s">
        <v>190</v>
      </c>
      <c r="Q67" s="474">
        <f>BB11</f>
        <v>80</v>
      </c>
      <c r="R67" s="473" t="str">
        <f>IF(ISBLANK(AY11),"",AZ11)</f>
        <v>Kg agneau</v>
      </c>
      <c r="S67" s="475" t="s">
        <v>190</v>
      </c>
      <c r="T67" s="474">
        <f>BB12</f>
        <v>69.999999999999986</v>
      </c>
      <c r="U67" s="473" t="str">
        <f>IF(ISBLANK(AY12),"",AZ12)</f>
        <v>Kg agneau</v>
      </c>
      <c r="V67" s="472">
        <f>SUM(D68,G68,J68,M68,P68,S68)</f>
        <v>597</v>
      </c>
      <c r="W67" s="471" t="s">
        <v>189</v>
      </c>
      <c r="X67" s="470"/>
      <c r="Y67" s="4036"/>
      <c r="Z67" s="378"/>
      <c r="AA67" s="3361"/>
      <c r="AB67" s="3360"/>
      <c r="AC67" s="3360"/>
      <c r="AD67" s="3360"/>
      <c r="AE67" s="3360"/>
      <c r="AF67" s="3360"/>
      <c r="AG67" s="3360"/>
      <c r="AH67" s="3360"/>
      <c r="AI67" s="3360"/>
      <c r="AJ67" s="3360"/>
      <c r="AK67" s="3360"/>
      <c r="AL67" s="3360"/>
      <c r="AM67" s="3360"/>
      <c r="AN67" s="3360"/>
      <c r="AO67" s="3949"/>
      <c r="AP67" s="378"/>
      <c r="AQ67" s="378"/>
      <c r="AR67" s="378"/>
      <c r="AS67" s="378"/>
      <c r="AT67" s="378"/>
      <c r="AU67" s="378"/>
      <c r="AV67" s="378"/>
      <c r="AW67" s="378"/>
      <c r="AX67" s="378"/>
      <c r="AY67" s="378"/>
      <c r="AZ67" s="378"/>
      <c r="BA67" s="378"/>
      <c r="BB67" s="378"/>
      <c r="BC67" s="378"/>
      <c r="BD67" s="378"/>
      <c r="BE67" s="3601"/>
      <c r="BF67" s="3602"/>
      <c r="BG67" s="3603"/>
      <c r="BH67" s="378"/>
      <c r="BI67" s="378"/>
      <c r="BJ67" s="378"/>
      <c r="BK67" s="378"/>
      <c r="BL67" s="378"/>
      <c r="BM67" s="381">
        <v>15</v>
      </c>
    </row>
    <row r="68" spans="1:65" ht="20.100000000000001" customHeight="1">
      <c r="A68" s="384"/>
      <c r="B68" s="467"/>
      <c r="C68" s="458"/>
      <c r="D68" s="466">
        <f>D11</f>
        <v>125</v>
      </c>
      <c r="E68" s="465" t="str">
        <f>D9</f>
        <v>Maternelles</v>
      </c>
      <c r="F68" s="464"/>
      <c r="G68" s="462">
        <f>G11</f>
        <v>260</v>
      </c>
      <c r="H68" s="461" t="str">
        <f>G9</f>
        <v>Primaires</v>
      </c>
      <c r="I68" s="463"/>
      <c r="J68" s="462">
        <f>J11</f>
        <v>120</v>
      </c>
      <c r="K68" s="461" t="str">
        <f>J9</f>
        <v>Adultes</v>
      </c>
      <c r="L68" s="463"/>
      <c r="M68" s="462">
        <f>M11</f>
        <v>60</v>
      </c>
      <c r="N68" s="461" t="str">
        <f>M9</f>
        <v>Adultes +</v>
      </c>
      <c r="O68" s="463"/>
      <c r="P68" s="462">
        <f>P11</f>
        <v>20</v>
      </c>
      <c r="Q68" s="461" t="str">
        <f>P9</f>
        <v>PAM</v>
      </c>
      <c r="R68" s="463"/>
      <c r="S68" s="462">
        <f>S11</f>
        <v>12</v>
      </c>
      <c r="T68" s="461" t="str">
        <f>S9</f>
        <v>PAS</v>
      </c>
      <c r="U68" s="460"/>
      <c r="V68" s="459"/>
      <c r="W68" s="458"/>
      <c r="X68" s="458"/>
      <c r="Y68" s="4036"/>
      <c r="Z68" s="378"/>
      <c r="AA68" s="450" t="s">
        <v>188</v>
      </c>
      <c r="AB68" s="449"/>
      <c r="AC68" s="449"/>
      <c r="AD68" s="449"/>
      <c r="AE68" s="449"/>
      <c r="AF68" s="449"/>
      <c r="AG68" s="449"/>
      <c r="AH68" s="449"/>
      <c r="AI68" s="449"/>
      <c r="AJ68" s="449"/>
      <c r="AK68" s="449"/>
      <c r="AL68" s="449"/>
      <c r="AM68" s="449"/>
      <c r="AN68" s="449"/>
      <c r="AO68" s="457" t="str">
        <f>AA3</f>
        <v>NAVARIN D'AGNEAU PRINTANIER</v>
      </c>
      <c r="AP68" s="378"/>
      <c r="AQ68" s="378"/>
      <c r="AR68" s="378"/>
      <c r="AS68" s="378"/>
      <c r="AT68" s="378"/>
      <c r="AU68" s="378"/>
      <c r="AV68" s="378"/>
      <c r="AW68" s="378"/>
      <c r="AX68" s="378"/>
      <c r="AY68" s="378"/>
      <c r="AZ68" s="378"/>
      <c r="BA68" s="378"/>
      <c r="BB68" s="378"/>
      <c r="BC68" s="378"/>
      <c r="BD68" s="378"/>
      <c r="BE68" s="456" t="s">
        <v>187</v>
      </c>
      <c r="BG68" s="455" t="str">
        <f>ADDRESS(ROW(AH9),COLUMN(AH9),4)</f>
        <v>AH9</v>
      </c>
      <c r="BH68" s="378"/>
      <c r="BI68" s="378"/>
      <c r="BJ68" s="378"/>
      <c r="BK68" s="378"/>
      <c r="BL68" s="378"/>
      <c r="BM68" s="381">
        <v>20</v>
      </c>
    </row>
    <row r="69" spans="1:65" ht="20.100000000000001" customHeight="1" thickBot="1">
      <c r="A69" s="384"/>
      <c r="B69" s="3359">
        <v>10.71</v>
      </c>
      <c r="C69" s="3357">
        <v>10.71</v>
      </c>
      <c r="D69" s="3357">
        <v>7</v>
      </c>
      <c r="E69" s="3357">
        <v>8</v>
      </c>
      <c r="F69" s="3357">
        <v>10</v>
      </c>
      <c r="G69" s="3357">
        <v>7</v>
      </c>
      <c r="H69" s="3357">
        <v>8</v>
      </c>
      <c r="I69" s="3357">
        <v>10</v>
      </c>
      <c r="J69" s="3357">
        <v>7</v>
      </c>
      <c r="K69" s="3357">
        <v>8</v>
      </c>
      <c r="L69" s="3357">
        <v>10</v>
      </c>
      <c r="M69" s="3357">
        <v>7</v>
      </c>
      <c r="N69" s="3357">
        <v>8</v>
      </c>
      <c r="O69" s="3357">
        <v>10</v>
      </c>
      <c r="P69" s="3357">
        <v>7</v>
      </c>
      <c r="Q69" s="3357">
        <v>8</v>
      </c>
      <c r="R69" s="3357">
        <v>10</v>
      </c>
      <c r="S69" s="3357">
        <v>7</v>
      </c>
      <c r="T69" s="3357">
        <v>8</v>
      </c>
      <c r="U69" s="3356">
        <v>10</v>
      </c>
      <c r="V69" s="3358">
        <v>11</v>
      </c>
      <c r="W69" s="3357">
        <v>11</v>
      </c>
      <c r="X69" s="3357">
        <v>11</v>
      </c>
      <c r="Y69" s="3356">
        <v>7</v>
      </c>
      <c r="Z69" s="356"/>
      <c r="AA69" s="450" t="s">
        <v>186</v>
      </c>
      <c r="AB69" s="449"/>
      <c r="AC69" s="449"/>
      <c r="AD69" s="449"/>
      <c r="AE69" s="449"/>
      <c r="AF69" s="449"/>
      <c r="AG69" s="449"/>
      <c r="AH69" s="449"/>
      <c r="AI69" s="449"/>
      <c r="AJ69" s="449"/>
      <c r="AK69" s="449"/>
      <c r="AL69" s="449"/>
      <c r="AM69" s="449"/>
      <c r="AN69" s="449"/>
      <c r="AO69" s="448" t="s">
        <v>185</v>
      </c>
      <c r="AP69" s="356"/>
      <c r="AQ69" s="356"/>
      <c r="AR69" s="378"/>
      <c r="AS69" s="378"/>
      <c r="AT69" s="378"/>
      <c r="AU69" s="378"/>
      <c r="AV69" s="378"/>
      <c r="AW69" s="378"/>
      <c r="AX69" s="378"/>
      <c r="AY69" s="378"/>
      <c r="AZ69" s="378"/>
      <c r="BA69" s="378"/>
      <c r="BB69" s="378"/>
      <c r="BC69" s="378"/>
      <c r="BD69" s="378"/>
      <c r="BE69" s="441">
        <v>16</v>
      </c>
      <c r="BF69" s="440" t="s">
        <v>184</v>
      </c>
      <c r="BG69" s="447"/>
      <c r="BH69" s="378"/>
      <c r="BI69" s="378"/>
      <c r="BJ69" s="378"/>
      <c r="BK69" s="378"/>
      <c r="BL69" s="378"/>
      <c r="BM69" s="381">
        <v>20</v>
      </c>
    </row>
    <row r="70" spans="1:65" ht="20.100000000000001" customHeight="1" thickBot="1">
      <c r="A70" s="384"/>
      <c r="B70" s="356"/>
      <c r="C70" s="356"/>
      <c r="D70" s="356"/>
      <c r="E70" s="356"/>
      <c r="F70" s="356"/>
      <c r="G70" s="356"/>
      <c r="H70" s="356"/>
      <c r="I70" s="356"/>
      <c r="J70" s="356"/>
      <c r="K70" s="356"/>
      <c r="L70" s="356"/>
      <c r="M70" s="356"/>
      <c r="N70" s="356"/>
      <c r="O70" s="356"/>
      <c r="P70" s="356"/>
      <c r="Q70" s="356"/>
      <c r="R70" s="356"/>
      <c r="S70" s="356"/>
      <c r="T70" s="356"/>
      <c r="U70" s="356"/>
      <c r="V70" s="356"/>
      <c r="W70" s="356"/>
      <c r="X70" s="356"/>
      <c r="Y70" s="356"/>
      <c r="Z70" s="356"/>
      <c r="AA70" s="3604" t="s">
        <v>183</v>
      </c>
      <c r="AB70" s="3605"/>
      <c r="AC70" s="3605"/>
      <c r="AD70" s="3920">
        <v>7.2916666666666671E-2</v>
      </c>
      <c r="AE70" s="40"/>
      <c r="AF70" s="40"/>
      <c r="AG70" s="3605" t="s">
        <v>182</v>
      </c>
      <c r="AH70" s="3605"/>
      <c r="AI70" s="3922">
        <v>8.3333333333333329E-2</v>
      </c>
      <c r="AJ70" s="40"/>
      <c r="AK70" s="443"/>
      <c r="AL70" s="443"/>
      <c r="AM70" s="443"/>
      <c r="AN70" s="443"/>
      <c r="AO70" s="446"/>
      <c r="AP70" s="356"/>
      <c r="AQ70" s="356"/>
      <c r="AR70" s="378"/>
      <c r="AS70" s="378"/>
      <c r="AT70" s="378"/>
      <c r="AU70" s="378"/>
      <c r="AV70" s="378"/>
      <c r="AW70" s="378"/>
      <c r="AX70" s="378"/>
      <c r="AY70" s="378"/>
      <c r="AZ70" s="378"/>
      <c r="BA70" s="378"/>
      <c r="BB70" s="378"/>
      <c r="BC70" s="378"/>
      <c r="BD70" s="378"/>
      <c r="BE70" s="441">
        <v>2</v>
      </c>
      <c r="BF70" s="440" t="s">
        <v>181</v>
      </c>
      <c r="BG70" s="3609"/>
      <c r="BH70" s="378"/>
      <c r="BI70" s="378"/>
      <c r="BJ70" s="378"/>
      <c r="BK70" s="378"/>
      <c r="BL70" s="378"/>
      <c r="BM70" s="381">
        <v>20</v>
      </c>
    </row>
    <row r="71" spans="1:65" ht="20.100000000000001" customHeight="1">
      <c r="A71" s="384"/>
      <c r="B71" s="3955" t="str">
        <f>AA3</f>
        <v>NAVARIN D'AGNEAU PRINTANIER</v>
      </c>
      <c r="C71" s="3956"/>
      <c r="D71" s="3956"/>
      <c r="E71" s="3956"/>
      <c r="F71" s="3956"/>
      <c r="G71" s="3956"/>
      <c r="H71" s="3956"/>
      <c r="I71" s="3956"/>
      <c r="J71" s="3956"/>
      <c r="K71" s="3956"/>
      <c r="L71" s="3959" t="s">
        <v>116</v>
      </c>
      <c r="M71" s="3959"/>
      <c r="N71" s="3961">
        <v>3</v>
      </c>
      <c r="O71" s="3963" t="s">
        <v>22</v>
      </c>
      <c r="P71" s="356"/>
      <c r="Q71" s="3636" t="s">
        <v>117</v>
      </c>
      <c r="R71" s="3637"/>
      <c r="S71" s="3638"/>
      <c r="T71" s="356"/>
      <c r="U71" s="356"/>
      <c r="V71" s="356"/>
      <c r="W71" s="356"/>
      <c r="X71" s="356"/>
      <c r="Y71" s="356"/>
      <c r="Z71" s="356"/>
      <c r="AA71" s="3604"/>
      <c r="AB71" s="3605"/>
      <c r="AC71" s="3605"/>
      <c r="AD71" s="4039"/>
      <c r="AE71" s="444" t="s">
        <v>180</v>
      </c>
      <c r="AF71" s="445"/>
      <c r="AG71" s="3605"/>
      <c r="AH71" s="3605"/>
      <c r="AI71" s="3922"/>
      <c r="AJ71" s="444" t="s">
        <v>179</v>
      </c>
      <c r="AK71" s="443"/>
      <c r="AL71" s="443"/>
      <c r="AM71" s="443"/>
      <c r="AN71" s="443"/>
      <c r="AO71" s="442"/>
      <c r="AP71" s="356"/>
      <c r="AQ71" s="356"/>
      <c r="AR71" s="378"/>
      <c r="AS71" s="378"/>
      <c r="AT71" s="378"/>
      <c r="AU71" s="378"/>
      <c r="AV71" s="378"/>
      <c r="AW71" s="378"/>
      <c r="AX71" s="378"/>
      <c r="AY71" s="378"/>
      <c r="AZ71" s="378"/>
      <c r="BA71" s="378"/>
      <c r="BB71" s="378"/>
      <c r="BC71" s="378"/>
      <c r="BD71" s="378"/>
      <c r="BE71" s="441">
        <v>24</v>
      </c>
      <c r="BF71" s="440" t="s">
        <v>178</v>
      </c>
      <c r="BG71" s="3609"/>
      <c r="BH71" s="378"/>
      <c r="BI71" s="378"/>
      <c r="BJ71" s="378"/>
      <c r="BK71" s="378"/>
      <c r="BL71" s="378"/>
      <c r="BM71" s="381">
        <v>20</v>
      </c>
    </row>
    <row r="72" spans="1:65" ht="15.75" customHeight="1">
      <c r="A72" s="384"/>
      <c r="B72" s="4040"/>
      <c r="C72" s="4041"/>
      <c r="D72" s="4041"/>
      <c r="E72" s="4041"/>
      <c r="F72" s="4041"/>
      <c r="G72" s="4041"/>
      <c r="H72" s="4041"/>
      <c r="I72" s="4041"/>
      <c r="J72" s="4041"/>
      <c r="K72" s="4041"/>
      <c r="L72" s="4042"/>
      <c r="M72" s="4042"/>
      <c r="N72" s="4043"/>
      <c r="O72" s="4044"/>
      <c r="P72" s="356"/>
      <c r="Q72" s="3639"/>
      <c r="R72" s="3640"/>
      <c r="S72" s="3641"/>
      <c r="T72" s="356"/>
      <c r="U72" s="356"/>
      <c r="V72" s="356"/>
      <c r="W72" s="356"/>
      <c r="X72" s="356"/>
      <c r="Y72" s="356"/>
      <c r="Z72" s="356"/>
      <c r="AA72" s="439">
        <v>0</v>
      </c>
      <c r="AB72" s="3232" t="s">
        <v>82</v>
      </c>
      <c r="AC72" s="3355"/>
      <c r="AD72" s="3355"/>
      <c r="AE72" s="3355"/>
      <c r="AF72" s="3355"/>
      <c r="AG72" s="3355"/>
      <c r="AH72" s="438">
        <f>MAX(AA72:AA101)</f>
        <v>2</v>
      </c>
      <c r="AI72" s="3232" t="s">
        <v>82</v>
      </c>
      <c r="AJ72" s="3355"/>
      <c r="AK72" s="3355"/>
      <c r="AL72" s="3355"/>
      <c r="AM72" s="3355"/>
      <c r="AN72" s="3355"/>
      <c r="AO72" s="3354"/>
      <c r="AP72" s="356"/>
      <c r="AQ72" s="378"/>
      <c r="AR72" s="378"/>
      <c r="AS72" s="378"/>
      <c r="AT72" s="378"/>
      <c r="AU72" s="378"/>
      <c r="AV72" s="378"/>
      <c r="AW72" s="378"/>
      <c r="AX72" s="378"/>
      <c r="AY72" s="378"/>
      <c r="AZ72" s="378"/>
      <c r="BA72" s="378"/>
      <c r="BB72" s="378"/>
      <c r="BC72" s="378"/>
      <c r="BD72" s="378"/>
      <c r="BE72" s="3610" t="s">
        <v>177</v>
      </c>
      <c r="BF72" s="3611"/>
      <c r="BG72" s="3612"/>
      <c r="BH72" s="378"/>
      <c r="BI72" s="378"/>
      <c r="BJ72" s="378"/>
      <c r="BK72" s="378"/>
      <c r="BL72" s="378"/>
      <c r="BM72" s="381">
        <v>15.75</v>
      </c>
    </row>
    <row r="73" spans="1:65" ht="15.75" customHeight="1">
      <c r="A73" s="8"/>
      <c r="B73" s="3186" t="s">
        <v>119</v>
      </c>
      <c r="C73" s="3209"/>
      <c r="D73" s="3209"/>
      <c r="E73" s="3185"/>
      <c r="F73" s="3184"/>
      <c r="G73" s="3183"/>
      <c r="H73" s="3209"/>
      <c r="I73" s="3209"/>
      <c r="J73" s="3182" t="s">
        <v>120</v>
      </c>
      <c r="K73" s="3209"/>
      <c r="L73" s="3181"/>
      <c r="M73" s="3181" t="s">
        <v>121</v>
      </c>
      <c r="N73" s="3180">
        <f>N71</f>
        <v>3</v>
      </c>
      <c r="O73" s="3179" t="str">
        <f>O71</f>
        <v>Kg</v>
      </c>
      <c r="P73" s="356"/>
      <c r="Q73" s="3639"/>
      <c r="R73" s="3640"/>
      <c r="S73" s="3641"/>
      <c r="T73" s="356"/>
      <c r="U73" s="356"/>
      <c r="V73" s="356"/>
      <c r="W73" s="356"/>
      <c r="X73" s="356"/>
      <c r="Y73" s="356"/>
      <c r="Z73" s="356"/>
      <c r="AA73" s="3348" t="str">
        <f>IF(ISBLANK(AB73),"",LARGE(AA72:AA72,1)+1)</f>
        <v/>
      </c>
      <c r="AB73" s="395"/>
      <c r="AC73" s="395"/>
      <c r="AD73" s="395"/>
      <c r="AE73" s="395"/>
      <c r="AF73" s="395"/>
      <c r="AG73" s="395"/>
      <c r="AH73" s="3228" t="str">
        <f>IF(ISBLANK(AI73),"",LARGE(AH72:AH72,1)+1)</f>
        <v/>
      </c>
      <c r="AI73" s="395"/>
      <c r="AJ73" s="395"/>
      <c r="AK73" s="435"/>
      <c r="AL73" s="435"/>
      <c r="AM73" s="435"/>
      <c r="AN73" s="435"/>
      <c r="AO73" s="434"/>
      <c r="AP73" s="356"/>
      <c r="AQ73" s="378"/>
      <c r="AR73" s="378"/>
      <c r="AS73" s="378"/>
      <c r="AT73" s="378"/>
      <c r="AU73" s="378"/>
      <c r="AV73" s="378"/>
      <c r="AW73" s="378"/>
      <c r="AX73" s="378"/>
      <c r="AY73" s="378"/>
      <c r="AZ73" s="378"/>
      <c r="BA73" s="378"/>
      <c r="BB73" s="378"/>
      <c r="BC73" s="378"/>
      <c r="BD73" s="378"/>
      <c r="BE73" s="3610"/>
      <c r="BF73" s="3611"/>
      <c r="BG73" s="3612"/>
      <c r="BH73" s="378"/>
      <c r="BI73" s="378"/>
      <c r="BJ73" s="378"/>
      <c r="BK73" s="378"/>
      <c r="BL73" s="378"/>
      <c r="BM73" s="381">
        <v>15.75</v>
      </c>
    </row>
    <row r="74" spans="1:65" ht="15.75" customHeight="1">
      <c r="A74" s="356"/>
      <c r="B74" s="4045">
        <f>SUM(C77:C82)</f>
        <v>597</v>
      </c>
      <c r="C74" s="3563" t="s">
        <v>122</v>
      </c>
      <c r="D74" s="3553">
        <f>(D77*C77)/1000+(D78*C78)/1000+(D79*C79)/1000+(D80*C80)/1000+(D81*C81)/1000+(D82*C82)/1000</f>
        <v>47.290000000000006</v>
      </c>
      <c r="E74" s="3597">
        <f>IF(D74=0,0,INT(D74/N71))</f>
        <v>15</v>
      </c>
      <c r="F74" s="3597"/>
      <c r="G74" s="3599">
        <f>D74-(E74*N71)</f>
        <v>2.2900000000000063</v>
      </c>
      <c r="H74" s="3581" t="str">
        <f>IF(G74=0,0,O71)</f>
        <v>Kg</v>
      </c>
      <c r="I74" s="3581"/>
      <c r="J74" s="382"/>
      <c r="K74" s="382"/>
      <c r="L74" s="3597">
        <f>IF(G74=0,0,E74+1)</f>
        <v>16</v>
      </c>
      <c r="M74" s="3597"/>
      <c r="N74" s="3599">
        <f>IF(G74=0,0,D74-(L74*N71))</f>
        <v>-0.70999999999999375</v>
      </c>
      <c r="O74" s="3557" t="str">
        <f>IF(N74=0,0,O71)</f>
        <v>Kg</v>
      </c>
      <c r="P74" s="356"/>
      <c r="Q74" s="3639"/>
      <c r="R74" s="3640"/>
      <c r="S74" s="3641"/>
      <c r="T74" s="356"/>
      <c r="U74" s="356"/>
      <c r="V74" s="356"/>
      <c r="W74" s="356"/>
      <c r="X74" s="356"/>
      <c r="Y74" s="356"/>
      <c r="Z74" s="356"/>
      <c r="AA74" s="3348" t="str">
        <f>IF(ISBLANK(AB74),"",LARGE(AA72:AA73,1)+1)</f>
        <v/>
      </c>
      <c r="AB74" s="395"/>
      <c r="AC74" s="395"/>
      <c r="AD74" s="395"/>
      <c r="AE74" s="395"/>
      <c r="AF74" s="395"/>
      <c r="AG74" s="395"/>
      <c r="AH74" s="3228" t="str">
        <f>IF(ISBLANK(AI74),"",LARGE(AH72:AH73,1)+1)</f>
        <v/>
      </c>
      <c r="AI74" s="395"/>
      <c r="AJ74" s="395"/>
      <c r="AK74" s="395"/>
      <c r="AL74" s="395"/>
      <c r="AM74" s="395"/>
      <c r="AN74" s="395"/>
      <c r="AO74" s="407"/>
      <c r="AP74" s="356"/>
      <c r="AQ74" s="378"/>
      <c r="AR74" s="378"/>
      <c r="AS74" s="378"/>
      <c r="AT74" s="378"/>
      <c r="AU74" s="378"/>
      <c r="AV74" s="378"/>
      <c r="AW74" s="378"/>
      <c r="AX74" s="378"/>
      <c r="AY74" s="378"/>
      <c r="AZ74" s="378"/>
      <c r="BA74" s="378"/>
      <c r="BB74" s="378"/>
      <c r="BC74" s="378"/>
      <c r="BD74" s="378"/>
      <c r="BE74" s="3610"/>
      <c r="BF74" s="3611"/>
      <c r="BG74" s="3612"/>
      <c r="BH74" s="378"/>
      <c r="BI74" s="378"/>
      <c r="BJ74" s="378"/>
      <c r="BK74" s="378"/>
      <c r="BL74" s="378"/>
      <c r="BM74" s="381">
        <v>15.75</v>
      </c>
    </row>
    <row r="75" spans="1:65" ht="15.75" customHeight="1">
      <c r="A75" s="356"/>
      <c r="B75" s="4046"/>
      <c r="C75" s="4047"/>
      <c r="D75" s="4048"/>
      <c r="E75" s="4049"/>
      <c r="F75" s="4049"/>
      <c r="G75" s="4050"/>
      <c r="H75" s="4051"/>
      <c r="I75" s="4051"/>
      <c r="J75" s="3353"/>
      <c r="K75" s="3353"/>
      <c r="L75" s="4049"/>
      <c r="M75" s="4049"/>
      <c r="N75" s="4050"/>
      <c r="O75" s="4052"/>
      <c r="P75" s="356"/>
      <c r="Q75" s="3668" t="s">
        <v>123</v>
      </c>
      <c r="R75" s="3669"/>
      <c r="S75" s="3670"/>
      <c r="T75" s="356"/>
      <c r="U75" s="356"/>
      <c r="V75" s="356"/>
      <c r="W75" s="356"/>
      <c r="X75" s="356"/>
      <c r="Y75" s="356"/>
      <c r="Z75" s="356"/>
      <c r="AA75" s="3348">
        <f>IF(ISBLANK(AB75),"",LARGE(AA72:AA74,1)+1)</f>
        <v>1</v>
      </c>
      <c r="AB75" s="395" t="s">
        <v>84</v>
      </c>
      <c r="AC75" s="395"/>
      <c r="AD75" s="395"/>
      <c r="AE75" s="395"/>
      <c r="AF75" s="395"/>
      <c r="AG75" s="395"/>
      <c r="AH75" s="3228" t="str">
        <f>IF(ISBLANK(AI75),"",LARGE(AH72:AH74,1)+1)</f>
        <v/>
      </c>
      <c r="AI75" s="395"/>
      <c r="AJ75" s="395"/>
      <c r="AK75" s="395"/>
      <c r="AL75" s="395"/>
      <c r="AM75" s="395"/>
      <c r="AN75" s="395"/>
      <c r="AO75" s="407"/>
      <c r="AP75" s="356"/>
      <c r="AQ75" s="378"/>
      <c r="AR75" s="378"/>
      <c r="AS75" s="378"/>
      <c r="AT75" s="378"/>
      <c r="AU75" s="378"/>
      <c r="AV75" s="378"/>
      <c r="AW75" s="378"/>
      <c r="AX75" s="378"/>
      <c r="AY75" s="378"/>
      <c r="AZ75" s="378"/>
      <c r="BA75" s="378"/>
      <c r="BB75" s="378"/>
      <c r="BC75" s="378"/>
      <c r="BD75" s="378"/>
      <c r="BE75" s="3613" t="s">
        <v>176</v>
      </c>
      <c r="BF75" s="3614"/>
      <c r="BG75" s="3615"/>
      <c r="BH75" s="378"/>
      <c r="BI75" s="378"/>
      <c r="BJ75" s="378"/>
      <c r="BK75" s="378"/>
      <c r="BL75" s="378"/>
      <c r="BM75" s="381">
        <v>15.75</v>
      </c>
    </row>
    <row r="76" spans="1:65" ht="15.75" customHeight="1">
      <c r="A76" s="356"/>
      <c r="B76" s="3352"/>
      <c r="C76" s="278" t="s">
        <v>124</v>
      </c>
      <c r="D76" s="3412" t="s">
        <v>125</v>
      </c>
      <c r="E76" s="382"/>
      <c r="F76" s="279"/>
      <c r="G76" s="280"/>
      <c r="H76" s="410" t="s">
        <v>126</v>
      </c>
      <c r="I76" s="3205"/>
      <c r="J76" s="3205"/>
      <c r="K76" s="3209"/>
      <c r="L76" s="3205"/>
      <c r="M76" s="3205"/>
      <c r="N76" s="3205"/>
      <c r="O76" s="3204"/>
      <c r="P76" s="356"/>
      <c r="Q76" s="3668"/>
      <c r="R76" s="3669"/>
      <c r="S76" s="3670"/>
      <c r="T76" s="356"/>
      <c r="U76" s="356"/>
      <c r="V76" s="356"/>
      <c r="W76" s="356"/>
      <c r="X76" s="356"/>
      <c r="Y76" s="356"/>
      <c r="Z76" s="356"/>
      <c r="AA76" s="3348">
        <f>IF(ISBLANK(AB76),"",LARGE(AA72:AA75,1)+1)</f>
        <v>2</v>
      </c>
      <c r="AB76" s="395" t="s">
        <v>85</v>
      </c>
      <c r="AC76" s="395"/>
      <c r="AD76" s="395"/>
      <c r="AE76" s="395"/>
      <c r="AF76" s="395"/>
      <c r="AG76" s="395"/>
      <c r="AH76" s="3228" t="str">
        <f>IF(ISBLANK(AI76),"",LARGE(AH72:AH75,1)+1)</f>
        <v/>
      </c>
      <c r="AI76" s="395"/>
      <c r="AJ76" s="395"/>
      <c r="AK76" s="395"/>
      <c r="AL76" s="395"/>
      <c r="AM76" s="395"/>
      <c r="AN76" s="395"/>
      <c r="AO76" s="407"/>
      <c r="AP76" s="356"/>
      <c r="AQ76" s="378"/>
      <c r="AR76" s="378"/>
      <c r="AS76" s="378"/>
      <c r="AT76" s="378"/>
      <c r="AU76" s="378"/>
      <c r="AV76" s="378"/>
      <c r="AW76" s="378"/>
      <c r="AX76" s="378"/>
      <c r="AY76" s="378"/>
      <c r="AZ76" s="378"/>
      <c r="BA76" s="378"/>
      <c r="BB76" s="378"/>
      <c r="BC76" s="378"/>
      <c r="BD76" s="378"/>
      <c r="BE76" s="3613"/>
      <c r="BF76" s="3614"/>
      <c r="BG76" s="3615"/>
      <c r="BH76" s="378"/>
      <c r="BI76" s="378"/>
      <c r="BJ76" s="378"/>
      <c r="BK76" s="378"/>
      <c r="BL76" s="378"/>
      <c r="BM76" s="381">
        <v>15.75</v>
      </c>
    </row>
    <row r="77" spans="1:65" ht="15.75" customHeight="1">
      <c r="A77" s="356"/>
      <c r="B77" s="3351" t="s">
        <v>128</v>
      </c>
      <c r="C77" s="285">
        <f t="shared" ref="C77:D82" si="31">AU7</f>
        <v>125</v>
      </c>
      <c r="D77" s="286">
        <f t="shared" si="31"/>
        <v>50</v>
      </c>
      <c r="E77" s="287">
        <f t="shared" ref="E77:E82" si="32">(C77/1000)*D77</f>
        <v>6.25</v>
      </c>
      <c r="F77" s="288"/>
      <c r="G77" s="3552">
        <f>IF(E77=0,0,INT(E77/N71))</f>
        <v>2</v>
      </c>
      <c r="H77" s="3552"/>
      <c r="I77" s="404">
        <f>E77-(G77*N71)</f>
        <v>0.25</v>
      </c>
      <c r="J77" s="290" t="str">
        <f>IF(I77=0,0,O71)</f>
        <v>Kg</v>
      </c>
      <c r="K77" s="382"/>
      <c r="L77" s="291">
        <f t="shared" ref="L77:L82" si="33">IF(I77=0,0,G77+1)</f>
        <v>3</v>
      </c>
      <c r="M77" s="403">
        <f>IF(I77=0,0,E77-(L77*N71))</f>
        <v>-2.75</v>
      </c>
      <c r="N77" s="425" t="str">
        <f>IF(M77=0,0,O71)</f>
        <v>Kg</v>
      </c>
      <c r="O77" s="400"/>
      <c r="P77" s="356"/>
      <c r="Q77" s="3668"/>
      <c r="R77" s="3669"/>
      <c r="S77" s="3670"/>
      <c r="T77" s="356"/>
      <c r="U77" s="356"/>
      <c r="V77" s="356"/>
      <c r="W77" s="356"/>
      <c r="X77" s="356"/>
      <c r="Y77" s="356"/>
      <c r="Z77" s="356"/>
      <c r="AA77" s="3348" t="str">
        <f>IF(ISBLANK(AB77),"",LARGE(AA72:AA76,1)+1)</f>
        <v/>
      </c>
      <c r="AB77" s="395"/>
      <c r="AC77" s="395" t="s">
        <v>86</v>
      </c>
      <c r="AD77" s="395"/>
      <c r="AE77" s="395"/>
      <c r="AF77" s="395"/>
      <c r="AG77" s="395"/>
      <c r="AH77" s="3228" t="str">
        <f>IF(ISBLANK(AI77),"",LARGE(AH72:AH76,1)+1)</f>
        <v/>
      </c>
      <c r="AI77" s="395"/>
      <c r="AJ77" s="395"/>
      <c r="AK77" s="395"/>
      <c r="AL77" s="395"/>
      <c r="AM77" s="395"/>
      <c r="AN77" s="395"/>
      <c r="AO77" s="407"/>
      <c r="AP77" s="356"/>
      <c r="AQ77" s="378"/>
      <c r="AR77" s="378"/>
      <c r="AS77" s="378"/>
      <c r="AT77" s="378"/>
      <c r="AU77" s="378"/>
      <c r="AV77" s="378"/>
      <c r="AW77" s="378"/>
      <c r="AX77" s="378"/>
      <c r="AY77" s="378"/>
      <c r="AZ77" s="378"/>
      <c r="BA77" s="378"/>
      <c r="BB77" s="378"/>
      <c r="BC77" s="378"/>
      <c r="BD77" s="378"/>
      <c r="BE77" s="3613"/>
      <c r="BF77" s="3614"/>
      <c r="BG77" s="3615"/>
      <c r="BH77" s="378"/>
      <c r="BI77" s="378"/>
      <c r="BJ77" s="378"/>
      <c r="BK77" s="378"/>
      <c r="BL77" s="378"/>
      <c r="BM77" s="381">
        <v>15.75</v>
      </c>
    </row>
    <row r="78" spans="1:65" ht="15.75" customHeight="1">
      <c r="A78" s="356"/>
      <c r="B78" s="3350" t="s">
        <v>129</v>
      </c>
      <c r="C78" s="285">
        <f t="shared" si="31"/>
        <v>260</v>
      </c>
      <c r="D78" s="286">
        <f t="shared" si="31"/>
        <v>70</v>
      </c>
      <c r="E78" s="287">
        <f t="shared" si="32"/>
        <v>18.2</v>
      </c>
      <c r="F78" s="382"/>
      <c r="G78" s="3552">
        <f>IF(E78=0,0,INT(E78/N71))</f>
        <v>6</v>
      </c>
      <c r="H78" s="3552"/>
      <c r="I78" s="404">
        <f>E78-(G78*N71)</f>
        <v>0.19999999999999929</v>
      </c>
      <c r="J78" s="290" t="str">
        <f>IF(I78=0,0,O71)</f>
        <v>Kg</v>
      </c>
      <c r="K78" s="382"/>
      <c r="L78" s="291">
        <f t="shared" si="33"/>
        <v>7</v>
      </c>
      <c r="M78" s="403">
        <f>IF(I78=0,0,E78-(L78*N71))</f>
        <v>-2.8000000000000007</v>
      </c>
      <c r="N78" s="425" t="str">
        <f>IF(M78=0,0,O71)</f>
        <v>Kg</v>
      </c>
      <c r="O78" s="400"/>
      <c r="P78" s="356"/>
      <c r="Q78" s="3674" t="s">
        <v>127</v>
      </c>
      <c r="R78" s="3675"/>
      <c r="S78" s="3676"/>
      <c r="T78" s="356"/>
      <c r="U78" s="356"/>
      <c r="V78" s="356"/>
      <c r="W78" s="356"/>
      <c r="X78" s="356"/>
      <c r="Y78" s="356"/>
      <c r="Z78" s="356"/>
      <c r="AA78" s="3348" t="str">
        <f>IF(ISBLANK(AB78),"",LARGE(AA72:AA77,1)+1)</f>
        <v/>
      </c>
      <c r="AB78" s="395"/>
      <c r="AC78" s="395"/>
      <c r="AD78" s="395"/>
      <c r="AE78" s="395"/>
      <c r="AF78" s="395"/>
      <c r="AG78" s="395"/>
      <c r="AH78" s="3228" t="str">
        <f>IF(ISBLANK(AI78),"",LARGE(AH72:AH77,1)+1)</f>
        <v/>
      </c>
      <c r="AI78" s="395"/>
      <c r="AJ78" s="395"/>
      <c r="AK78" s="395"/>
      <c r="AL78" s="395"/>
      <c r="AM78" s="395"/>
      <c r="AN78" s="395"/>
      <c r="AO78" s="407"/>
      <c r="AP78" s="356"/>
      <c r="AQ78" s="378"/>
      <c r="AR78" s="378"/>
      <c r="AS78" s="378"/>
      <c r="AT78" s="378"/>
      <c r="AU78" s="378"/>
      <c r="AV78" s="378"/>
      <c r="AW78" s="378"/>
      <c r="AX78" s="378"/>
      <c r="AY78" s="378"/>
      <c r="AZ78" s="378"/>
      <c r="BA78" s="378"/>
      <c r="BB78" s="378"/>
      <c r="BC78" s="378"/>
      <c r="BD78" s="378"/>
      <c r="BE78" s="433"/>
      <c r="BF78" s="432" t="s">
        <v>98</v>
      </c>
      <c r="BG78" s="431" t="str">
        <f>ADDRESS(ROW(AI9),COLUMN(AI9),4)</f>
        <v>AI9</v>
      </c>
      <c r="BH78" s="378"/>
      <c r="BI78" s="378"/>
      <c r="BJ78" s="378"/>
      <c r="BK78" s="378"/>
      <c r="BL78" s="378"/>
      <c r="BM78" s="381">
        <v>15.75</v>
      </c>
    </row>
    <row r="79" spans="1:65" ht="15.75" customHeight="1">
      <c r="A79" s="356"/>
      <c r="B79" s="3349" t="s">
        <v>28</v>
      </c>
      <c r="C79" s="285">
        <f t="shared" si="31"/>
        <v>120</v>
      </c>
      <c r="D79" s="286">
        <f t="shared" si="31"/>
        <v>110</v>
      </c>
      <c r="E79" s="287">
        <f t="shared" si="32"/>
        <v>13.2</v>
      </c>
      <c r="F79" s="382"/>
      <c r="G79" s="3552">
        <f>IF(E79=0,0,INT(E79/N71))</f>
        <v>4</v>
      </c>
      <c r="H79" s="3552"/>
      <c r="I79" s="404">
        <f>E79-(G79*N71)</f>
        <v>1.1999999999999993</v>
      </c>
      <c r="J79" s="290" t="str">
        <f>IF(I79=0,0,O71)</f>
        <v>Kg</v>
      </c>
      <c r="K79" s="382"/>
      <c r="L79" s="291">
        <f t="shared" si="33"/>
        <v>5</v>
      </c>
      <c r="M79" s="403">
        <f>IF(I79=0,0,E79-(L79*N71))</f>
        <v>-1.8000000000000007</v>
      </c>
      <c r="N79" s="425" t="str">
        <f>IF(M79=0,0,O71)</f>
        <v>Kg</v>
      </c>
      <c r="O79" s="400"/>
      <c r="P79" s="356"/>
      <c r="Q79" s="3674"/>
      <c r="R79" s="3675"/>
      <c r="S79" s="3676"/>
      <c r="T79" s="356"/>
      <c r="U79" s="356"/>
      <c r="V79" s="356"/>
      <c r="W79" s="356"/>
      <c r="X79" s="356"/>
      <c r="Y79" s="356"/>
      <c r="Z79" s="356"/>
      <c r="AA79" s="3348" t="str">
        <f>IF(ISBLANK(AB79),"",LARGE(AA72:AA78,1)+1)</f>
        <v/>
      </c>
      <c r="AB79" s="395"/>
      <c r="AC79" s="395"/>
      <c r="AD79" s="395"/>
      <c r="AE79" s="395"/>
      <c r="AF79" s="395"/>
      <c r="AG79" s="395"/>
      <c r="AH79" s="3228" t="str">
        <f>IF(ISBLANK(AI79),"",LARGE(AH72:AH78,1)+1)</f>
        <v/>
      </c>
      <c r="AI79" s="395"/>
      <c r="AJ79" s="395"/>
      <c r="AK79" s="395"/>
      <c r="AL79" s="395"/>
      <c r="AM79" s="395"/>
      <c r="AN79" s="395"/>
      <c r="AO79" s="407"/>
      <c r="AP79" s="356"/>
      <c r="AQ79" s="378"/>
      <c r="AR79" s="378"/>
      <c r="AS79" s="378"/>
      <c r="AT79" s="378"/>
      <c r="AU79" s="378"/>
      <c r="AV79" s="378"/>
      <c r="AW79" s="378"/>
      <c r="AX79" s="378"/>
      <c r="AY79" s="378"/>
      <c r="AZ79" s="378"/>
      <c r="BA79" s="378"/>
      <c r="BB79" s="378"/>
      <c r="BC79" s="378"/>
      <c r="BD79" s="378"/>
      <c r="BE79" s="428" t="s">
        <v>175</v>
      </c>
      <c r="BF79" s="430"/>
      <c r="BG79" s="429"/>
      <c r="BH79" s="378"/>
      <c r="BI79" s="378"/>
      <c r="BJ79" s="378"/>
      <c r="BK79" s="378"/>
      <c r="BL79" s="378"/>
      <c r="BM79" s="381">
        <v>15.75</v>
      </c>
    </row>
    <row r="80" spans="1:65" ht="15.75" customHeight="1">
      <c r="A80" s="356"/>
      <c r="B80" s="3349" t="s">
        <v>136</v>
      </c>
      <c r="C80" s="285">
        <f t="shared" si="31"/>
        <v>60</v>
      </c>
      <c r="D80" s="286">
        <f t="shared" si="31"/>
        <v>120</v>
      </c>
      <c r="E80" s="287">
        <f t="shared" si="32"/>
        <v>7.1999999999999993</v>
      </c>
      <c r="F80" s="382"/>
      <c r="G80" s="3552">
        <f>IF(E80=0,0,INT(E80/N71))</f>
        <v>2</v>
      </c>
      <c r="H80" s="3552"/>
      <c r="I80" s="404">
        <f>E80-(G80*N71)</f>
        <v>1.1999999999999993</v>
      </c>
      <c r="J80" s="290" t="str">
        <f>IF(I80=0,0,O71)</f>
        <v>Kg</v>
      </c>
      <c r="K80" s="382"/>
      <c r="L80" s="291">
        <f t="shared" si="33"/>
        <v>3</v>
      </c>
      <c r="M80" s="403">
        <f>IF(I80=0,0,E80-(L80*N71))</f>
        <v>-1.8000000000000007</v>
      </c>
      <c r="N80" s="425" t="str">
        <f>IF(M80=0,0,O71)</f>
        <v>Kg</v>
      </c>
      <c r="O80" s="400"/>
      <c r="P80" s="356"/>
      <c r="Q80" s="3674"/>
      <c r="R80" s="3675"/>
      <c r="S80" s="3676"/>
      <c r="T80" s="356"/>
      <c r="U80" s="356"/>
      <c r="V80" s="356"/>
      <c r="W80" s="356"/>
      <c r="X80" s="356"/>
      <c r="Y80" s="356"/>
      <c r="Z80" s="356"/>
      <c r="AA80" s="3348" t="str">
        <f>IF(ISBLANK(AB80),"",LARGE(AA72:AA79,1)+1)</f>
        <v/>
      </c>
      <c r="AB80" s="395"/>
      <c r="AC80" s="395"/>
      <c r="AD80" s="395"/>
      <c r="AE80" s="395"/>
      <c r="AF80" s="395"/>
      <c r="AG80" s="395"/>
      <c r="AH80" s="3228">
        <f>IF(ISBLANK(AI80),"",LARGE(AH72:AH79,1)+1)</f>
        <v>3</v>
      </c>
      <c r="AI80" s="395" t="s">
        <v>84</v>
      </c>
      <c r="AJ80" s="395"/>
      <c r="AK80" s="395"/>
      <c r="AL80" s="395"/>
      <c r="AM80" s="395"/>
      <c r="AN80" s="395"/>
      <c r="AO80" s="407"/>
      <c r="AP80" s="356"/>
      <c r="AQ80" s="378"/>
      <c r="AR80" s="378"/>
      <c r="AS80" s="378"/>
      <c r="AT80" s="378"/>
      <c r="AU80" s="378"/>
      <c r="AV80" s="378"/>
      <c r="AW80" s="378"/>
      <c r="AX80" s="378"/>
      <c r="AY80" s="378"/>
      <c r="AZ80" s="378"/>
      <c r="BA80" s="378"/>
      <c r="BB80" s="378"/>
      <c r="BC80" s="378"/>
      <c r="BD80" s="378"/>
      <c r="BE80" s="428"/>
      <c r="BF80" s="427" t="s">
        <v>174</v>
      </c>
      <c r="BG80" s="426" t="str">
        <f>LEFT(ADDRESS(1,COLUMN(AK12),4),LEN(ADDRESS(1,COLUMN(AK12),4))-1)</f>
        <v>AK</v>
      </c>
      <c r="BH80" s="378"/>
      <c r="BI80" s="378"/>
      <c r="BJ80" s="378"/>
      <c r="BK80" s="378"/>
      <c r="BL80" s="378"/>
      <c r="BM80" s="381">
        <v>15.75</v>
      </c>
    </row>
    <row r="81" spans="1:65" ht="15.75" customHeight="1">
      <c r="A81" s="8"/>
      <c r="B81" s="3349" t="s">
        <v>56</v>
      </c>
      <c r="C81" s="285">
        <f t="shared" si="31"/>
        <v>20</v>
      </c>
      <c r="D81" s="286">
        <f t="shared" si="31"/>
        <v>80</v>
      </c>
      <c r="E81" s="287">
        <f t="shared" si="32"/>
        <v>1.6</v>
      </c>
      <c r="F81" s="382"/>
      <c r="G81" s="3552">
        <f>IF(E81=0,0,INT(E81/N71))</f>
        <v>0</v>
      </c>
      <c r="H81" s="3552"/>
      <c r="I81" s="404">
        <f>E81-(G81*N71)</f>
        <v>1.6</v>
      </c>
      <c r="J81" s="290" t="str">
        <f>IF(I81=0,0,O71)</f>
        <v>Kg</v>
      </c>
      <c r="K81" s="382"/>
      <c r="L81" s="291">
        <f t="shared" si="33"/>
        <v>1</v>
      </c>
      <c r="M81" s="403">
        <f>IF(I81=0,0,E81-(L81*N71))</f>
        <v>-1.4</v>
      </c>
      <c r="N81" s="425" t="str">
        <f>IF(M81=0,0,O71)</f>
        <v>Kg</v>
      </c>
      <c r="O81" s="400"/>
      <c r="P81" s="356"/>
      <c r="Q81" s="3674"/>
      <c r="R81" s="3675"/>
      <c r="S81" s="3676"/>
      <c r="T81" s="356"/>
      <c r="U81" s="356"/>
      <c r="V81" s="356"/>
      <c r="W81" s="356"/>
      <c r="X81" s="356"/>
      <c r="Y81" s="356"/>
      <c r="Z81" s="356"/>
      <c r="AA81" s="3348" t="str">
        <f>IF(ISBLANK(AB81),"",LARGE(AA72:AA80,1)+1)</f>
        <v/>
      </c>
      <c r="AB81" s="395"/>
      <c r="AC81" s="395"/>
      <c r="AD81" s="395"/>
      <c r="AE81" s="395"/>
      <c r="AF81" s="395"/>
      <c r="AG81" s="395"/>
      <c r="AH81" s="3228">
        <f>IF(ISBLANK(AI81),"",LARGE(AH72:AH80,1)+1)</f>
        <v>4</v>
      </c>
      <c r="AI81" s="395" t="s">
        <v>85</v>
      </c>
      <c r="AJ81" s="395"/>
      <c r="AK81" s="395"/>
      <c r="AL81" s="395"/>
      <c r="AM81" s="395"/>
      <c r="AN81" s="395"/>
      <c r="AO81" s="407"/>
      <c r="AP81" s="356"/>
      <c r="AQ81" s="378"/>
      <c r="AR81" s="378"/>
      <c r="AS81" s="378"/>
      <c r="AT81" s="378"/>
      <c r="AU81" s="378"/>
      <c r="AV81" s="378"/>
      <c r="AW81" s="378"/>
      <c r="AX81" s="378"/>
      <c r="AY81" s="378"/>
      <c r="AZ81" s="378"/>
      <c r="BA81" s="378"/>
      <c r="BB81" s="378"/>
      <c r="BC81" s="378"/>
      <c r="BD81" s="378"/>
      <c r="BE81" s="3616" t="s">
        <v>99</v>
      </c>
      <c r="BF81" s="3617"/>
      <c r="BG81" s="3618"/>
      <c r="BH81" s="378"/>
      <c r="BI81" s="378"/>
      <c r="BJ81" s="378"/>
      <c r="BK81" s="378"/>
      <c r="BL81" s="378"/>
      <c r="BM81" s="381">
        <v>15.75</v>
      </c>
    </row>
    <row r="82" spans="1:65" ht="15.75" customHeight="1">
      <c r="A82" s="8"/>
      <c r="B82" s="3349" t="s">
        <v>57</v>
      </c>
      <c r="C82" s="285">
        <f t="shared" si="31"/>
        <v>12</v>
      </c>
      <c r="D82" s="286">
        <f t="shared" si="31"/>
        <v>70</v>
      </c>
      <c r="E82" s="287">
        <f t="shared" si="32"/>
        <v>0.84</v>
      </c>
      <c r="F82" s="382"/>
      <c r="G82" s="3552">
        <f>IF(E82=0,0,INT(E82/N71))</f>
        <v>0</v>
      </c>
      <c r="H82" s="3552"/>
      <c r="I82" s="404">
        <f>E82-(G82*N71)</f>
        <v>0.84</v>
      </c>
      <c r="J82" s="290" t="str">
        <f>IF(I82=0,0,O71)</f>
        <v>Kg</v>
      </c>
      <c r="K82" s="382"/>
      <c r="L82" s="291">
        <f t="shared" si="33"/>
        <v>1</v>
      </c>
      <c r="M82" s="403">
        <f>IF(I82=0,0,E82-(L82*N71))</f>
        <v>-2.16</v>
      </c>
      <c r="N82" s="425" t="str">
        <f>IF(M82=0,0,O71)</f>
        <v>Kg</v>
      </c>
      <c r="O82" s="400"/>
      <c r="P82" s="356"/>
      <c r="Q82" s="3674"/>
      <c r="R82" s="3675"/>
      <c r="S82" s="3676"/>
      <c r="T82" s="356"/>
      <c r="U82" s="356"/>
      <c r="V82" s="356"/>
      <c r="W82" s="356"/>
      <c r="X82" s="356"/>
      <c r="Y82" s="356"/>
      <c r="Z82" s="356"/>
      <c r="AA82" s="3348" t="str">
        <f>IF(ISBLANK(AB82),"",LARGE(AA72:AA81,1)+1)</f>
        <v/>
      </c>
      <c r="AB82" s="395"/>
      <c r="AC82" s="395"/>
      <c r="AD82" s="395"/>
      <c r="AE82" s="395"/>
      <c r="AF82" s="395"/>
      <c r="AG82" s="395"/>
      <c r="AH82" s="3228" t="str">
        <f>IF(ISBLANK(AI82),"",LARGE(AH72:AH81,1)+1)</f>
        <v/>
      </c>
      <c r="AI82" s="395"/>
      <c r="AJ82" s="395" t="s">
        <v>86</v>
      </c>
      <c r="AK82" s="395"/>
      <c r="AL82" s="395"/>
      <c r="AM82" s="395"/>
      <c r="AN82" s="395"/>
      <c r="AO82" s="407"/>
      <c r="AP82" s="356"/>
      <c r="AQ82" s="378"/>
      <c r="AR82" s="378"/>
      <c r="AS82" s="378"/>
      <c r="AT82" s="378"/>
      <c r="AU82" s="378"/>
      <c r="AV82" s="378"/>
      <c r="AW82" s="378"/>
      <c r="AX82" s="378"/>
      <c r="AY82" s="378"/>
      <c r="AZ82" s="378"/>
      <c r="BA82" s="378"/>
      <c r="BB82" s="378"/>
      <c r="BC82" s="378"/>
      <c r="BD82" s="378"/>
      <c r="BE82" s="3616"/>
      <c r="BF82" s="3617"/>
      <c r="BG82" s="3618"/>
      <c r="BH82" s="378"/>
      <c r="BI82" s="378"/>
      <c r="BJ82" s="378"/>
      <c r="BK82" s="378"/>
      <c r="BL82" s="378"/>
      <c r="BM82" s="381">
        <v>15.75</v>
      </c>
    </row>
    <row r="83" spans="1:65" ht="15.75" customHeight="1">
      <c r="A83" s="8"/>
      <c r="B83" s="3347"/>
      <c r="C83" s="382"/>
      <c r="D83" s="382"/>
      <c r="E83" s="382"/>
      <c r="F83" s="382"/>
      <c r="G83" s="344" t="s">
        <v>139</v>
      </c>
      <c r="H83" s="344"/>
      <c r="I83" s="344"/>
      <c r="J83" s="344"/>
      <c r="K83" s="401"/>
      <c r="L83" s="344"/>
      <c r="M83" s="344"/>
      <c r="N83" s="344"/>
      <c r="O83" s="400"/>
      <c r="P83" s="356"/>
      <c r="Q83" s="3677" t="s">
        <v>132</v>
      </c>
      <c r="R83" s="3678"/>
      <c r="S83" s="3679"/>
      <c r="T83" s="356"/>
      <c r="U83" s="356"/>
      <c r="V83" s="356"/>
      <c r="W83" s="356"/>
      <c r="X83" s="356"/>
      <c r="Y83" s="356"/>
      <c r="Z83" s="356"/>
      <c r="AA83" s="3348" t="str">
        <f>IF(ISBLANK(AB83),"",LARGE(AA72:AA82,1)+1)</f>
        <v/>
      </c>
      <c r="AB83" s="395"/>
      <c r="AC83" s="395"/>
      <c r="AD83" s="395"/>
      <c r="AE83" s="395"/>
      <c r="AF83" s="395"/>
      <c r="AG83" s="395"/>
      <c r="AH83" s="3228" t="str">
        <f>IF(ISBLANK(AI83),"",LARGE(AH72:AH82,1)+1)</f>
        <v/>
      </c>
      <c r="AI83" s="395"/>
      <c r="AJ83" s="395"/>
      <c r="AK83" s="395"/>
      <c r="AL83" s="395"/>
      <c r="AM83" s="395"/>
      <c r="AN83" s="395"/>
      <c r="AO83" s="407"/>
      <c r="AP83" s="356"/>
      <c r="AQ83" s="378"/>
      <c r="AR83" s="378"/>
      <c r="AS83" s="378"/>
      <c r="AT83" s="378"/>
      <c r="AU83" s="378"/>
      <c r="AV83" s="378"/>
      <c r="AW83" s="378"/>
      <c r="AX83" s="378"/>
      <c r="AY83" s="378"/>
      <c r="AZ83" s="378"/>
      <c r="BA83" s="378"/>
      <c r="BB83" s="378"/>
      <c r="BC83" s="378"/>
      <c r="BD83" s="378"/>
      <c r="BE83" s="3616"/>
      <c r="BF83" s="3617"/>
      <c r="BG83" s="3618"/>
      <c r="BH83" s="378"/>
      <c r="BI83" s="378"/>
      <c r="BJ83" s="378"/>
      <c r="BK83" s="378"/>
      <c r="BL83" s="378"/>
      <c r="BM83" s="381">
        <v>15.75</v>
      </c>
    </row>
    <row r="84" spans="1:65" ht="15.75" customHeight="1">
      <c r="A84" s="8"/>
      <c r="B84" s="3347"/>
      <c r="C84" s="382"/>
      <c r="D84" s="382"/>
      <c r="E84" s="382"/>
      <c r="F84" s="382"/>
      <c r="G84" s="3560">
        <f>IF(G85=0,0,INT(G85/N71))</f>
        <v>14</v>
      </c>
      <c r="H84" s="3560"/>
      <c r="I84" s="850" t="s">
        <v>140</v>
      </c>
      <c r="J84" s="314">
        <f>D74-G85</f>
        <v>5.2900000000000063</v>
      </c>
      <c r="K84" s="382"/>
      <c r="L84" s="3554" t="s">
        <v>141</v>
      </c>
      <c r="M84" s="3554"/>
      <c r="N84" s="3555">
        <f>COUNTIF(I77:I82,"&gt;0")</f>
        <v>6</v>
      </c>
      <c r="O84" s="3549" t="s">
        <v>142</v>
      </c>
      <c r="P84" s="356"/>
      <c r="Q84" s="3677"/>
      <c r="R84" s="3678"/>
      <c r="S84" s="3679"/>
      <c r="T84" s="356"/>
      <c r="U84" s="356"/>
      <c r="V84" s="356"/>
      <c r="W84" s="356"/>
      <c r="X84" s="356"/>
      <c r="Y84" s="356"/>
      <c r="Z84" s="356"/>
      <c r="AA84" s="3348" t="str">
        <f>IF(ISBLANK(AB84),"",LARGE(AA72:AA83,1)+1)</f>
        <v/>
      </c>
      <c r="AB84" s="395"/>
      <c r="AC84" s="395"/>
      <c r="AD84" s="395"/>
      <c r="AE84" s="395"/>
      <c r="AF84" s="395"/>
      <c r="AG84" s="395"/>
      <c r="AH84" s="3228" t="str">
        <f>IF(ISBLANK(AI84),"",LARGE(AH72:AH83,1)+1)</f>
        <v/>
      </c>
      <c r="AI84" s="395"/>
      <c r="AJ84" s="395"/>
      <c r="AK84" s="395"/>
      <c r="AL84" s="395"/>
      <c r="AM84" s="395"/>
      <c r="AN84" s="395"/>
      <c r="AO84" s="407"/>
      <c r="AP84" s="356"/>
      <c r="AQ84" s="378"/>
      <c r="AR84" s="378"/>
      <c r="AS84" s="378"/>
      <c r="AT84" s="378"/>
      <c r="AU84" s="378"/>
      <c r="AV84" s="378"/>
      <c r="AW84" s="378"/>
      <c r="AX84" s="378"/>
      <c r="AY84" s="378"/>
      <c r="AZ84" s="378"/>
      <c r="BA84" s="378"/>
      <c r="BB84" s="378"/>
      <c r="BC84" s="378"/>
      <c r="BD84" s="378"/>
      <c r="BE84" s="424" t="s">
        <v>173</v>
      </c>
      <c r="BF84" s="412"/>
      <c r="BG84" s="411"/>
      <c r="BH84" s="378"/>
      <c r="BI84" s="378"/>
      <c r="BJ84" s="378"/>
      <c r="BK84" s="378"/>
      <c r="BL84" s="378"/>
      <c r="BM84" s="381">
        <v>15.75</v>
      </c>
    </row>
    <row r="85" spans="1:65" ht="15.75" customHeight="1">
      <c r="A85" s="8"/>
      <c r="B85" s="3347"/>
      <c r="C85" s="382"/>
      <c r="D85" s="382"/>
      <c r="E85" s="382"/>
      <c r="F85" s="382"/>
      <c r="G85" s="3842">
        <f>SUM(G77:H82)*N71</f>
        <v>42</v>
      </c>
      <c r="H85" s="3842"/>
      <c r="I85" s="379"/>
      <c r="J85" s="318">
        <f>G85+J84</f>
        <v>47.290000000000006</v>
      </c>
      <c r="K85" s="382"/>
      <c r="L85" s="3554"/>
      <c r="M85" s="3554"/>
      <c r="N85" s="3555"/>
      <c r="O85" s="3549"/>
      <c r="P85" s="356"/>
      <c r="Q85" s="3680" t="s">
        <v>137</v>
      </c>
      <c r="R85" s="3681"/>
      <c r="S85" s="3682"/>
      <c r="T85" s="356"/>
      <c r="U85" s="356"/>
      <c r="V85" s="356"/>
      <c r="W85" s="356"/>
      <c r="X85" s="356"/>
      <c r="Y85" s="356"/>
      <c r="Z85" s="356"/>
      <c r="AA85" s="3348" t="str">
        <f>IF(ISBLANK(AB85),"",LARGE(AA72:AA84,1)+1)</f>
        <v/>
      </c>
      <c r="AB85" s="395"/>
      <c r="AC85" s="395"/>
      <c r="AD85" s="395"/>
      <c r="AE85" s="395"/>
      <c r="AF85" s="395"/>
      <c r="AG85" s="395"/>
      <c r="AH85" s="3228" t="str">
        <f>IF(ISBLANK(AI85),"",LARGE(AH72:AH84,1)+1)</f>
        <v/>
      </c>
      <c r="AI85" s="395"/>
      <c r="AJ85" s="395"/>
      <c r="AK85" s="395"/>
      <c r="AL85" s="395"/>
      <c r="AM85" s="395"/>
      <c r="AN85" s="395"/>
      <c r="AO85" s="407"/>
      <c r="AP85" s="356"/>
      <c r="AQ85" s="378"/>
      <c r="AR85" s="378"/>
      <c r="AS85" s="378"/>
      <c r="AT85" s="378"/>
      <c r="AU85" s="378"/>
      <c r="AV85" s="378"/>
      <c r="AW85" s="378"/>
      <c r="AX85" s="378"/>
      <c r="AY85" s="378"/>
      <c r="AZ85" s="378"/>
      <c r="BA85" s="378"/>
      <c r="BB85" s="378"/>
      <c r="BC85" s="378"/>
      <c r="BD85" s="378"/>
      <c r="BE85" s="413"/>
      <c r="BF85" s="412"/>
      <c r="BG85" s="411"/>
      <c r="BH85" s="378"/>
      <c r="BI85" s="378"/>
      <c r="BJ85" s="378"/>
      <c r="BK85" s="378"/>
      <c r="BL85" s="378"/>
      <c r="BM85" s="381">
        <v>15.75</v>
      </c>
    </row>
    <row r="86" spans="1:65" ht="15.75" customHeight="1" thickBot="1">
      <c r="A86" s="8"/>
      <c r="B86" s="3200"/>
      <c r="C86" s="3197"/>
      <c r="D86" s="3197"/>
      <c r="E86" s="3197"/>
      <c r="F86" s="3197"/>
      <c r="G86" s="3197"/>
      <c r="H86" s="3197"/>
      <c r="I86" s="3197"/>
      <c r="J86" s="3197"/>
      <c r="K86" s="3197"/>
      <c r="L86" s="3197"/>
      <c r="M86" s="3197"/>
      <c r="N86" s="3197"/>
      <c r="O86" s="3196"/>
      <c r="P86" s="356"/>
      <c r="Q86" s="3543" t="s">
        <v>138</v>
      </c>
      <c r="R86" s="3544"/>
      <c r="S86" s="3545"/>
      <c r="T86" s="356"/>
      <c r="U86" s="356"/>
      <c r="V86" s="356"/>
      <c r="W86" s="356"/>
      <c r="X86" s="356"/>
      <c r="Y86" s="356"/>
      <c r="Z86" s="356"/>
      <c r="AA86" s="3348" t="str">
        <f>IF(ISBLANK(AB86),"",LARGE(AA72:AA85,1)+1)</f>
        <v/>
      </c>
      <c r="AB86" s="395"/>
      <c r="AC86" s="395"/>
      <c r="AD86" s="395"/>
      <c r="AE86" s="395"/>
      <c r="AF86" s="395"/>
      <c r="AG86" s="395"/>
      <c r="AH86" s="3228" t="str">
        <f>IF(ISBLANK(AI86),"",LARGE(AH72:AH85,1)+1)</f>
        <v/>
      </c>
      <c r="AI86" s="395"/>
      <c r="AJ86" s="395"/>
      <c r="AK86" s="395"/>
      <c r="AL86" s="395"/>
      <c r="AM86" s="395"/>
      <c r="AN86" s="395"/>
      <c r="AO86" s="407"/>
      <c r="AP86" s="356"/>
      <c r="AQ86" s="378"/>
      <c r="AR86" s="378"/>
      <c r="AS86" s="378"/>
      <c r="AT86" s="378"/>
      <c r="AU86" s="378"/>
      <c r="AV86" s="378"/>
      <c r="AW86" s="378"/>
      <c r="AX86" s="378"/>
      <c r="AY86" s="378"/>
      <c r="AZ86" s="378"/>
      <c r="BA86" s="378"/>
      <c r="BB86" s="378"/>
      <c r="BC86" s="378"/>
      <c r="BD86" s="378"/>
      <c r="BE86" s="423" t="s">
        <v>172</v>
      </c>
      <c r="BF86" s="422"/>
      <c r="BG86" s="421"/>
      <c r="BH86" s="378"/>
      <c r="BI86" s="378"/>
      <c r="BJ86" s="378"/>
      <c r="BK86" s="378"/>
      <c r="BL86" s="378"/>
      <c r="BM86" s="381">
        <v>15.75</v>
      </c>
    </row>
    <row r="87" spans="1:65" ht="15.75" customHeight="1" thickBot="1">
      <c r="A87" s="8"/>
      <c r="B87" s="384"/>
      <c r="C87" s="384"/>
      <c r="D87" s="384"/>
      <c r="E87" s="384"/>
      <c r="F87" s="384"/>
      <c r="G87" s="384"/>
      <c r="H87" s="384"/>
      <c r="I87" s="384"/>
      <c r="J87" s="384"/>
      <c r="K87" s="384"/>
      <c r="L87" s="384"/>
      <c r="M87" s="384"/>
      <c r="N87" s="384"/>
      <c r="O87" s="384"/>
      <c r="P87" s="356"/>
      <c r="Q87" s="3543"/>
      <c r="R87" s="3544"/>
      <c r="S87" s="3545"/>
      <c r="T87" s="356"/>
      <c r="U87" s="356"/>
      <c r="V87" s="356"/>
      <c r="W87" s="356"/>
      <c r="X87" s="356"/>
      <c r="Y87" s="356"/>
      <c r="Z87" s="356"/>
      <c r="AA87" s="3348" t="str">
        <f>IF(ISBLANK(AB87),"",LARGE(AA72:AA86,1)+1)</f>
        <v/>
      </c>
      <c r="AB87" s="395"/>
      <c r="AC87" s="395"/>
      <c r="AD87" s="395"/>
      <c r="AE87" s="395"/>
      <c r="AF87" s="395"/>
      <c r="AG87" s="395"/>
      <c r="AH87" s="3228" t="str">
        <f>IF(ISBLANK(AI87),"",LARGE(AH72:AH86,1)+1)</f>
        <v/>
      </c>
      <c r="AI87" s="395"/>
      <c r="AJ87" s="395"/>
      <c r="AK87" s="395"/>
      <c r="AL87" s="395"/>
      <c r="AM87" s="395"/>
      <c r="AN87" s="395"/>
      <c r="AO87" s="407"/>
      <c r="AP87" s="356"/>
      <c r="AQ87" s="378"/>
      <c r="AR87" s="378"/>
      <c r="AS87" s="378"/>
      <c r="AT87" s="378"/>
      <c r="AU87" s="378"/>
      <c r="AV87" s="378"/>
      <c r="AW87" s="378"/>
      <c r="AX87" s="378"/>
      <c r="AY87" s="378"/>
      <c r="AZ87" s="378"/>
      <c r="BA87" s="378"/>
      <c r="BB87" s="378"/>
      <c r="BC87" s="378"/>
      <c r="BD87" s="378"/>
      <c r="BE87" s="413"/>
      <c r="BF87" s="420" t="s">
        <v>98</v>
      </c>
      <c r="BG87" s="419" t="str">
        <f>ADDRESS(ROW(X11),COLUMN(X11),4)</f>
        <v>X11</v>
      </c>
      <c r="BH87" s="378"/>
      <c r="BI87" s="378"/>
      <c r="BJ87" s="378"/>
      <c r="BK87" s="378"/>
      <c r="BL87" s="378"/>
      <c r="BM87" s="381">
        <v>15.75</v>
      </c>
    </row>
    <row r="88" spans="1:65" ht="15.75" customHeight="1">
      <c r="A88" s="8"/>
      <c r="B88" s="3955" t="str">
        <f>+AA3</f>
        <v>NAVARIN D'AGNEAU PRINTANIER</v>
      </c>
      <c r="C88" s="3956"/>
      <c r="D88" s="3956"/>
      <c r="E88" s="3956"/>
      <c r="F88" s="3956"/>
      <c r="G88" s="3956"/>
      <c r="H88" s="3956"/>
      <c r="I88" s="3956"/>
      <c r="J88" s="3956"/>
      <c r="K88" s="3956"/>
      <c r="L88" s="3959" t="s">
        <v>116</v>
      </c>
      <c r="M88" s="3959"/>
      <c r="N88" s="3974">
        <v>50</v>
      </c>
      <c r="O88" s="3976" t="s">
        <v>144</v>
      </c>
      <c r="P88" s="356"/>
      <c r="Q88" s="3543"/>
      <c r="R88" s="3544"/>
      <c r="S88" s="3545"/>
      <c r="T88" s="356"/>
      <c r="U88" s="356"/>
      <c r="V88" s="356"/>
      <c r="W88" s="356"/>
      <c r="X88" s="356"/>
      <c r="Y88" s="356"/>
      <c r="Z88" s="356"/>
      <c r="AA88" s="3348" t="str">
        <f>IF(ISBLANK(AB88),"",LARGE(AA72:AA87,1)+1)</f>
        <v/>
      </c>
      <c r="AB88" s="395"/>
      <c r="AC88" s="395"/>
      <c r="AD88" s="395"/>
      <c r="AE88" s="395"/>
      <c r="AF88" s="395"/>
      <c r="AG88" s="395"/>
      <c r="AH88" s="3228" t="str">
        <f>IF(ISBLANK(AI88),"",LARGE(AH72:AH87,1)+1)</f>
        <v/>
      </c>
      <c r="AI88" s="395"/>
      <c r="AJ88" s="395"/>
      <c r="AK88" s="395"/>
      <c r="AL88" s="395"/>
      <c r="AM88" s="395"/>
      <c r="AN88" s="395"/>
      <c r="AO88" s="407"/>
      <c r="AP88" s="356"/>
      <c r="AQ88" s="378"/>
      <c r="AR88" s="378"/>
      <c r="AS88" s="378"/>
      <c r="AT88" s="378"/>
      <c r="AU88" s="378"/>
      <c r="AV88" s="378"/>
      <c r="AW88" s="378"/>
      <c r="AX88" s="378"/>
      <c r="AY88" s="378"/>
      <c r="AZ88" s="378"/>
      <c r="BA88" s="378"/>
      <c r="BB88" s="378"/>
      <c r="BC88" s="378"/>
      <c r="BD88" s="378"/>
      <c r="BE88" s="3583" t="s">
        <v>171</v>
      </c>
      <c r="BF88" s="3584"/>
      <c r="BG88" s="3585"/>
      <c r="BH88" s="378"/>
      <c r="BI88" s="378"/>
      <c r="BJ88" s="378"/>
      <c r="BK88" s="378"/>
      <c r="BL88" s="378"/>
      <c r="BM88" s="381">
        <v>15.75</v>
      </c>
    </row>
    <row r="89" spans="1:65" ht="15.75" customHeight="1">
      <c r="A89" s="8"/>
      <c r="B89" s="4040"/>
      <c r="C89" s="4041"/>
      <c r="D89" s="4041"/>
      <c r="E89" s="4041"/>
      <c r="F89" s="4041"/>
      <c r="G89" s="4041"/>
      <c r="H89" s="4041"/>
      <c r="I89" s="4041"/>
      <c r="J89" s="4041"/>
      <c r="K89" s="4041"/>
      <c r="L89" s="4042"/>
      <c r="M89" s="4042"/>
      <c r="N89" s="4053"/>
      <c r="O89" s="4054"/>
      <c r="P89" s="356"/>
      <c r="Q89" s="3543"/>
      <c r="R89" s="3544"/>
      <c r="S89" s="3545"/>
      <c r="T89" s="356"/>
      <c r="U89" s="356"/>
      <c r="V89" s="356"/>
      <c r="W89" s="356"/>
      <c r="X89" s="356"/>
      <c r="Y89" s="356"/>
      <c r="Z89" s="356"/>
      <c r="AA89" s="3348" t="str">
        <f>IF(ISBLANK(AB89),"",LARGE(AA72:AA88,1)+1)</f>
        <v/>
      </c>
      <c r="AB89" s="395"/>
      <c r="AC89" s="395"/>
      <c r="AD89" s="395"/>
      <c r="AE89" s="395"/>
      <c r="AF89" s="395"/>
      <c r="AG89" s="395"/>
      <c r="AH89" s="3228" t="str">
        <f>IF(ISBLANK(AI89),"",LARGE(AH72:AH88,1)+1)</f>
        <v/>
      </c>
      <c r="AI89" s="395"/>
      <c r="AJ89" s="395"/>
      <c r="AK89" s="395"/>
      <c r="AL89" s="395"/>
      <c r="AM89" s="395"/>
      <c r="AN89" s="395"/>
      <c r="AO89" s="407"/>
      <c r="AP89" s="356"/>
      <c r="AQ89" s="378"/>
      <c r="AR89" s="378"/>
      <c r="AS89" s="378"/>
      <c r="AT89" s="378"/>
      <c r="AU89" s="378"/>
      <c r="AV89" s="378"/>
      <c r="AW89" s="378"/>
      <c r="AX89" s="378"/>
      <c r="AY89" s="378"/>
      <c r="AZ89" s="378"/>
      <c r="BA89" s="378"/>
      <c r="BB89" s="378"/>
      <c r="BC89" s="378"/>
      <c r="BD89" s="378"/>
      <c r="BE89" s="3586"/>
      <c r="BF89" s="3951"/>
      <c r="BG89" s="3588"/>
      <c r="BH89" s="378"/>
      <c r="BI89" s="378"/>
      <c r="BJ89" s="378"/>
      <c r="BK89" s="378"/>
      <c r="BL89" s="378"/>
      <c r="BM89" s="381">
        <v>15.75</v>
      </c>
    </row>
    <row r="90" spans="1:65" ht="15.75" customHeight="1" thickBot="1">
      <c r="A90" s="384"/>
      <c r="B90" s="3186" t="s">
        <v>119</v>
      </c>
      <c r="C90" s="3209"/>
      <c r="D90" s="3209"/>
      <c r="E90" s="3185"/>
      <c r="F90" s="3184"/>
      <c r="G90" s="3183"/>
      <c r="H90" s="3209"/>
      <c r="I90" s="3209"/>
      <c r="J90" s="3182" t="s">
        <v>120</v>
      </c>
      <c r="K90" s="3209"/>
      <c r="L90" s="3181"/>
      <c r="M90" s="3181" t="s">
        <v>121</v>
      </c>
      <c r="N90" s="3208">
        <f>N88</f>
        <v>50</v>
      </c>
      <c r="O90" s="3207" t="str">
        <f>O88</f>
        <v>Morceaux</v>
      </c>
      <c r="P90" s="356"/>
      <c r="Q90" s="3543"/>
      <c r="R90" s="3544"/>
      <c r="S90" s="3545"/>
      <c r="T90" s="356"/>
      <c r="U90" s="356"/>
      <c r="V90" s="356"/>
      <c r="W90" s="356"/>
      <c r="X90" s="356"/>
      <c r="Y90" s="356"/>
      <c r="Z90" s="356"/>
      <c r="AA90" s="3348" t="str">
        <f>IF(ISBLANK(AB90),"",LARGE(AA72:AA89,1)+1)</f>
        <v/>
      </c>
      <c r="AB90" s="395"/>
      <c r="AC90" s="395"/>
      <c r="AD90" s="395"/>
      <c r="AE90" s="395"/>
      <c r="AF90" s="395"/>
      <c r="AG90" s="395"/>
      <c r="AH90" s="3228" t="str">
        <f>IF(ISBLANK(AI90),"",LARGE(AH72:AH89,1)+1)</f>
        <v/>
      </c>
      <c r="AI90" s="395"/>
      <c r="AJ90" s="395"/>
      <c r="AK90" s="395"/>
      <c r="AL90" s="395"/>
      <c r="AM90" s="395"/>
      <c r="AN90" s="395"/>
      <c r="AO90" s="407"/>
      <c r="AP90" s="356"/>
      <c r="AQ90" s="378"/>
      <c r="AR90" s="378"/>
      <c r="AS90" s="378"/>
      <c r="AT90" s="378"/>
      <c r="AU90" s="378"/>
      <c r="AV90" s="378"/>
      <c r="AW90" s="378"/>
      <c r="AX90" s="378"/>
      <c r="AY90" s="378"/>
      <c r="AZ90" s="378"/>
      <c r="BA90" s="378"/>
      <c r="BB90" s="378"/>
      <c r="BC90" s="378"/>
      <c r="BD90" s="378"/>
      <c r="BE90" s="3293">
        <f ca="1">CELL("largeur",BE90)</f>
        <v>12</v>
      </c>
      <c r="BF90" s="3292">
        <f ca="1">CELL("largeur",BF90)</f>
        <v>12</v>
      </c>
      <c r="BG90" s="3291">
        <f ca="1">CELL("largeur",BG90)</f>
        <v>12</v>
      </c>
      <c r="BH90" s="378"/>
      <c r="BI90" s="378"/>
      <c r="BJ90" s="378"/>
      <c r="BK90" s="378"/>
      <c r="BL90" s="378"/>
      <c r="BM90" s="381">
        <v>15.75</v>
      </c>
    </row>
    <row r="91" spans="1:65" ht="15.75" customHeight="1">
      <c r="A91" s="384"/>
      <c r="B91" s="4045">
        <f>SUM(C94:C99)</f>
        <v>597</v>
      </c>
      <c r="C91" s="3563" t="str">
        <f>O88</f>
        <v>Morceaux</v>
      </c>
      <c r="D91" s="3575">
        <f>SUM(E94:E99)</f>
        <v>597</v>
      </c>
      <c r="E91" s="3597">
        <f>IF(D91=0,0,INT(D91/N88))</f>
        <v>11</v>
      </c>
      <c r="F91" s="3597"/>
      <c r="G91" s="3599">
        <f>D91-(E91*N88)</f>
        <v>47</v>
      </c>
      <c r="H91" s="3581" t="str">
        <f>IF(G91=0,0,O88)</f>
        <v>Morceaux</v>
      </c>
      <c r="I91" s="3581"/>
      <c r="J91" s="382"/>
      <c r="K91" s="382"/>
      <c r="L91" s="3597">
        <f>IF(G91=0,0,E91+1)</f>
        <v>12</v>
      </c>
      <c r="M91" s="3597"/>
      <c r="N91" s="3599">
        <f>IF(G91=0,0,D91-(L91*N88))</f>
        <v>-3</v>
      </c>
      <c r="O91" s="3557" t="str">
        <f>IF(N91=0,0,O88)</f>
        <v>Morceaux</v>
      </c>
      <c r="P91" s="356"/>
      <c r="Q91" s="3543"/>
      <c r="R91" s="3544"/>
      <c r="S91" s="3545"/>
      <c r="T91" s="356"/>
      <c r="U91" s="356"/>
      <c r="V91" s="356"/>
      <c r="W91" s="356"/>
      <c r="X91" s="356"/>
      <c r="Y91" s="356"/>
      <c r="Z91" s="356"/>
      <c r="AA91" s="3348" t="str">
        <f>IF(ISBLANK(AB91),"",LARGE(AA72:AA90,1)+1)</f>
        <v/>
      </c>
      <c r="AB91" s="395"/>
      <c r="AC91" s="395"/>
      <c r="AD91" s="395"/>
      <c r="AE91" s="395"/>
      <c r="AF91" s="395"/>
      <c r="AG91" s="395"/>
      <c r="AH91" s="3228" t="str">
        <f>IF(ISBLANK(AI91),"",LARGE(AH72:AH90,1)+1)</f>
        <v/>
      </c>
      <c r="AI91" s="395"/>
      <c r="AJ91" s="395"/>
      <c r="AK91" s="395"/>
      <c r="AL91" s="395"/>
      <c r="AM91" s="395"/>
      <c r="AN91" s="395"/>
      <c r="AO91" s="407"/>
      <c r="AP91" s="356"/>
      <c r="AQ91" s="378"/>
      <c r="AR91" s="378"/>
      <c r="AS91" s="378"/>
      <c r="AT91" s="378"/>
      <c r="AU91" s="378"/>
      <c r="AV91" s="378"/>
      <c r="AW91" s="378"/>
      <c r="AX91" s="378"/>
      <c r="AY91" s="378"/>
      <c r="AZ91" s="378"/>
      <c r="BA91" s="378"/>
      <c r="BB91" s="378"/>
      <c r="BC91" s="378"/>
      <c r="BD91" s="378"/>
      <c r="BE91" s="378"/>
      <c r="BF91" s="378"/>
      <c r="BG91" s="378"/>
      <c r="BH91" s="378"/>
      <c r="BI91" s="378"/>
      <c r="BJ91" s="378"/>
      <c r="BK91" s="378"/>
      <c r="BL91" s="378"/>
      <c r="BM91" s="381">
        <v>15.75</v>
      </c>
    </row>
    <row r="92" spans="1:65" ht="15.75" customHeight="1">
      <c r="A92" s="384"/>
      <c r="B92" s="4046"/>
      <c r="C92" s="4047"/>
      <c r="D92" s="4055"/>
      <c r="E92" s="4049"/>
      <c r="F92" s="4049"/>
      <c r="G92" s="4050"/>
      <c r="H92" s="4051"/>
      <c r="I92" s="4051"/>
      <c r="J92" s="3353"/>
      <c r="K92" s="3353"/>
      <c r="L92" s="4049"/>
      <c r="M92" s="4049"/>
      <c r="N92" s="4050"/>
      <c r="O92" s="4052"/>
      <c r="P92" s="356"/>
      <c r="Q92" s="413"/>
      <c r="R92" s="412"/>
      <c r="S92" s="411"/>
      <c r="T92" s="356"/>
      <c r="U92" s="356"/>
      <c r="V92" s="356"/>
      <c r="W92" s="356"/>
      <c r="X92" s="356"/>
      <c r="Y92" s="356"/>
      <c r="Z92" s="356"/>
      <c r="AA92" s="3348" t="str">
        <f>IF(ISBLANK(AB92),"",LARGE(AA72:AA91,1)+1)</f>
        <v/>
      </c>
      <c r="AB92" s="395"/>
      <c r="AC92" s="395"/>
      <c r="AD92" s="395"/>
      <c r="AE92" s="395"/>
      <c r="AF92" s="395"/>
      <c r="AG92" s="395"/>
      <c r="AH92" s="3228" t="str">
        <f>IF(ISBLANK(AI92),"",LARGE(AH72:AH91,1)+1)</f>
        <v/>
      </c>
      <c r="AI92" s="395"/>
      <c r="AJ92" s="395"/>
      <c r="AK92" s="395"/>
      <c r="AL92" s="395"/>
      <c r="AM92" s="395"/>
      <c r="AN92" s="395"/>
      <c r="AO92" s="407"/>
      <c r="AP92" s="356"/>
      <c r="AQ92" s="378"/>
      <c r="AR92" s="378"/>
      <c r="AS92" s="378"/>
      <c r="AT92" s="378"/>
      <c r="AU92" s="378"/>
      <c r="AV92" s="378"/>
      <c r="AW92" s="378"/>
      <c r="AX92" s="378"/>
      <c r="AY92" s="378"/>
      <c r="AZ92" s="378"/>
      <c r="BA92" s="378"/>
      <c r="BB92" s="378"/>
      <c r="BC92" s="378"/>
      <c r="BD92" s="378"/>
      <c r="BE92" s="378"/>
      <c r="BF92" s="378"/>
      <c r="BG92" s="378"/>
      <c r="BH92" s="378"/>
      <c r="BI92" s="378"/>
      <c r="BJ92" s="378"/>
      <c r="BK92" s="378"/>
      <c r="BL92" s="378"/>
      <c r="BM92" s="381">
        <v>15.75</v>
      </c>
    </row>
    <row r="93" spans="1:65" ht="15.75" customHeight="1">
      <c r="A93" s="384"/>
      <c r="B93" s="3352"/>
      <c r="C93" s="278" t="s">
        <v>124</v>
      </c>
      <c r="D93" s="335" t="s">
        <v>146</v>
      </c>
      <c r="E93" s="382"/>
      <c r="F93" s="279"/>
      <c r="G93" s="280"/>
      <c r="H93" s="282"/>
      <c r="I93" s="282"/>
      <c r="J93" s="282"/>
      <c r="K93" s="410" t="s">
        <v>126</v>
      </c>
      <c r="L93" s="3205"/>
      <c r="M93" s="3205"/>
      <c r="N93" s="3205"/>
      <c r="O93" s="3204"/>
      <c r="P93" s="356"/>
      <c r="Q93" s="3543" t="s">
        <v>143</v>
      </c>
      <c r="R93" s="3544"/>
      <c r="S93" s="3545"/>
      <c r="T93" s="356"/>
      <c r="U93" s="356"/>
      <c r="V93" s="356"/>
      <c r="W93" s="356"/>
      <c r="X93" s="356"/>
      <c r="Y93" s="356"/>
      <c r="Z93" s="356"/>
      <c r="AA93" s="3348" t="str">
        <f>IF(ISBLANK(AB93),"",LARGE(AA72:AA92,1)+1)</f>
        <v/>
      </c>
      <c r="AB93" s="395"/>
      <c r="AC93" s="395"/>
      <c r="AD93" s="395"/>
      <c r="AE93" s="395"/>
      <c r="AF93" s="395"/>
      <c r="AG93" s="395"/>
      <c r="AH93" s="3228" t="str">
        <f>IF(ISBLANK(AI93),"",LARGE(AH72:AH92,1)+1)</f>
        <v/>
      </c>
      <c r="AI93" s="395"/>
      <c r="AJ93" s="395"/>
      <c r="AK93" s="395"/>
      <c r="AL93" s="395"/>
      <c r="AM93" s="395"/>
      <c r="AN93" s="395"/>
      <c r="AO93" s="407"/>
      <c r="AP93" s="356"/>
      <c r="AQ93" s="378"/>
      <c r="AR93" s="378"/>
      <c r="AS93" s="378"/>
      <c r="AT93" s="378"/>
      <c r="AU93" s="378"/>
      <c r="AV93" s="378"/>
      <c r="AW93" s="378"/>
      <c r="AX93" s="378"/>
      <c r="AY93" s="378"/>
      <c r="AZ93" s="378"/>
      <c r="BA93" s="378"/>
      <c r="BB93" s="378"/>
      <c r="BC93" s="378"/>
      <c r="BD93" s="378"/>
      <c r="BE93" s="378"/>
      <c r="BF93" s="378"/>
      <c r="BG93" s="378"/>
      <c r="BH93" s="378"/>
      <c r="BI93" s="378"/>
      <c r="BJ93" s="378"/>
      <c r="BK93" s="378"/>
      <c r="BL93" s="378"/>
      <c r="BM93" s="381">
        <v>15.75</v>
      </c>
    </row>
    <row r="94" spans="1:65" ht="15.75" customHeight="1">
      <c r="A94" s="384"/>
      <c r="B94" s="3351" t="s">
        <v>128</v>
      </c>
      <c r="C94" s="285">
        <f t="shared" ref="C94:C99" si="34">AU7</f>
        <v>125</v>
      </c>
      <c r="D94" s="406">
        <v>1</v>
      </c>
      <c r="E94" s="338">
        <f t="shared" ref="E94:E99" si="35">C94*D94</f>
        <v>125</v>
      </c>
      <c r="F94" s="405" t="str">
        <f>O88</f>
        <v>Morceaux</v>
      </c>
      <c r="G94" s="3552">
        <f>IF(E94=0,0,INT(E94/N88))</f>
        <v>2</v>
      </c>
      <c r="H94" s="3552"/>
      <c r="I94" s="404">
        <f>E94-(G94*N88)</f>
        <v>25</v>
      </c>
      <c r="J94" s="342" t="str">
        <f>IF(I94=0,0,O88)</f>
        <v>Morceaux</v>
      </c>
      <c r="K94" s="382"/>
      <c r="L94" s="291">
        <f t="shared" ref="L94:L99" si="36">IF(I94=0,0,G94+1)</f>
        <v>3</v>
      </c>
      <c r="M94" s="403">
        <f>IF(I94=0,0,E94-(L94*N88))</f>
        <v>-25</v>
      </c>
      <c r="N94" s="402" t="str">
        <f>IF(M94=0,0,O88)</f>
        <v>Morceaux</v>
      </c>
      <c r="O94" s="400"/>
      <c r="P94" s="356"/>
      <c r="Q94" s="3543"/>
      <c r="R94" s="3544"/>
      <c r="S94" s="3545"/>
      <c r="T94" s="356"/>
      <c r="U94" s="356"/>
      <c r="V94" s="356"/>
      <c r="W94" s="356"/>
      <c r="X94" s="356"/>
      <c r="Y94" s="356"/>
      <c r="Z94" s="356"/>
      <c r="AA94" s="3348" t="str">
        <f>IF(ISBLANK(AB94),"",LARGE(AA72:AA93,1)+1)</f>
        <v/>
      </c>
      <c r="AB94" s="395"/>
      <c r="AC94" s="395"/>
      <c r="AD94" s="395"/>
      <c r="AE94" s="395"/>
      <c r="AF94" s="395"/>
      <c r="AG94" s="395"/>
      <c r="AH94" s="3228" t="str">
        <f>IF(ISBLANK(AI94),"",LARGE(AH72:AH93,1)+1)</f>
        <v/>
      </c>
      <c r="AI94" s="395"/>
      <c r="AJ94" s="395"/>
      <c r="AK94" s="395"/>
      <c r="AL94" s="395"/>
      <c r="AM94" s="395"/>
      <c r="AN94" s="395"/>
      <c r="AO94" s="407"/>
      <c r="AP94" s="356"/>
      <c r="AQ94" s="378"/>
      <c r="AR94" s="378"/>
      <c r="AS94" s="378"/>
      <c r="AT94" s="378"/>
      <c r="AU94" s="378"/>
      <c r="AV94" s="378"/>
      <c r="AW94" s="378"/>
      <c r="AX94" s="378"/>
      <c r="AY94" s="378"/>
      <c r="AZ94" s="378"/>
      <c r="BA94" s="378"/>
      <c r="BB94" s="378"/>
      <c r="BC94" s="378"/>
      <c r="BD94" s="378"/>
      <c r="BE94" s="378"/>
      <c r="BF94" s="378"/>
      <c r="BG94" s="378"/>
      <c r="BH94" s="378"/>
      <c r="BI94" s="378"/>
      <c r="BJ94" s="378"/>
      <c r="BK94" s="378"/>
      <c r="BL94" s="378"/>
      <c r="BM94" s="381">
        <v>15.75</v>
      </c>
    </row>
    <row r="95" spans="1:65" ht="15.75" customHeight="1">
      <c r="A95" s="384"/>
      <c r="B95" s="3350" t="s">
        <v>129</v>
      </c>
      <c r="C95" s="285">
        <f t="shared" si="34"/>
        <v>260</v>
      </c>
      <c r="D95" s="406">
        <v>1</v>
      </c>
      <c r="E95" s="338">
        <f t="shared" si="35"/>
        <v>260</v>
      </c>
      <c r="F95" s="405" t="str">
        <f>O88</f>
        <v>Morceaux</v>
      </c>
      <c r="G95" s="3552">
        <f>IF(E95=0,0,INT(E95/N88))</f>
        <v>5</v>
      </c>
      <c r="H95" s="3552"/>
      <c r="I95" s="404">
        <f>E95-(G95*N88)</f>
        <v>10</v>
      </c>
      <c r="J95" s="342" t="str">
        <f>IF(I95=0,0,O88)</f>
        <v>Morceaux</v>
      </c>
      <c r="K95" s="382"/>
      <c r="L95" s="291">
        <f t="shared" si="36"/>
        <v>6</v>
      </c>
      <c r="M95" s="403">
        <f>IF(I95=0,0,E95-(L95*N88))</f>
        <v>-40</v>
      </c>
      <c r="N95" s="402" t="str">
        <f>IF(M95=0,0,O88)</f>
        <v>Morceaux</v>
      </c>
      <c r="O95" s="400"/>
      <c r="P95" s="356"/>
      <c r="Q95" s="3543"/>
      <c r="R95" s="3544"/>
      <c r="S95" s="3545"/>
      <c r="T95" s="356"/>
      <c r="U95" s="356"/>
      <c r="V95" s="356"/>
      <c r="W95" s="356"/>
      <c r="X95" s="356"/>
      <c r="Y95" s="356"/>
      <c r="Z95" s="356"/>
      <c r="AA95" s="3348" t="str">
        <f>IF(ISBLANK(AB95),"",LARGE(AA72:AA94,1)+1)</f>
        <v/>
      </c>
      <c r="AB95" s="395"/>
      <c r="AC95" s="395"/>
      <c r="AD95" s="395"/>
      <c r="AE95" s="395"/>
      <c r="AF95" s="395"/>
      <c r="AG95" s="395"/>
      <c r="AH95" s="3228" t="str">
        <f>IF(ISBLANK(AI95),"",LARGE(AH72:AH94,1)+1)</f>
        <v/>
      </c>
      <c r="AI95" s="395"/>
      <c r="AJ95" s="395"/>
      <c r="AK95" s="395"/>
      <c r="AL95" s="395"/>
      <c r="AM95" s="395"/>
      <c r="AN95" s="395"/>
      <c r="AO95" s="407"/>
      <c r="AP95" s="356"/>
      <c r="AQ95" s="378"/>
      <c r="AR95" s="378"/>
      <c r="AS95" s="378"/>
      <c r="AT95" s="378"/>
      <c r="AU95" s="378"/>
      <c r="AV95" s="378"/>
      <c r="AW95" s="378"/>
      <c r="AX95" s="378"/>
      <c r="AY95" s="378"/>
      <c r="AZ95" s="378"/>
      <c r="BA95" s="378"/>
      <c r="BB95" s="378"/>
      <c r="BC95" s="378"/>
      <c r="BD95" s="378"/>
      <c r="BE95" s="378"/>
      <c r="BF95" s="378"/>
      <c r="BG95" s="378"/>
      <c r="BH95" s="378"/>
      <c r="BI95" s="378"/>
      <c r="BJ95" s="378"/>
      <c r="BK95" s="378"/>
      <c r="BL95" s="378"/>
      <c r="BM95" s="381">
        <v>15.75</v>
      </c>
    </row>
    <row r="96" spans="1:65" ht="15.75" customHeight="1">
      <c r="A96" s="384"/>
      <c r="B96" s="3349" t="s">
        <v>28</v>
      </c>
      <c r="C96" s="285">
        <f t="shared" si="34"/>
        <v>120</v>
      </c>
      <c r="D96" s="406">
        <v>1</v>
      </c>
      <c r="E96" s="338">
        <f t="shared" si="35"/>
        <v>120</v>
      </c>
      <c r="F96" s="405" t="str">
        <f>O88</f>
        <v>Morceaux</v>
      </c>
      <c r="G96" s="3552">
        <f>IF(E96=0,0,INT(E96/N88))</f>
        <v>2</v>
      </c>
      <c r="H96" s="3552"/>
      <c r="I96" s="404">
        <f>E96-(G96*N88)</f>
        <v>20</v>
      </c>
      <c r="J96" s="342" t="str">
        <f>IF(I96=0,0,O88)</f>
        <v>Morceaux</v>
      </c>
      <c r="K96" s="382"/>
      <c r="L96" s="291">
        <f t="shared" si="36"/>
        <v>3</v>
      </c>
      <c r="M96" s="403">
        <f>IF(I96=0,0,E96-(L96*N88))</f>
        <v>-30</v>
      </c>
      <c r="N96" s="402" t="str">
        <f>IF(M96=0,0,O88)</f>
        <v>Morceaux</v>
      </c>
      <c r="O96" s="400"/>
      <c r="P96" s="356"/>
      <c r="Q96" s="3543"/>
      <c r="R96" s="3544"/>
      <c r="S96" s="3545"/>
      <c r="T96" s="356"/>
      <c r="U96" s="356"/>
      <c r="V96" s="356"/>
      <c r="W96" s="356"/>
      <c r="X96" s="356"/>
      <c r="Y96" s="356"/>
      <c r="Z96" s="356"/>
      <c r="AA96" s="3348" t="str">
        <f>IF(ISBLANK(AB96),"",LARGE(AA72:AA95,1)+1)</f>
        <v/>
      </c>
      <c r="AB96" s="395"/>
      <c r="AC96" s="395"/>
      <c r="AD96" s="395"/>
      <c r="AE96" s="395"/>
      <c r="AF96" s="395"/>
      <c r="AG96" s="395"/>
      <c r="AH96" s="3228" t="str">
        <f>IF(ISBLANK(AI96),"",LARGE(AH72:AH95,1)+1)</f>
        <v/>
      </c>
      <c r="AI96" s="395"/>
      <c r="AJ96" s="395"/>
      <c r="AK96" s="395"/>
      <c r="AL96" s="395"/>
      <c r="AM96" s="395"/>
      <c r="AN96" s="395"/>
      <c r="AO96" s="407"/>
      <c r="AP96" s="356"/>
      <c r="AQ96" s="378"/>
      <c r="AR96" s="378"/>
      <c r="AS96" s="378"/>
      <c r="AT96" s="378"/>
      <c r="AU96" s="378"/>
      <c r="AV96" s="378"/>
      <c r="AW96" s="378"/>
      <c r="AX96" s="378"/>
      <c r="AY96" s="378"/>
      <c r="AZ96" s="378"/>
      <c r="BA96" s="378"/>
      <c r="BB96" s="378"/>
      <c r="BC96" s="378"/>
      <c r="BD96" s="378"/>
      <c r="BE96" s="378"/>
      <c r="BF96" s="378"/>
      <c r="BG96" s="378"/>
      <c r="BH96" s="378"/>
      <c r="BI96" s="378"/>
      <c r="BJ96" s="378"/>
      <c r="BK96" s="378"/>
      <c r="BL96" s="378"/>
      <c r="BM96" s="381">
        <v>15.75</v>
      </c>
    </row>
    <row r="97" spans="1:65" ht="15.75" customHeight="1">
      <c r="A97" s="384"/>
      <c r="B97" s="3349" t="s">
        <v>136</v>
      </c>
      <c r="C97" s="285">
        <f t="shared" si="34"/>
        <v>60</v>
      </c>
      <c r="D97" s="406">
        <v>1</v>
      </c>
      <c r="E97" s="338">
        <f t="shared" si="35"/>
        <v>60</v>
      </c>
      <c r="F97" s="405" t="str">
        <f>O88</f>
        <v>Morceaux</v>
      </c>
      <c r="G97" s="3552">
        <f>IF(E97=0,0,INT(E97/N88))</f>
        <v>1</v>
      </c>
      <c r="H97" s="3552"/>
      <c r="I97" s="404">
        <f>E97-(G97*N88)</f>
        <v>10</v>
      </c>
      <c r="J97" s="342" t="str">
        <f>IF(I97=0,0,O88)</f>
        <v>Morceaux</v>
      </c>
      <c r="K97" s="382"/>
      <c r="L97" s="291">
        <f t="shared" si="36"/>
        <v>2</v>
      </c>
      <c r="M97" s="403">
        <f>IF(I97=0,0,E97-(L97*N88))</f>
        <v>-40</v>
      </c>
      <c r="N97" s="402" t="str">
        <f>IF(M97=0,0,O88)</f>
        <v>Morceaux</v>
      </c>
      <c r="O97" s="400"/>
      <c r="P97" s="356"/>
      <c r="Q97" s="3543" t="s">
        <v>145</v>
      </c>
      <c r="R97" s="3544"/>
      <c r="S97" s="3545"/>
      <c r="T97" s="356"/>
      <c r="U97" s="356"/>
      <c r="V97" s="356"/>
      <c r="W97" s="356"/>
      <c r="X97" s="356"/>
      <c r="Y97" s="356"/>
      <c r="Z97" s="356"/>
      <c r="AA97" s="3348" t="str">
        <f>IF(ISBLANK(AB97),"",LARGE(AA72:AA96,1)+1)</f>
        <v/>
      </c>
      <c r="AB97" s="395"/>
      <c r="AC97" s="395"/>
      <c r="AD97" s="395"/>
      <c r="AE97" s="395"/>
      <c r="AF97" s="395"/>
      <c r="AG97" s="395"/>
      <c r="AH97" s="3228" t="str">
        <f>IF(ISBLANK(AI97),"",LARGE(AH72:AH96,1)+1)</f>
        <v/>
      </c>
      <c r="AI97" s="395"/>
      <c r="AJ97" s="395"/>
      <c r="AK97" s="395"/>
      <c r="AL97" s="395"/>
      <c r="AM97" s="395"/>
      <c r="AN97" s="395"/>
      <c r="AO97" s="407"/>
      <c r="AP97" s="356"/>
      <c r="AQ97" s="378"/>
      <c r="AR97" s="378"/>
      <c r="AS97" s="378"/>
      <c r="AT97" s="378"/>
      <c r="AU97" s="378"/>
      <c r="AV97" s="378"/>
      <c r="AW97" s="378"/>
      <c r="AX97" s="378"/>
      <c r="AY97" s="378"/>
      <c r="AZ97" s="378"/>
      <c r="BA97" s="378"/>
      <c r="BB97" s="378"/>
      <c r="BC97" s="378"/>
      <c r="BD97" s="378"/>
      <c r="BE97" s="378"/>
      <c r="BF97" s="378"/>
      <c r="BG97" s="378"/>
      <c r="BH97" s="378"/>
      <c r="BI97" s="378"/>
      <c r="BJ97" s="378"/>
      <c r="BK97" s="378"/>
      <c r="BL97" s="378"/>
      <c r="BM97" s="381">
        <v>15.75</v>
      </c>
    </row>
    <row r="98" spans="1:65" ht="15.75" customHeight="1">
      <c r="A98" s="384"/>
      <c r="B98" s="3349" t="s">
        <v>56</v>
      </c>
      <c r="C98" s="285">
        <f t="shared" si="34"/>
        <v>20</v>
      </c>
      <c r="D98" s="406">
        <v>1</v>
      </c>
      <c r="E98" s="338">
        <f t="shared" si="35"/>
        <v>20</v>
      </c>
      <c r="F98" s="405" t="str">
        <f>O88</f>
        <v>Morceaux</v>
      </c>
      <c r="G98" s="3552">
        <f>IF(E98=0,0,INT(E98/N88))</f>
        <v>0</v>
      </c>
      <c r="H98" s="3552"/>
      <c r="I98" s="404">
        <f>E98-(G98*N88)</f>
        <v>20</v>
      </c>
      <c r="J98" s="342" t="str">
        <f>IF(I98=0,0,O88)</f>
        <v>Morceaux</v>
      </c>
      <c r="K98" s="382"/>
      <c r="L98" s="291">
        <f t="shared" si="36"/>
        <v>1</v>
      </c>
      <c r="M98" s="403">
        <f>IF(I98=0,0,E98-(L98*N88))</f>
        <v>-30</v>
      </c>
      <c r="N98" s="402" t="str">
        <f>IF(M98=0,0,O88)</f>
        <v>Morceaux</v>
      </c>
      <c r="O98" s="400"/>
      <c r="P98" s="356"/>
      <c r="Q98" s="3543"/>
      <c r="R98" s="3544"/>
      <c r="S98" s="3923"/>
      <c r="T98" s="356"/>
      <c r="U98" s="356"/>
      <c r="V98" s="356"/>
      <c r="W98" s="356"/>
      <c r="X98" s="356"/>
      <c r="Y98" s="356"/>
      <c r="Z98" s="356"/>
      <c r="AA98" s="3348" t="str">
        <f>IF(ISBLANK(AB98),"",LARGE(AA72:AA97,1)+1)</f>
        <v/>
      </c>
      <c r="AB98" s="395"/>
      <c r="AC98" s="395"/>
      <c r="AD98" s="395"/>
      <c r="AE98" s="395"/>
      <c r="AF98" s="395"/>
      <c r="AG98" s="395"/>
      <c r="AH98" s="3228" t="str">
        <f>IF(ISBLANK(AI98),"",LARGE(AH72:AH97,1)+1)</f>
        <v/>
      </c>
      <c r="AI98" s="395"/>
      <c r="AJ98" s="395"/>
      <c r="AK98" s="395"/>
      <c r="AL98" s="395"/>
      <c r="AM98" s="395"/>
      <c r="AN98" s="395"/>
      <c r="AO98" s="394"/>
      <c r="AP98" s="356"/>
      <c r="AQ98" s="378"/>
      <c r="AR98" s="378"/>
      <c r="AS98" s="378"/>
      <c r="AT98" s="378"/>
      <c r="AU98" s="378"/>
      <c r="AV98" s="378"/>
      <c r="AW98" s="378"/>
      <c r="AX98" s="378"/>
      <c r="AY98" s="378"/>
      <c r="AZ98" s="378"/>
      <c r="BA98" s="378"/>
      <c r="BB98" s="378"/>
      <c r="BC98" s="378"/>
      <c r="BD98" s="378"/>
      <c r="BE98" s="378"/>
      <c r="BF98" s="378"/>
      <c r="BG98" s="378"/>
      <c r="BH98" s="378"/>
      <c r="BI98" s="378"/>
      <c r="BJ98" s="378"/>
      <c r="BK98" s="378"/>
      <c r="BL98" s="378"/>
      <c r="BM98" s="381">
        <v>15.75</v>
      </c>
    </row>
    <row r="99" spans="1:65" ht="15.75" customHeight="1" thickBot="1">
      <c r="A99" s="378"/>
      <c r="B99" s="3349" t="s">
        <v>57</v>
      </c>
      <c r="C99" s="285">
        <f t="shared" si="34"/>
        <v>12</v>
      </c>
      <c r="D99" s="406">
        <v>1</v>
      </c>
      <c r="E99" s="338">
        <f t="shared" si="35"/>
        <v>12</v>
      </c>
      <c r="F99" s="405" t="str">
        <f>O88</f>
        <v>Morceaux</v>
      </c>
      <c r="G99" s="3552">
        <f>IF(E99=0,0,INT(E99/N88))</f>
        <v>0</v>
      </c>
      <c r="H99" s="3552"/>
      <c r="I99" s="404">
        <f>E99-(G99*N88)</f>
        <v>12</v>
      </c>
      <c r="J99" s="342" t="str">
        <f>IF(I99=0,0,O88)</f>
        <v>Morceaux</v>
      </c>
      <c r="K99" s="382"/>
      <c r="L99" s="291">
        <f t="shared" si="36"/>
        <v>1</v>
      </c>
      <c r="M99" s="403">
        <f>IF(I99=0,0,E99-(L99*N88))</f>
        <v>-38</v>
      </c>
      <c r="N99" s="402" t="str">
        <f>IF(M99=0,0,O88)</f>
        <v>Morceaux</v>
      </c>
      <c r="O99" s="400"/>
      <c r="P99" s="356"/>
      <c r="Q99" s="3978"/>
      <c r="R99" s="3979"/>
      <c r="S99" s="3980"/>
      <c r="T99" s="356"/>
      <c r="U99" s="356"/>
      <c r="V99" s="356"/>
      <c r="W99" s="356"/>
      <c r="X99" s="356"/>
      <c r="Y99" s="356"/>
      <c r="Z99" s="356"/>
      <c r="AA99" s="3348" t="str">
        <f>IF(ISBLANK(AB99),"",LARGE(AA72:AA98,1)+1)</f>
        <v/>
      </c>
      <c r="AB99" s="395"/>
      <c r="AC99" s="395"/>
      <c r="AD99" s="395"/>
      <c r="AE99" s="395"/>
      <c r="AF99" s="395"/>
      <c r="AG99" s="395"/>
      <c r="AH99" s="3228" t="str">
        <f>IF(ISBLANK(AI99),"",LARGE(AH72:AH98,1)+1)</f>
        <v/>
      </c>
      <c r="AI99" s="395"/>
      <c r="AJ99" s="395"/>
      <c r="AK99" s="395"/>
      <c r="AL99" s="395"/>
      <c r="AM99" s="395"/>
      <c r="AN99" s="395"/>
      <c r="AO99" s="394"/>
      <c r="AP99" s="378"/>
      <c r="AQ99" s="378"/>
      <c r="AR99" s="378"/>
      <c r="AS99" s="378"/>
      <c r="AT99" s="378"/>
      <c r="AU99" s="378"/>
      <c r="AV99" s="378"/>
      <c r="AW99" s="378"/>
      <c r="AX99" s="378"/>
      <c r="AY99" s="378"/>
      <c r="AZ99" s="378"/>
      <c r="BA99" s="378"/>
      <c r="BB99" s="378"/>
      <c r="BC99" s="378"/>
      <c r="BD99" s="378"/>
      <c r="BE99" s="378"/>
      <c r="BF99" s="378"/>
      <c r="BG99" s="378"/>
      <c r="BH99" s="378"/>
      <c r="BI99" s="378"/>
      <c r="BJ99" s="378"/>
      <c r="BK99" s="378"/>
      <c r="BL99" s="378"/>
      <c r="BM99" s="381">
        <v>15.75</v>
      </c>
    </row>
    <row r="100" spans="1:65" ht="15.75" customHeight="1">
      <c r="A100" s="378"/>
      <c r="B100" s="3347"/>
      <c r="C100" s="382"/>
      <c r="D100" s="382"/>
      <c r="E100" s="382"/>
      <c r="F100" s="382"/>
      <c r="G100" s="3202" t="s">
        <v>139</v>
      </c>
      <c r="H100" s="3202"/>
      <c r="I100" s="3202"/>
      <c r="J100" s="3202"/>
      <c r="K100" s="3203"/>
      <c r="L100" s="3202"/>
      <c r="M100" s="3202"/>
      <c r="N100" s="3202"/>
      <c r="O100" s="400"/>
      <c r="P100" s="356"/>
      <c r="Q100" s="356"/>
      <c r="R100" s="356"/>
      <c r="S100" s="356"/>
      <c r="T100" s="356"/>
      <c r="U100" s="356"/>
      <c r="V100" s="356"/>
      <c r="W100" s="356"/>
      <c r="X100" s="356"/>
      <c r="Y100" s="356"/>
      <c r="Z100" s="356"/>
      <c r="AA100" s="3348" t="str">
        <f>IF(ISBLANK(AB100),"",LARGE(AA72:AA99,1)+1)</f>
        <v/>
      </c>
      <c r="AB100" s="395"/>
      <c r="AC100" s="395"/>
      <c r="AD100" s="395"/>
      <c r="AE100" s="395"/>
      <c r="AF100" s="395"/>
      <c r="AG100" s="395"/>
      <c r="AH100" s="3228" t="str">
        <f>IF(ISBLANK(AI100),"",LARGE(AH72:AH99,1)+1)</f>
        <v/>
      </c>
      <c r="AI100" s="395"/>
      <c r="AJ100" s="395"/>
      <c r="AK100" s="395"/>
      <c r="AL100" s="395"/>
      <c r="AM100" s="395"/>
      <c r="AN100" s="395"/>
      <c r="AO100" s="394"/>
      <c r="AP100" s="378"/>
      <c r="AQ100" s="378"/>
      <c r="AR100" s="378"/>
      <c r="AS100" s="378"/>
      <c r="AT100" s="378"/>
      <c r="AU100" s="378"/>
      <c r="AV100" s="378"/>
      <c r="AW100" s="378"/>
      <c r="AX100" s="378"/>
      <c r="AY100" s="378"/>
      <c r="AZ100" s="378"/>
      <c r="BA100" s="378"/>
      <c r="BB100" s="378"/>
      <c r="BC100" s="378"/>
      <c r="BD100" s="378"/>
      <c r="BE100" s="378"/>
      <c r="BF100" s="378"/>
      <c r="BG100" s="378"/>
      <c r="BH100" s="378"/>
      <c r="BI100" s="378"/>
      <c r="BJ100" s="378"/>
      <c r="BK100" s="378"/>
      <c r="BL100" s="378"/>
      <c r="BM100" s="381">
        <v>15.75</v>
      </c>
    </row>
    <row r="101" spans="1:65" ht="15.75" customHeight="1">
      <c r="A101" s="378"/>
      <c r="B101" s="3347"/>
      <c r="C101" s="382"/>
      <c r="D101" s="382"/>
      <c r="E101" s="382"/>
      <c r="F101" s="382"/>
      <c r="G101" s="3560">
        <f>IF(G102=0,0,INT(G102/N88))</f>
        <v>10</v>
      </c>
      <c r="H101" s="3560"/>
      <c r="I101" s="850" t="s">
        <v>140</v>
      </c>
      <c r="J101" s="398">
        <f>D91-G102</f>
        <v>97</v>
      </c>
      <c r="K101" s="397" t="str">
        <f>O88</f>
        <v>Morceaux</v>
      </c>
      <c r="L101" s="3554" t="s">
        <v>141</v>
      </c>
      <c r="M101" s="3554"/>
      <c r="N101" s="3555">
        <f>COUNTIF(I94:I99,"&gt;0")</f>
        <v>6</v>
      </c>
      <c r="O101" s="3549" t="s">
        <v>142</v>
      </c>
      <c r="P101" s="356"/>
      <c r="Q101" s="356"/>
      <c r="R101" s="356"/>
      <c r="S101" s="356"/>
      <c r="T101" s="356"/>
      <c r="U101" s="356"/>
      <c r="V101" s="356"/>
      <c r="W101" s="356"/>
      <c r="X101" s="356"/>
      <c r="Y101" s="356"/>
      <c r="Z101" s="356"/>
      <c r="AA101" s="3348" t="str">
        <f>IF(ISBLANK(AB101),"",LARGE(AA72:AA100,1)+1)</f>
        <v/>
      </c>
      <c r="AB101" s="395"/>
      <c r="AC101" s="395"/>
      <c r="AD101" s="395"/>
      <c r="AE101" s="395"/>
      <c r="AF101" s="395"/>
      <c r="AG101" s="395"/>
      <c r="AH101" s="396" t="str">
        <f>IF(ISBLANK(AI101),"",LARGE(AH72:AH100,1)+1)</f>
        <v/>
      </c>
      <c r="AI101" s="395"/>
      <c r="AJ101" s="395"/>
      <c r="AK101" s="395"/>
      <c r="AL101" s="395"/>
      <c r="AM101" s="395"/>
      <c r="AN101" s="395"/>
      <c r="AO101" s="394"/>
      <c r="AP101" s="378"/>
      <c r="AQ101" s="378"/>
      <c r="AR101" s="378"/>
      <c r="AS101" s="378"/>
      <c r="AT101" s="378"/>
      <c r="AU101" s="378"/>
      <c r="AV101" s="378"/>
      <c r="AW101" s="378"/>
      <c r="AX101" s="378"/>
      <c r="AY101" s="378"/>
      <c r="AZ101" s="378"/>
      <c r="BA101" s="378"/>
      <c r="BB101" s="378"/>
      <c r="BC101" s="378"/>
      <c r="BD101" s="378"/>
      <c r="BE101" s="378"/>
      <c r="BF101" s="378"/>
      <c r="BG101" s="378"/>
      <c r="BH101" s="378"/>
      <c r="BI101" s="378"/>
      <c r="BJ101" s="378"/>
      <c r="BK101" s="378"/>
      <c r="BL101" s="378"/>
      <c r="BM101" s="381">
        <v>15.75</v>
      </c>
    </row>
    <row r="102" spans="1:65" ht="15.75" customHeight="1" thickBot="1">
      <c r="A102" s="378"/>
      <c r="B102" s="3347"/>
      <c r="C102" s="382"/>
      <c r="D102" s="382"/>
      <c r="E102" s="382"/>
      <c r="F102" s="382"/>
      <c r="G102" s="3924">
        <f>SUM(G94:H99)*N88</f>
        <v>500</v>
      </c>
      <c r="H102" s="3924"/>
      <c r="I102" s="391" t="str">
        <f>O88</f>
        <v>Morceaux</v>
      </c>
      <c r="J102" s="392">
        <f>G102+J101</f>
        <v>597</v>
      </c>
      <c r="K102" s="382"/>
      <c r="L102" s="3554"/>
      <c r="M102" s="3554"/>
      <c r="N102" s="3555"/>
      <c r="O102" s="3549"/>
      <c r="P102" s="356"/>
      <c r="Q102" s="356"/>
      <c r="R102" s="356"/>
      <c r="S102" s="356"/>
      <c r="T102" s="356"/>
      <c r="U102" s="356"/>
      <c r="V102" s="356"/>
      <c r="W102" s="356"/>
      <c r="X102" s="356"/>
      <c r="Y102" s="356"/>
      <c r="Z102" s="356"/>
      <c r="AA102" s="248">
        <v>11</v>
      </c>
      <c r="AB102" s="3346">
        <v>11</v>
      </c>
      <c r="AC102" s="3346">
        <v>11</v>
      </c>
      <c r="AD102" s="3346">
        <v>11</v>
      </c>
      <c r="AE102" s="3346">
        <v>11</v>
      </c>
      <c r="AF102" s="3346">
        <v>15</v>
      </c>
      <c r="AG102" s="3346">
        <v>15</v>
      </c>
      <c r="AH102" s="3346">
        <v>11</v>
      </c>
      <c r="AI102" s="3346">
        <v>11</v>
      </c>
      <c r="AJ102" s="3346">
        <v>11</v>
      </c>
      <c r="AK102" s="3346">
        <v>11</v>
      </c>
      <c r="AL102" s="3346">
        <v>11</v>
      </c>
      <c r="AM102" s="3346">
        <v>11</v>
      </c>
      <c r="AN102" s="3346">
        <v>11</v>
      </c>
      <c r="AO102" s="388">
        <v>7</v>
      </c>
      <c r="AP102" s="378"/>
      <c r="AQ102" s="378"/>
      <c r="AR102" s="378"/>
      <c r="AS102" s="378"/>
      <c r="AT102" s="378"/>
      <c r="AU102" s="378"/>
      <c r="AV102" s="378"/>
      <c r="AW102" s="378"/>
      <c r="AX102" s="378"/>
      <c r="AY102" s="378"/>
      <c r="AZ102" s="378"/>
      <c r="BA102" s="378"/>
      <c r="BB102" s="378"/>
      <c r="BC102" s="378"/>
      <c r="BD102" s="378"/>
      <c r="BE102" s="378"/>
      <c r="BF102" s="378"/>
      <c r="BG102" s="378"/>
      <c r="BH102" s="378"/>
      <c r="BI102" s="378"/>
      <c r="BJ102" s="378"/>
      <c r="BK102" s="378"/>
      <c r="BL102" s="378"/>
      <c r="BM102" s="381">
        <v>15.75</v>
      </c>
    </row>
    <row r="103" spans="1:65" ht="15.75" customHeight="1" thickBot="1">
      <c r="A103" s="384"/>
      <c r="B103" s="3200"/>
      <c r="C103" s="3197"/>
      <c r="D103" s="3197"/>
      <c r="E103" s="3197"/>
      <c r="F103" s="3197"/>
      <c r="G103" s="3197"/>
      <c r="H103" s="3197"/>
      <c r="I103" s="3197"/>
      <c r="J103" s="3197"/>
      <c r="K103" s="3197"/>
      <c r="L103" s="3197"/>
      <c r="M103" s="3197"/>
      <c r="N103" s="3197"/>
      <c r="O103" s="3196"/>
      <c r="P103" s="356"/>
      <c r="Q103" s="356"/>
      <c r="R103" s="356"/>
      <c r="S103" s="356"/>
      <c r="T103" s="356"/>
      <c r="U103" s="356"/>
      <c r="V103" s="356"/>
      <c r="W103" s="356"/>
      <c r="X103" s="356"/>
      <c r="Y103" s="356"/>
      <c r="Z103" s="356"/>
      <c r="AA103" s="3345">
        <v>11</v>
      </c>
      <c r="AB103" s="3345">
        <v>11</v>
      </c>
      <c r="AC103" s="3345">
        <v>11</v>
      </c>
      <c r="AD103" s="3345">
        <v>11</v>
      </c>
      <c r="AE103" s="3345">
        <v>11</v>
      </c>
      <c r="AF103" s="3345">
        <v>15</v>
      </c>
      <c r="AG103" s="3345">
        <v>15</v>
      </c>
      <c r="AH103" s="3345">
        <v>11</v>
      </c>
      <c r="AI103" s="3345">
        <v>11</v>
      </c>
      <c r="AJ103" s="3345">
        <v>11</v>
      </c>
      <c r="AK103" s="3345">
        <v>11</v>
      </c>
      <c r="AL103" s="3345">
        <v>11</v>
      </c>
      <c r="AM103" s="3345">
        <v>11</v>
      </c>
      <c r="AN103" s="3345">
        <v>11</v>
      </c>
      <c r="AO103" s="3345">
        <v>7</v>
      </c>
      <c r="AP103" s="356"/>
      <c r="AQ103" s="356"/>
      <c r="AR103" s="356"/>
      <c r="AS103" s="356"/>
      <c r="AT103" s="378"/>
      <c r="AU103" s="378"/>
      <c r="AV103" s="378"/>
      <c r="AW103" s="378"/>
      <c r="AX103" s="378"/>
      <c r="AY103" s="378"/>
      <c r="AZ103" s="378"/>
      <c r="BA103" s="378"/>
      <c r="BB103" s="378"/>
      <c r="BC103" s="378"/>
      <c r="BD103" s="378"/>
      <c r="BE103" s="378"/>
      <c r="BF103" s="378"/>
      <c r="BG103" s="378"/>
      <c r="BH103" s="378"/>
      <c r="BI103" s="378"/>
      <c r="BJ103" s="378"/>
      <c r="BK103" s="378"/>
      <c r="BL103" s="378"/>
      <c r="BM103" s="381">
        <v>15.75</v>
      </c>
    </row>
    <row r="104" spans="1:65" ht="24.95" customHeight="1">
      <c r="A104" s="384"/>
      <c r="B104" s="8"/>
      <c r="C104" s="8"/>
      <c r="D104" s="8" t="s">
        <v>148</v>
      </c>
      <c r="E104" s="8"/>
      <c r="F104" s="8"/>
      <c r="G104" s="8"/>
      <c r="H104" s="8"/>
      <c r="I104" s="8"/>
      <c r="J104" s="8"/>
      <c r="K104" s="8"/>
      <c r="L104" s="8"/>
      <c r="M104" s="8"/>
      <c r="N104" s="8"/>
      <c r="O104" s="8"/>
      <c r="P104" s="356"/>
      <c r="Q104" s="356"/>
      <c r="R104" s="356"/>
      <c r="S104" s="356"/>
      <c r="T104" s="356"/>
      <c r="U104" s="356"/>
      <c r="V104" s="356"/>
      <c r="W104" s="356"/>
      <c r="X104" s="356"/>
      <c r="Y104" s="356"/>
      <c r="Z104" s="356"/>
      <c r="AA104" s="356"/>
      <c r="AB104" s="356"/>
      <c r="AC104" s="356"/>
      <c r="AD104" s="356"/>
      <c r="AE104" s="356"/>
      <c r="AF104" s="356"/>
      <c r="AG104" s="356"/>
      <c r="AH104" s="356"/>
      <c r="AI104" s="356"/>
      <c r="AJ104" s="356"/>
      <c r="AK104" s="356"/>
      <c r="AL104" s="356"/>
      <c r="AM104" s="356"/>
      <c r="AN104" s="356"/>
      <c r="AO104" s="356"/>
      <c r="AP104" s="356"/>
      <c r="AQ104" s="356"/>
      <c r="AR104" s="356"/>
      <c r="AS104" s="356"/>
      <c r="AT104" s="378"/>
      <c r="AU104" s="378"/>
      <c r="AV104" s="378"/>
      <c r="AW104" s="378"/>
      <c r="AX104" s="378"/>
      <c r="AY104" s="378"/>
      <c r="AZ104" s="378"/>
      <c r="BA104" s="378"/>
      <c r="BB104" s="378"/>
      <c r="BC104" s="378"/>
      <c r="BD104" s="378"/>
      <c r="BE104" s="378"/>
      <c r="BF104" s="378"/>
      <c r="BG104" s="378"/>
      <c r="BH104" s="378"/>
      <c r="BI104" s="378"/>
      <c r="BJ104" s="378"/>
      <c r="BK104" s="378"/>
      <c r="BL104" s="378"/>
      <c r="BM104" s="381">
        <v>25</v>
      </c>
    </row>
    <row r="105" spans="1:65" ht="24.95" customHeight="1">
      <c r="A105" s="384"/>
      <c r="B105" s="356"/>
      <c r="C105" s="357"/>
      <c r="D105" s="358" t="s">
        <v>149</v>
      </c>
      <c r="E105" s="356">
        <v>16</v>
      </c>
      <c r="F105" s="356" t="s">
        <v>150</v>
      </c>
      <c r="G105" s="382"/>
      <c r="H105" s="382"/>
      <c r="I105" s="382"/>
      <c r="J105" s="358" t="s">
        <v>151</v>
      </c>
      <c r="K105" s="356">
        <v>60</v>
      </c>
      <c r="L105" s="356" t="s">
        <v>152</v>
      </c>
      <c r="M105" s="382"/>
      <c r="N105" s="382"/>
      <c r="O105" s="382"/>
      <c r="P105" s="356"/>
      <c r="Q105" s="356"/>
      <c r="R105" s="356"/>
      <c r="S105" s="356"/>
      <c r="T105" s="356"/>
      <c r="U105" s="356"/>
      <c r="V105" s="356"/>
      <c r="W105" s="356"/>
      <c r="X105" s="356"/>
      <c r="Y105" s="356"/>
      <c r="Z105" s="356"/>
      <c r="AA105" s="356"/>
      <c r="AB105" s="356"/>
      <c r="AC105" s="356"/>
      <c r="AD105" s="356"/>
      <c r="AE105" s="356"/>
      <c r="AF105" s="356"/>
      <c r="AG105" s="356"/>
      <c r="AH105" s="356"/>
      <c r="AI105" s="356"/>
      <c r="AJ105" s="356"/>
      <c r="AK105" s="356"/>
      <c r="AL105" s="356"/>
      <c r="AM105" s="356"/>
      <c r="AN105" s="356"/>
      <c r="AO105" s="356"/>
      <c r="AP105" s="356"/>
      <c r="AQ105" s="356"/>
      <c r="AR105" s="356"/>
      <c r="AS105" s="356"/>
      <c r="AT105" s="378"/>
      <c r="AU105" s="378"/>
      <c r="AV105" s="378"/>
      <c r="AW105" s="378"/>
      <c r="AX105" s="378"/>
      <c r="AY105" s="378"/>
      <c r="AZ105" s="378"/>
      <c r="BA105" s="378"/>
      <c r="BB105" s="378"/>
      <c r="BC105" s="378"/>
      <c r="BD105" s="378"/>
      <c r="BE105" s="378"/>
      <c r="BF105" s="378"/>
      <c r="BG105" s="378"/>
      <c r="BH105" s="378"/>
      <c r="BI105" s="378"/>
      <c r="BJ105" s="378"/>
      <c r="BK105" s="378"/>
      <c r="BL105" s="378"/>
      <c r="BM105" s="381">
        <v>25</v>
      </c>
    </row>
    <row r="106" spans="1:65" ht="24.95" customHeight="1">
      <c r="A106" s="255"/>
      <c r="B106" s="356"/>
      <c r="C106" s="359"/>
      <c r="D106" s="358" t="s">
        <v>153</v>
      </c>
      <c r="E106" s="356">
        <v>24</v>
      </c>
      <c r="F106" s="356" t="s">
        <v>150</v>
      </c>
      <c r="G106" s="382"/>
      <c r="H106" s="382"/>
      <c r="I106" s="382"/>
      <c r="J106" s="358" t="s">
        <v>154</v>
      </c>
      <c r="K106" s="356">
        <v>20</v>
      </c>
      <c r="L106" s="356" t="s">
        <v>155</v>
      </c>
      <c r="M106" s="382"/>
      <c r="N106" s="382"/>
      <c r="O106" s="382"/>
      <c r="P106" s="356"/>
      <c r="Q106" s="356"/>
      <c r="R106" s="356"/>
      <c r="S106" s="356"/>
      <c r="T106" s="356"/>
      <c r="U106" s="356"/>
      <c r="V106" s="356"/>
      <c r="W106" s="356"/>
      <c r="X106" s="356"/>
      <c r="Y106" s="356"/>
      <c r="Z106" s="356"/>
      <c r="AA106" s="356"/>
      <c r="AB106" s="356"/>
      <c r="AC106" s="356"/>
      <c r="AD106" s="356"/>
      <c r="AE106" s="356"/>
      <c r="AF106" s="356"/>
      <c r="AG106" s="356"/>
      <c r="AH106" s="356"/>
      <c r="AI106" s="356"/>
      <c r="AJ106" s="356"/>
      <c r="AK106" s="356"/>
      <c r="AL106" s="356"/>
      <c r="AM106" s="356"/>
      <c r="AN106" s="356"/>
      <c r="AO106" s="356"/>
      <c r="AP106" s="356"/>
      <c r="AQ106" s="356"/>
      <c r="AR106" s="356"/>
      <c r="AS106" s="356"/>
      <c r="AT106" s="378"/>
      <c r="AU106" s="378"/>
      <c r="AV106" s="378"/>
      <c r="AW106" s="378"/>
      <c r="AX106" s="378"/>
      <c r="AY106" s="378"/>
      <c r="AZ106" s="378"/>
      <c r="BA106" s="378"/>
      <c r="BB106" s="378"/>
      <c r="BC106" s="378"/>
      <c r="BD106" s="378"/>
      <c r="BE106" s="378"/>
      <c r="BF106" s="378"/>
      <c r="BG106" s="378"/>
      <c r="BH106" s="378"/>
      <c r="BI106" s="378"/>
      <c r="BJ106" s="378"/>
      <c r="BK106" s="378"/>
      <c r="BL106" s="378"/>
      <c r="BM106" s="381">
        <v>25</v>
      </c>
    </row>
    <row r="107" spans="1:65" ht="24.95" customHeight="1">
      <c r="A107" s="255"/>
      <c r="B107" s="356"/>
      <c r="C107" s="382"/>
      <c r="D107" s="358" t="s">
        <v>156</v>
      </c>
      <c r="E107" s="356">
        <v>20</v>
      </c>
      <c r="F107" s="356" t="s">
        <v>150</v>
      </c>
      <c r="G107" s="382"/>
      <c r="H107" s="382"/>
      <c r="I107" s="382"/>
      <c r="J107" s="358" t="s">
        <v>157</v>
      </c>
      <c r="K107" s="356">
        <v>3</v>
      </c>
      <c r="L107" s="356" t="s">
        <v>22</v>
      </c>
      <c r="M107" s="382"/>
      <c r="N107" s="382"/>
      <c r="O107" s="382"/>
      <c r="P107" s="356"/>
      <c r="Q107" s="356"/>
      <c r="R107" s="356"/>
      <c r="S107" s="356"/>
      <c r="T107" s="356"/>
      <c r="U107" s="356"/>
      <c r="V107" s="356"/>
      <c r="W107" s="356"/>
      <c r="X107" s="356"/>
      <c r="Y107" s="356"/>
      <c r="Z107" s="356"/>
      <c r="AA107" s="356"/>
      <c r="AB107" s="356"/>
      <c r="AC107" s="356"/>
      <c r="AD107" s="356"/>
      <c r="AE107" s="356"/>
      <c r="AF107" s="356"/>
      <c r="AG107" s="356"/>
      <c r="AH107" s="356"/>
      <c r="AI107" s="356"/>
      <c r="AJ107" s="356"/>
      <c r="AK107" s="356"/>
      <c r="AL107" s="356"/>
      <c r="AM107" s="356"/>
      <c r="AN107" s="356"/>
      <c r="AO107" s="356"/>
      <c r="AP107" s="356"/>
      <c r="AQ107" s="356"/>
      <c r="AR107" s="356"/>
      <c r="AS107" s="356"/>
      <c r="AT107" s="378"/>
      <c r="AU107" s="378"/>
      <c r="AV107" s="378"/>
      <c r="AW107" s="378"/>
      <c r="AX107" s="378"/>
      <c r="AY107" s="378"/>
      <c r="AZ107" s="378"/>
      <c r="BA107" s="378"/>
      <c r="BB107" s="378"/>
      <c r="BC107" s="378"/>
      <c r="BD107" s="378"/>
      <c r="BE107" s="378"/>
      <c r="BF107" s="378"/>
      <c r="BG107" s="378"/>
      <c r="BH107" s="378"/>
      <c r="BI107" s="378"/>
      <c r="BJ107" s="378"/>
      <c r="BK107" s="378"/>
      <c r="BL107" s="378"/>
      <c r="BM107" s="381">
        <v>25</v>
      </c>
    </row>
    <row r="108" spans="1:65" ht="24.95" customHeight="1">
      <c r="A108" s="380"/>
      <c r="B108" s="356"/>
      <c r="C108" s="382"/>
      <c r="D108" s="358" t="s">
        <v>158</v>
      </c>
      <c r="E108" s="356">
        <v>25</v>
      </c>
      <c r="F108" s="356" t="s">
        <v>159</v>
      </c>
      <c r="G108" s="382"/>
      <c r="H108" s="382"/>
      <c r="I108" s="382"/>
      <c r="J108" s="358" t="s">
        <v>160</v>
      </c>
      <c r="K108" s="356">
        <v>7.2</v>
      </c>
      <c r="L108" s="383" t="s">
        <v>22</v>
      </c>
      <c r="M108" s="382"/>
      <c r="N108" s="382"/>
      <c r="O108" s="382"/>
      <c r="P108" s="356"/>
      <c r="Q108" s="356"/>
      <c r="R108" s="356"/>
      <c r="S108" s="356"/>
      <c r="T108" s="356"/>
      <c r="U108" s="356"/>
      <c r="V108" s="356"/>
      <c r="W108" s="356"/>
      <c r="X108" s="356"/>
      <c r="Y108" s="356"/>
      <c r="Z108" s="356"/>
      <c r="AA108" s="356"/>
      <c r="AB108" s="356"/>
      <c r="AC108" s="356"/>
      <c r="AD108" s="356"/>
      <c r="AE108" s="356"/>
      <c r="AF108" s="356"/>
      <c r="AG108" s="356"/>
      <c r="AH108" s="356"/>
      <c r="AI108" s="356"/>
      <c r="AJ108" s="356"/>
      <c r="AK108" s="356"/>
      <c r="AL108" s="356"/>
      <c r="AM108" s="356"/>
      <c r="AN108" s="356"/>
      <c r="AO108" s="356"/>
      <c r="AP108" s="356"/>
      <c r="AQ108" s="356"/>
      <c r="AR108" s="356"/>
      <c r="AS108" s="356"/>
      <c r="AT108" s="378"/>
      <c r="AU108" s="378"/>
      <c r="AV108" s="378"/>
      <c r="AW108" s="378"/>
      <c r="AX108" s="378"/>
      <c r="AY108" s="378"/>
      <c r="AZ108" s="378"/>
      <c r="BA108" s="378"/>
      <c r="BB108" s="378"/>
      <c r="BC108" s="378"/>
      <c r="BD108" s="378"/>
      <c r="BE108" s="378"/>
      <c r="BF108" s="378"/>
      <c r="BG108" s="378"/>
      <c r="BH108" s="378"/>
      <c r="BI108" s="378"/>
      <c r="BJ108" s="378"/>
      <c r="BK108" s="378"/>
      <c r="BL108" s="378"/>
      <c r="BM108" s="381">
        <v>25</v>
      </c>
    </row>
    <row r="109" spans="1:65" ht="15" customHeight="1">
      <c r="A109" s="380"/>
      <c r="B109" s="382"/>
      <c r="C109" s="382"/>
      <c r="D109" s="358" t="s">
        <v>161</v>
      </c>
      <c r="E109" s="356">
        <v>25</v>
      </c>
      <c r="F109" s="356" t="s">
        <v>162</v>
      </c>
      <c r="G109" s="382"/>
      <c r="H109" s="382"/>
      <c r="I109" s="382"/>
      <c r="J109" s="358" t="s">
        <v>163</v>
      </c>
      <c r="K109" s="356">
        <v>4</v>
      </c>
      <c r="L109" s="383" t="s">
        <v>22</v>
      </c>
      <c r="M109" s="382"/>
      <c r="N109" s="382"/>
      <c r="O109" s="382"/>
      <c r="P109" s="356"/>
      <c r="Q109" s="356"/>
      <c r="R109" s="356"/>
      <c r="S109" s="356"/>
      <c r="T109" s="356"/>
      <c r="U109" s="356"/>
      <c r="V109" s="356"/>
      <c r="W109" s="356"/>
      <c r="X109" s="356"/>
      <c r="Y109" s="356"/>
      <c r="Z109" s="356"/>
      <c r="AA109" s="356"/>
      <c r="AB109" s="356"/>
      <c r="AC109" s="356"/>
      <c r="AD109" s="356"/>
      <c r="AE109" s="356"/>
      <c r="AF109" s="356"/>
      <c r="AG109" s="356"/>
      <c r="AH109" s="356"/>
      <c r="AI109" s="356"/>
      <c r="AJ109" s="356"/>
      <c r="AK109" s="356"/>
      <c r="AL109" s="356"/>
      <c r="AM109" s="356"/>
      <c r="AN109" s="356"/>
      <c r="AO109" s="356"/>
      <c r="AP109" s="356"/>
      <c r="AQ109" s="356"/>
      <c r="AR109" s="356"/>
      <c r="AS109" s="356"/>
      <c r="AT109" s="378"/>
      <c r="AU109" s="378"/>
      <c r="AV109" s="378"/>
      <c r="AW109" s="378"/>
      <c r="AX109" s="378"/>
      <c r="AY109" s="378"/>
      <c r="AZ109" s="378"/>
      <c r="BA109" s="378"/>
      <c r="BB109" s="378"/>
      <c r="BC109" s="378"/>
      <c r="BD109" s="378"/>
      <c r="BE109" s="378"/>
      <c r="BF109" s="378"/>
      <c r="BG109" s="378"/>
      <c r="BH109" s="378"/>
      <c r="BI109" s="378"/>
      <c r="BJ109" s="378"/>
      <c r="BK109" s="378"/>
      <c r="BL109" s="378"/>
      <c r="BM109" s="381">
        <v>15</v>
      </c>
    </row>
    <row r="110" spans="1:65" ht="15" customHeight="1">
      <c r="A110" s="380"/>
      <c r="B110" s="382"/>
      <c r="C110" s="382"/>
      <c r="D110" s="358" t="s">
        <v>164</v>
      </c>
      <c r="E110" s="356">
        <v>12</v>
      </c>
      <c r="F110" s="356" t="s">
        <v>150</v>
      </c>
      <c r="G110" s="382"/>
      <c r="H110" s="382"/>
      <c r="I110" s="382"/>
      <c r="J110" s="382"/>
      <c r="K110" s="382"/>
      <c r="L110" s="382"/>
      <c r="M110" s="382"/>
      <c r="N110" s="382"/>
      <c r="O110" s="382"/>
      <c r="P110" s="356"/>
      <c r="Q110" s="356"/>
      <c r="R110" s="356"/>
      <c r="S110" s="356"/>
      <c r="T110" s="356"/>
      <c r="U110" s="356"/>
      <c r="V110" s="356"/>
      <c r="W110" s="356"/>
      <c r="X110" s="356"/>
      <c r="Y110" s="356"/>
      <c r="Z110" s="356"/>
      <c r="AA110" s="356"/>
      <c r="AB110" s="356"/>
      <c r="AC110" s="356"/>
      <c r="AD110" s="356"/>
      <c r="AE110" s="356"/>
      <c r="AF110" s="356"/>
      <c r="AG110" s="356"/>
      <c r="AH110" s="356"/>
      <c r="AI110" s="356"/>
      <c r="AJ110" s="356"/>
      <c r="AK110" s="356"/>
      <c r="AL110" s="356"/>
      <c r="AM110" s="356"/>
      <c r="AN110" s="356"/>
      <c r="AO110" s="356"/>
      <c r="AP110" s="356"/>
      <c r="AQ110" s="356"/>
      <c r="AR110" s="356"/>
      <c r="AS110" s="356"/>
      <c r="AT110" s="378"/>
      <c r="AU110" s="378"/>
      <c r="AV110" s="378"/>
      <c r="AW110" s="378"/>
      <c r="AX110" s="378"/>
      <c r="AY110" s="378"/>
      <c r="AZ110" s="378"/>
      <c r="BA110" s="378"/>
      <c r="BB110" s="378"/>
      <c r="BC110" s="378"/>
      <c r="BD110" s="378"/>
      <c r="BE110" s="378"/>
      <c r="BF110" s="378"/>
      <c r="BG110" s="378"/>
      <c r="BH110" s="378"/>
      <c r="BI110" s="378"/>
      <c r="BJ110" s="378"/>
      <c r="BK110" s="378"/>
      <c r="BL110" s="378"/>
      <c r="BM110" s="381">
        <v>15</v>
      </c>
    </row>
    <row r="111" spans="1:65" ht="15" customHeight="1">
      <c r="A111" s="380"/>
      <c r="B111" s="382"/>
      <c r="C111" s="382"/>
      <c r="D111" s="382"/>
      <c r="E111" s="382"/>
      <c r="F111" s="382"/>
      <c r="G111" s="382"/>
      <c r="H111" s="382"/>
      <c r="I111" s="382"/>
      <c r="J111" s="382"/>
      <c r="K111" s="382"/>
      <c r="L111" s="382"/>
      <c r="M111" s="382"/>
      <c r="N111" s="382"/>
      <c r="O111" s="382"/>
      <c r="P111" s="356"/>
      <c r="Q111" s="356"/>
      <c r="R111" s="356"/>
      <c r="S111" s="356"/>
      <c r="T111" s="356"/>
      <c r="U111" s="356"/>
      <c r="V111" s="356"/>
      <c r="W111" s="356"/>
      <c r="X111" s="356"/>
      <c r="Y111" s="356"/>
      <c r="Z111" s="356"/>
      <c r="AA111" s="356"/>
      <c r="AB111" s="356"/>
      <c r="AC111" s="356"/>
      <c r="AD111" s="356"/>
      <c r="AE111" s="356"/>
      <c r="AF111" s="356"/>
      <c r="AG111" s="356"/>
      <c r="AH111" s="356"/>
      <c r="AI111" s="356"/>
      <c r="AJ111" s="356"/>
      <c r="AK111" s="356"/>
      <c r="AL111" s="356"/>
      <c r="AM111" s="356"/>
      <c r="AN111" s="356"/>
      <c r="AO111" s="356"/>
      <c r="AP111" s="356"/>
      <c r="AQ111" s="356"/>
      <c r="AR111" s="356"/>
      <c r="AS111" s="356"/>
      <c r="AT111" s="378"/>
      <c r="AU111" s="378"/>
      <c r="AV111" s="378"/>
      <c r="AW111" s="378"/>
      <c r="AX111" s="378"/>
      <c r="AY111" s="378"/>
      <c r="AZ111" s="378"/>
      <c r="BA111" s="378"/>
      <c r="BB111" s="378"/>
      <c r="BC111" s="378"/>
      <c r="BD111" s="378"/>
      <c r="BE111" s="378"/>
      <c r="BF111" s="378"/>
      <c r="BG111" s="378"/>
      <c r="BH111" s="378"/>
      <c r="BI111" s="378"/>
      <c r="BJ111" s="378"/>
      <c r="BK111" s="378"/>
      <c r="BL111" s="378"/>
      <c r="BM111" s="381">
        <v>15</v>
      </c>
    </row>
    <row r="112" spans="1:65" ht="15" customHeight="1">
      <c r="A112" s="380"/>
      <c r="B112" s="361" t="s">
        <v>165</v>
      </c>
      <c r="C112" s="357"/>
      <c r="D112" s="382"/>
      <c r="E112" s="382"/>
      <c r="F112" s="382"/>
      <c r="G112" s="382"/>
      <c r="H112" s="382"/>
      <c r="I112" s="382"/>
      <c r="J112" s="382"/>
      <c r="K112" s="382"/>
      <c r="L112" s="382"/>
      <c r="M112" s="382"/>
      <c r="N112" s="382"/>
      <c r="O112" s="382"/>
      <c r="P112" s="356"/>
      <c r="Q112" s="356"/>
      <c r="R112" s="356"/>
      <c r="S112" s="356"/>
      <c r="T112" s="356"/>
      <c r="U112" s="356"/>
      <c r="V112" s="356"/>
      <c r="W112" s="356"/>
      <c r="X112" s="356"/>
      <c r="Y112" s="356"/>
      <c r="Z112" s="356"/>
      <c r="AA112" s="356"/>
      <c r="AB112" s="356"/>
      <c r="AC112" s="356"/>
      <c r="AD112" s="356"/>
      <c r="AE112" s="356"/>
      <c r="AF112" s="356"/>
      <c r="AG112" s="356"/>
      <c r="AH112" s="356"/>
      <c r="AI112" s="356"/>
      <c r="AJ112" s="356"/>
      <c r="AK112" s="356"/>
      <c r="AL112" s="356"/>
      <c r="AM112" s="356"/>
      <c r="AN112" s="356"/>
      <c r="AO112" s="356"/>
      <c r="AP112" s="356"/>
      <c r="AQ112" s="356"/>
      <c r="AR112" s="356"/>
      <c r="AS112" s="356"/>
      <c r="AT112" s="378"/>
      <c r="AU112" s="378"/>
      <c r="AV112" s="378"/>
      <c r="AW112" s="378"/>
      <c r="AX112" s="378"/>
      <c r="AY112" s="378"/>
      <c r="AZ112" s="378"/>
      <c r="BA112" s="378"/>
      <c r="BB112" s="378"/>
      <c r="BC112" s="378"/>
      <c r="BD112" s="378"/>
      <c r="BE112" s="378"/>
      <c r="BF112" s="378"/>
      <c r="BG112" s="378"/>
      <c r="BH112" s="378"/>
      <c r="BI112" s="378"/>
      <c r="BJ112" s="378"/>
      <c r="BK112" s="378"/>
      <c r="BL112" s="378"/>
      <c r="BM112" s="381">
        <v>15</v>
      </c>
    </row>
    <row r="113" spans="1:65" ht="15" customHeight="1">
      <c r="A113" s="380"/>
      <c r="B113" s="361" t="s">
        <v>166</v>
      </c>
      <c r="C113" s="359"/>
      <c r="D113" s="382"/>
      <c r="E113" s="382"/>
      <c r="F113" s="382"/>
      <c r="G113" s="382"/>
      <c r="H113" s="382"/>
      <c r="I113" s="382"/>
      <c r="J113" s="382"/>
      <c r="K113" s="382"/>
      <c r="L113" s="382"/>
      <c r="M113" s="382"/>
      <c r="N113" s="382"/>
      <c r="O113" s="382"/>
      <c r="P113" s="356"/>
      <c r="Q113" s="356"/>
      <c r="R113" s="356"/>
      <c r="S113" s="356"/>
      <c r="T113" s="356"/>
      <c r="U113" s="356"/>
      <c r="V113" s="356"/>
      <c r="W113" s="356"/>
      <c r="X113" s="356"/>
      <c r="Y113" s="356"/>
      <c r="Z113" s="356"/>
      <c r="AA113" s="356"/>
      <c r="AB113" s="356"/>
      <c r="AC113" s="356"/>
      <c r="AD113" s="356"/>
      <c r="AE113" s="356"/>
      <c r="AF113" s="356"/>
      <c r="AG113" s="356"/>
      <c r="AH113" s="356"/>
      <c r="AI113" s="356"/>
      <c r="AJ113" s="356"/>
      <c r="AK113" s="356"/>
      <c r="AL113" s="356"/>
      <c r="AM113" s="356"/>
      <c r="AN113" s="356"/>
      <c r="AO113" s="356"/>
      <c r="AP113" s="356"/>
      <c r="AQ113" s="356"/>
      <c r="AR113" s="356"/>
      <c r="AS113" s="356"/>
      <c r="AT113" s="378"/>
      <c r="AU113" s="378"/>
      <c r="AV113" s="378"/>
      <c r="AW113" s="378"/>
      <c r="AX113" s="378"/>
      <c r="AY113" s="378"/>
      <c r="AZ113" s="378"/>
      <c r="BA113" s="378"/>
      <c r="BB113" s="378"/>
      <c r="BC113" s="378"/>
      <c r="BD113" s="378"/>
      <c r="BE113" s="378"/>
      <c r="BF113" s="378"/>
      <c r="BG113" s="378"/>
      <c r="BH113" s="378"/>
      <c r="BI113" s="378"/>
      <c r="BJ113" s="378"/>
      <c r="BK113" s="378"/>
      <c r="BL113" s="378"/>
      <c r="BM113" s="381">
        <v>15</v>
      </c>
    </row>
    <row r="114" spans="1:65" ht="15" customHeight="1">
      <c r="A114" s="380"/>
      <c r="B114" s="361" t="s">
        <v>167</v>
      </c>
      <c r="C114" s="382"/>
      <c r="D114" s="382"/>
      <c r="E114" s="382"/>
      <c r="F114" s="382"/>
      <c r="G114" s="382"/>
      <c r="H114" s="382"/>
      <c r="I114" s="382"/>
      <c r="J114" s="382"/>
      <c r="K114" s="382"/>
      <c r="L114" s="382"/>
      <c r="M114" s="382"/>
      <c r="N114" s="382"/>
      <c r="O114" s="382"/>
      <c r="P114" s="356"/>
      <c r="Q114" s="356"/>
      <c r="R114" s="356"/>
      <c r="S114" s="356"/>
      <c r="T114" s="356"/>
      <c r="U114" s="356"/>
      <c r="V114" s="356"/>
      <c r="W114" s="356"/>
      <c r="X114" s="356"/>
      <c r="Y114" s="356"/>
      <c r="Z114" s="356"/>
      <c r="AA114" s="356"/>
      <c r="AB114" s="356"/>
      <c r="AC114" s="356"/>
      <c r="AD114" s="356"/>
      <c r="AE114" s="356"/>
      <c r="AF114" s="356"/>
      <c r="AG114" s="356"/>
      <c r="AH114" s="356"/>
      <c r="AI114" s="356"/>
      <c r="AJ114" s="356"/>
      <c r="AK114" s="356"/>
      <c r="AL114" s="356"/>
      <c r="AM114" s="356"/>
      <c r="AN114" s="356"/>
      <c r="AO114" s="356"/>
      <c r="AP114" s="356"/>
      <c r="AQ114" s="356"/>
      <c r="AR114" s="356"/>
      <c r="AS114" s="356"/>
      <c r="AT114" s="378"/>
      <c r="AU114" s="378"/>
      <c r="AV114" s="378"/>
      <c r="AW114" s="378"/>
      <c r="AX114" s="378"/>
      <c r="AY114" s="378"/>
      <c r="AZ114" s="378"/>
      <c r="BA114" s="378"/>
      <c r="BB114" s="378"/>
      <c r="BC114" s="378"/>
      <c r="BD114" s="378"/>
      <c r="BE114" s="378"/>
      <c r="BF114" s="378"/>
      <c r="BG114" s="378"/>
      <c r="BH114" s="378"/>
      <c r="BI114" s="378"/>
      <c r="BJ114" s="378"/>
      <c r="BK114" s="378"/>
      <c r="BL114" s="378"/>
      <c r="BM114" s="381">
        <v>15</v>
      </c>
    </row>
    <row r="115" spans="1:65" ht="15.75">
      <c r="A115" s="380"/>
      <c r="B115" s="380"/>
      <c r="C115" s="380"/>
      <c r="D115" s="380"/>
      <c r="E115" s="380"/>
      <c r="F115" s="380"/>
      <c r="G115" s="380"/>
      <c r="H115" s="380"/>
      <c r="I115" s="380"/>
      <c r="J115" s="380"/>
      <c r="K115" s="380"/>
      <c r="L115" s="380"/>
      <c r="M115" s="380"/>
      <c r="N115" s="380"/>
      <c r="O115" s="380"/>
      <c r="P115" s="356"/>
      <c r="Q115" s="356"/>
      <c r="R115" s="356"/>
      <c r="S115" s="356"/>
      <c r="T115" s="356"/>
      <c r="U115" s="356"/>
      <c r="V115" s="356"/>
      <c r="W115" s="356"/>
      <c r="X115" s="356"/>
      <c r="Y115" s="356"/>
      <c r="Z115" s="356"/>
      <c r="AA115" s="356"/>
      <c r="AB115" s="356"/>
      <c r="AC115" s="356"/>
      <c r="AD115" s="356"/>
      <c r="AE115" s="356"/>
      <c r="AF115" s="356"/>
      <c r="AG115" s="356"/>
      <c r="AH115" s="356"/>
      <c r="AI115" s="356"/>
      <c r="AJ115" s="356"/>
      <c r="AK115" s="356"/>
      <c r="AL115" s="356"/>
      <c r="AM115" s="356"/>
      <c r="AN115" s="356"/>
      <c r="AO115" s="356"/>
      <c r="AP115" s="356"/>
      <c r="AQ115" s="356"/>
      <c r="AR115" s="356"/>
      <c r="AS115" s="356"/>
      <c r="AT115" s="379"/>
      <c r="AU115" s="379"/>
      <c r="AV115" s="379"/>
      <c r="AW115" s="379"/>
      <c r="AX115" s="379"/>
      <c r="AY115" s="379"/>
      <c r="AZ115" s="379"/>
      <c r="BA115" s="379"/>
      <c r="BB115" s="379"/>
      <c r="BC115" s="379"/>
      <c r="BD115" s="379"/>
      <c r="BE115" s="379"/>
      <c r="BF115" s="379"/>
      <c r="BG115" s="379"/>
      <c r="BH115" s="379"/>
      <c r="BI115" s="379"/>
      <c r="BJ115" s="379"/>
      <c r="BK115" s="379"/>
      <c r="BL115" s="378"/>
      <c r="BM115" s="377" t="s">
        <v>168</v>
      </c>
    </row>
  </sheetData>
  <mergeCells count="147">
    <mergeCell ref="G101:H101"/>
    <mergeCell ref="L101:M102"/>
    <mergeCell ref="N101:N102"/>
    <mergeCell ref="O101:O102"/>
    <mergeCell ref="G102:H102"/>
    <mergeCell ref="Q93:S96"/>
    <mergeCell ref="G94:H94"/>
    <mergeCell ref="G95:H95"/>
    <mergeCell ref="G96:H96"/>
    <mergeCell ref="Q86:S91"/>
    <mergeCell ref="G97:H97"/>
    <mergeCell ref="Q97:S99"/>
    <mergeCell ref="G98:H98"/>
    <mergeCell ref="G99:H99"/>
    <mergeCell ref="B88:K89"/>
    <mergeCell ref="L88:M89"/>
    <mergeCell ref="N88:N89"/>
    <mergeCell ref="O88:O89"/>
    <mergeCell ref="BE88:BG89"/>
    <mergeCell ref="B91:B92"/>
    <mergeCell ref="C91:C92"/>
    <mergeCell ref="D91:D92"/>
    <mergeCell ref="E91:F92"/>
    <mergeCell ref="G91:G92"/>
    <mergeCell ref="H91:I92"/>
    <mergeCell ref="L91:M92"/>
    <mergeCell ref="N91:N92"/>
    <mergeCell ref="O91:O92"/>
    <mergeCell ref="Q75:S77"/>
    <mergeCell ref="BE75:BG77"/>
    <mergeCell ref="G77:H77"/>
    <mergeCell ref="G78:H78"/>
    <mergeCell ref="Q78:S82"/>
    <mergeCell ref="G79:H79"/>
    <mergeCell ref="G80:H80"/>
    <mergeCell ref="G81:H81"/>
    <mergeCell ref="BE81:BG83"/>
    <mergeCell ref="G82:H82"/>
    <mergeCell ref="Q83:S84"/>
    <mergeCell ref="G84:H84"/>
    <mergeCell ref="L84:M85"/>
    <mergeCell ref="N84:N85"/>
    <mergeCell ref="O84:O85"/>
    <mergeCell ref="G85:H85"/>
    <mergeCell ref="Q85:S85"/>
    <mergeCell ref="Y63:Y68"/>
    <mergeCell ref="AO63:AO67"/>
    <mergeCell ref="B64:C65"/>
    <mergeCell ref="BE64:BG67"/>
    <mergeCell ref="AA70:AC71"/>
    <mergeCell ref="AD70:AD71"/>
    <mergeCell ref="AG70:AH71"/>
    <mergeCell ref="AI70:AI71"/>
    <mergeCell ref="BG70:BG71"/>
    <mergeCell ref="B71:K72"/>
    <mergeCell ref="L71:M72"/>
    <mergeCell ref="N71:N72"/>
    <mergeCell ref="O71:O72"/>
    <mergeCell ref="Q71:S74"/>
    <mergeCell ref="BE72:BG74"/>
    <mergeCell ref="B74:B75"/>
    <mergeCell ref="C74:C75"/>
    <mergeCell ref="D74:D75"/>
    <mergeCell ref="E74:F75"/>
    <mergeCell ref="G74:G75"/>
    <mergeCell ref="H74:I75"/>
    <mergeCell ref="L74:M75"/>
    <mergeCell ref="N74:N75"/>
    <mergeCell ref="O74:O75"/>
    <mergeCell ref="AS51:AY51"/>
    <mergeCell ref="BI51:BI52"/>
    <mergeCell ref="BJ51:BJ52"/>
    <mergeCell ref="BK51:BK52"/>
    <mergeCell ref="AS52:AY52"/>
    <mergeCell ref="AS53:AY53"/>
    <mergeCell ref="BE54:BG56"/>
    <mergeCell ref="BI55:BI58"/>
    <mergeCell ref="BE57:BG58"/>
    <mergeCell ref="BE35:BG36"/>
    <mergeCell ref="BE38:BG39"/>
    <mergeCell ref="BI38:BK40"/>
    <mergeCell ref="BI42:BK44"/>
    <mergeCell ref="BE45:BG46"/>
    <mergeCell ref="BI45:BK47"/>
    <mergeCell ref="BE47:BG48"/>
    <mergeCell ref="BE49:BG49"/>
    <mergeCell ref="BE50:BG53"/>
    <mergeCell ref="BI50:BK50"/>
    <mergeCell ref="AX21:AX22"/>
    <mergeCell ref="BI21:BK23"/>
    <mergeCell ref="AY23:AZ24"/>
    <mergeCell ref="BI24:BK26"/>
    <mergeCell ref="BE25:BG26"/>
    <mergeCell ref="BE27:BG29"/>
    <mergeCell ref="BI27:BK34"/>
    <mergeCell ref="AS30:AS31"/>
    <mergeCell ref="AT30:AT31"/>
    <mergeCell ref="BE31:BF31"/>
    <mergeCell ref="BE33:BG34"/>
    <mergeCell ref="AR34:AZ34"/>
    <mergeCell ref="BE2:BG3"/>
    <mergeCell ref="BI2:BK3"/>
    <mergeCell ref="V3:W3"/>
    <mergeCell ref="AL3:AM3"/>
    <mergeCell ref="BI6:BK7"/>
    <mergeCell ref="AK7:AN7"/>
    <mergeCell ref="AR7:AR12"/>
    <mergeCell ref="AS7:AS9"/>
    <mergeCell ref="BE7:BF8"/>
    <mergeCell ref="BG7:BG8"/>
    <mergeCell ref="BI10:BK11"/>
    <mergeCell ref="AK5:AN6"/>
    <mergeCell ref="AR5:AS5"/>
    <mergeCell ref="BB5:BC5"/>
    <mergeCell ref="V8:X8"/>
    <mergeCell ref="AM8:AN8"/>
    <mergeCell ref="BI8:BK9"/>
    <mergeCell ref="AE11:AG11"/>
    <mergeCell ref="AS11:AS12"/>
    <mergeCell ref="BI12:BK14"/>
    <mergeCell ref="BE13:BE14"/>
    <mergeCell ref="BF13:BF14"/>
    <mergeCell ref="BG13:BG14"/>
    <mergeCell ref="A4:A67"/>
    <mergeCell ref="Y4:Y62"/>
    <mergeCell ref="AO4:AO62"/>
    <mergeCell ref="BE4:BG4"/>
    <mergeCell ref="BI4:BK5"/>
    <mergeCell ref="AH5:AJ5"/>
    <mergeCell ref="BE5:BG5"/>
    <mergeCell ref="BB6:BC6"/>
    <mergeCell ref="BF6:BG6"/>
    <mergeCell ref="B9:C10"/>
    <mergeCell ref="D9:F9"/>
    <mergeCell ref="G9:I9"/>
    <mergeCell ref="J9:L9"/>
    <mergeCell ref="M9:O9"/>
    <mergeCell ref="P9:R9"/>
    <mergeCell ref="S9:U9"/>
    <mergeCell ref="BI15:BK17"/>
    <mergeCell ref="AX16:AY16"/>
    <mergeCell ref="BI18:BK20"/>
    <mergeCell ref="AS21:AS22"/>
    <mergeCell ref="AT21:AT22"/>
    <mergeCell ref="AU21:AU22"/>
    <mergeCell ref="AV21:AV22"/>
    <mergeCell ref="AW21:AW2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22</vt:i4>
      </vt:variant>
      <vt:variant>
        <vt:lpstr>Plages nommées</vt:lpstr>
      </vt:variant>
      <vt:variant>
        <vt:i4>3</vt:i4>
      </vt:variant>
    </vt:vector>
  </HeadingPairs>
  <TitlesOfParts>
    <vt:vector size="25" baseType="lpstr">
      <vt:lpstr>Nota</vt:lpstr>
      <vt:lpstr>différence Portion et Poids</vt:lpstr>
      <vt:lpstr>O.R.T.</vt:lpstr>
      <vt:lpstr>Modèle.FF.1restaurant</vt:lpstr>
      <vt:lpstr>Modèle.FF.2.collectivité</vt:lpstr>
      <vt:lpstr>Modèle.F3.collectivité</vt:lpstr>
      <vt:lpstr>.FF.1.Haricot de mouton</vt:lpstr>
      <vt:lpstr>FF.2.Aubergines.Egyptienne</vt:lpstr>
      <vt:lpstr>F3.Navarin.Agneau.Printanier</vt:lpstr>
      <vt:lpstr>F3.Haricot.de.mouton</vt:lpstr>
      <vt:lpstr>Navarin.Organigramme</vt:lpstr>
      <vt:lpstr>Classements</vt:lpstr>
      <vt:lpstr>Comprendre pour Transmettre</vt:lpstr>
      <vt:lpstr>Important</vt:lpstr>
      <vt:lpstr>Conversions en Kg</vt:lpstr>
      <vt:lpstr>Estimation des contenants</vt:lpstr>
      <vt:lpstr>Vocabulaire</vt:lpstr>
      <vt:lpstr>Polices de Symboles</vt:lpstr>
      <vt:lpstr>Emoticones </vt:lpstr>
      <vt:lpstr>Formats-Formules-Fonctions</vt:lpstr>
      <vt:lpstr>Tutos Youtube</vt:lpstr>
      <vt:lpstr>CODES COULEURS</vt:lpstr>
      <vt:lpstr>Navarin.Organigramme!Impression_des_titres</vt:lpstr>
      <vt:lpstr>'Comprendre pour Transmettre'!Zone_d_impression</vt:lpstr>
      <vt:lpstr>Navarin.Organigramme!Zone_d_impression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Joe</dc:creator>
  <cp:lastModifiedBy>Joe</cp:lastModifiedBy>
  <dcterms:created xsi:type="dcterms:W3CDTF">2022-02-16T15:36:40Z</dcterms:created>
  <dcterms:modified xsi:type="dcterms:W3CDTF">2022-02-16T16:56:16Z</dcterms:modified>
</cp:coreProperties>
</file>